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95" yWindow="-15" windowWidth="10935" windowHeight="11775" activeTab="1"/>
  </bookViews>
  <sheets>
    <sheet name="汇总表" sheetId="5" r:id="rId1"/>
    <sheet name="明细表" sheetId="1" r:id="rId2"/>
    <sheet name="明细表1" sheetId="2" r:id="rId3"/>
    <sheet name="明细表2" sheetId="3" r:id="rId4"/>
    <sheet name="包材" sheetId="4" r:id="rId5"/>
    <sheet name="其他成本" sheetId="6" r:id="rId6"/>
    <sheet name="图表" sheetId="7" r:id="rId7"/>
    <sheet name="对比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44525"/>
</workbook>
</file>

<file path=xl/calcChain.xml><?xml version="1.0" encoding="utf-8"?>
<calcChain xmlns="http://schemas.openxmlformats.org/spreadsheetml/2006/main">
  <c r="F12" i="6" l="1"/>
  <c r="CV45" i="2" l="1"/>
  <c r="CV52" i="2"/>
  <c r="CV51" i="2"/>
  <c r="CV50" i="2"/>
  <c r="CV49" i="2"/>
  <c r="CV48" i="2"/>
  <c r="CV47" i="2"/>
  <c r="CV46" i="2"/>
  <c r="CV44" i="2"/>
  <c r="CV43" i="2"/>
  <c r="CV42" i="2"/>
  <c r="CV41" i="2"/>
  <c r="CV40" i="2"/>
  <c r="CV39" i="2"/>
  <c r="CV38" i="2"/>
  <c r="CV37" i="2"/>
  <c r="CV36" i="2"/>
  <c r="CV35" i="2"/>
  <c r="CV34" i="2"/>
  <c r="CV33" i="2"/>
  <c r="CV32" i="2"/>
  <c r="CV31" i="2"/>
  <c r="CV30" i="2"/>
  <c r="CV29" i="2"/>
  <c r="CV28" i="2"/>
  <c r="CV27" i="2"/>
  <c r="CV26" i="2"/>
  <c r="CV25" i="2"/>
  <c r="CV24" i="2"/>
  <c r="CV23" i="2"/>
  <c r="CV22" i="2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Y69" i="5"/>
  <c r="Y68" i="5"/>
  <c r="G68" i="5"/>
  <c r="L206" i="8"/>
  <c r="R206" i="8"/>
  <c r="L209" i="8"/>
  <c r="R209" i="8"/>
  <c r="Q209" i="8"/>
  <c r="M206" i="8"/>
  <c r="O206" i="8" s="1"/>
  <c r="N206" i="8"/>
  <c r="P206" i="8"/>
  <c r="Q206" i="8"/>
  <c r="S206" i="8"/>
  <c r="S209" i="8"/>
  <c r="A206" i="8" l="1"/>
  <c r="O40" i="3"/>
  <c r="N40" i="3"/>
  <c r="M40" i="3"/>
  <c r="K40" i="3"/>
  <c r="G40" i="3"/>
  <c r="K39" i="3"/>
  <c r="J39" i="3"/>
  <c r="I39" i="3"/>
  <c r="H39" i="3"/>
  <c r="G39" i="3"/>
  <c r="F39" i="3"/>
  <c r="E39" i="3"/>
  <c r="D39" i="3"/>
  <c r="K38" i="3"/>
  <c r="J38" i="3"/>
  <c r="J40" i="3" s="1"/>
  <c r="I38" i="3"/>
  <c r="I40" i="3" s="1"/>
  <c r="H38" i="3"/>
  <c r="G38" i="3"/>
  <c r="F38" i="3"/>
  <c r="F40" i="3" s="1"/>
  <c r="E38" i="3"/>
  <c r="E40" i="3" s="1"/>
  <c r="D38" i="3"/>
  <c r="D40" i="3" s="1"/>
  <c r="O37" i="3"/>
  <c r="N37" i="3"/>
  <c r="M37" i="3"/>
  <c r="D37" i="3"/>
  <c r="P36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G33" i="3"/>
  <c r="F33" i="3"/>
  <c r="E33" i="3"/>
  <c r="D33" i="3"/>
  <c r="C33" i="3"/>
  <c r="K32" i="3"/>
  <c r="K37" i="3" s="1"/>
  <c r="J32" i="3"/>
  <c r="I32" i="3"/>
  <c r="H32" i="3"/>
  <c r="G32" i="3"/>
  <c r="F32" i="3"/>
  <c r="E32" i="3"/>
  <c r="D32" i="3"/>
  <c r="C32" i="3"/>
  <c r="G31" i="3"/>
  <c r="F31" i="3"/>
  <c r="E31" i="3"/>
  <c r="D31" i="3"/>
  <c r="P31" i="3" s="1"/>
  <c r="C31" i="3"/>
  <c r="O30" i="3"/>
  <c r="N30" i="3"/>
  <c r="M30" i="3"/>
  <c r="K29" i="3"/>
  <c r="K30" i="3" s="1"/>
  <c r="J29" i="3"/>
  <c r="I29" i="3"/>
  <c r="H29" i="3"/>
  <c r="G29" i="3"/>
  <c r="G30" i="3" s="1"/>
  <c r="F29" i="3"/>
  <c r="E29" i="3"/>
  <c r="D29" i="3"/>
  <c r="C29" i="3"/>
  <c r="K28" i="3"/>
  <c r="J28" i="3"/>
  <c r="J30" i="3" s="1"/>
  <c r="I28" i="3"/>
  <c r="H28" i="3"/>
  <c r="H30" i="3" s="1"/>
  <c r="G28" i="3"/>
  <c r="F28" i="3"/>
  <c r="F30" i="3" s="1"/>
  <c r="E28" i="3"/>
  <c r="D28" i="3"/>
  <c r="D30" i="3" s="1"/>
  <c r="C28" i="3"/>
  <c r="O27" i="3"/>
  <c r="N27" i="3"/>
  <c r="M27" i="3"/>
  <c r="K26" i="3"/>
  <c r="J26" i="3"/>
  <c r="I26" i="3"/>
  <c r="H26" i="3"/>
  <c r="K25" i="3"/>
  <c r="J25" i="3"/>
  <c r="I25" i="3"/>
  <c r="H25" i="3"/>
  <c r="G25" i="3"/>
  <c r="F25" i="3"/>
  <c r="E25" i="3"/>
  <c r="D25" i="3"/>
  <c r="C25" i="3"/>
  <c r="K24" i="3"/>
  <c r="J24" i="3"/>
  <c r="I24" i="3"/>
  <c r="H24" i="3"/>
  <c r="G24" i="3"/>
  <c r="F24" i="3"/>
  <c r="E24" i="3"/>
  <c r="D24" i="3"/>
  <c r="C24" i="3"/>
  <c r="K23" i="3"/>
  <c r="J23" i="3"/>
  <c r="I23" i="3"/>
  <c r="H23" i="3"/>
  <c r="G23" i="3"/>
  <c r="F23" i="3"/>
  <c r="E23" i="3"/>
  <c r="D23" i="3"/>
  <c r="K20" i="3"/>
  <c r="J20" i="3"/>
  <c r="I20" i="3"/>
  <c r="H20" i="3"/>
  <c r="G20" i="3"/>
  <c r="F20" i="3"/>
  <c r="E20" i="3"/>
  <c r="D20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O16" i="3"/>
  <c r="N16" i="3"/>
  <c r="M16" i="3"/>
  <c r="K15" i="3"/>
  <c r="K16" i="3" s="1"/>
  <c r="J15" i="3"/>
  <c r="J16" i="3" s="1"/>
  <c r="I15" i="3"/>
  <c r="I16" i="3" s="1"/>
  <c r="H15" i="3"/>
  <c r="H16" i="3" s="1"/>
  <c r="G15" i="3"/>
  <c r="G16" i="3" s="1"/>
  <c r="F15" i="3"/>
  <c r="F16" i="3" s="1"/>
  <c r="E15" i="3"/>
  <c r="E16" i="3" s="1"/>
  <c r="D15" i="3"/>
  <c r="O14" i="3"/>
  <c r="N14" i="3"/>
  <c r="M14" i="3"/>
  <c r="K13" i="3"/>
  <c r="K14" i="3" s="1"/>
  <c r="J13" i="3"/>
  <c r="J14" i="3" s="1"/>
  <c r="I13" i="3"/>
  <c r="I14" i="3" s="1"/>
  <c r="H13" i="3"/>
  <c r="H14" i="3" s="1"/>
  <c r="G13" i="3"/>
  <c r="G14" i="3" s="1"/>
  <c r="F13" i="3"/>
  <c r="F14" i="3" s="1"/>
  <c r="E13" i="3"/>
  <c r="E14" i="3" s="1"/>
  <c r="D13" i="3"/>
  <c r="D14" i="3" s="1"/>
  <c r="O12" i="3"/>
  <c r="N12" i="3"/>
  <c r="M12" i="3"/>
  <c r="K11" i="3"/>
  <c r="K12" i="3" s="1"/>
  <c r="J11" i="3"/>
  <c r="J12" i="3" s="1"/>
  <c r="I11" i="3"/>
  <c r="I12" i="3" s="1"/>
  <c r="H11" i="3"/>
  <c r="H12" i="3" s="1"/>
  <c r="G11" i="3"/>
  <c r="G12" i="3" s="1"/>
  <c r="F11" i="3"/>
  <c r="F12" i="3" s="1"/>
  <c r="E11" i="3"/>
  <c r="E12" i="3" s="1"/>
  <c r="D11" i="3"/>
  <c r="O10" i="3"/>
  <c r="N10" i="3"/>
  <c r="M10" i="3"/>
  <c r="L10" i="3"/>
  <c r="K10" i="3"/>
  <c r="J10" i="3"/>
  <c r="I10" i="3"/>
  <c r="H10" i="3"/>
  <c r="F10" i="3"/>
  <c r="E9" i="3"/>
  <c r="D9" i="3"/>
  <c r="P9" i="3" s="1"/>
  <c r="C9" i="3"/>
  <c r="E8" i="3"/>
  <c r="E10" i="3" s="1"/>
  <c r="D8" i="3"/>
  <c r="O7" i="3"/>
  <c r="N7" i="3"/>
  <c r="M7" i="3"/>
  <c r="L7" i="3"/>
  <c r="K7" i="3"/>
  <c r="J7" i="3"/>
  <c r="I7" i="3"/>
  <c r="H7" i="3"/>
  <c r="F7" i="3"/>
  <c r="P6" i="3"/>
  <c r="P5" i="3"/>
  <c r="P4" i="3"/>
  <c r="E4" i="3"/>
  <c r="E7" i="3" s="1"/>
  <c r="D4" i="3"/>
  <c r="D7" i="3" s="1"/>
  <c r="G27" i="3" l="1"/>
  <c r="G42" i="3" s="1"/>
  <c r="D10" i="3"/>
  <c r="P10" i="3" s="1"/>
  <c r="D27" i="3"/>
  <c r="E30" i="3"/>
  <c r="I30" i="3"/>
  <c r="E37" i="3"/>
  <c r="H37" i="3"/>
  <c r="E27" i="3"/>
  <c r="E42" i="3" s="1"/>
  <c r="I27" i="3"/>
  <c r="I37" i="3"/>
  <c r="P33" i="3"/>
  <c r="P39" i="3"/>
  <c r="H40" i="3"/>
  <c r="F27" i="3"/>
  <c r="J27" i="3"/>
  <c r="G37" i="3"/>
  <c r="F37" i="3"/>
  <c r="J37" i="3"/>
  <c r="J42" i="3" s="1"/>
  <c r="F42" i="3"/>
  <c r="P7" i="3"/>
  <c r="I42" i="3"/>
  <c r="D12" i="3"/>
  <c r="D16" i="3"/>
  <c r="P8" i="3"/>
  <c r="D42" i="3" l="1"/>
  <c r="A65" i="5" l="1"/>
  <c r="A20" i="5"/>
  <c r="CW50" i="2" l="1"/>
  <c r="CU50" i="2"/>
  <c r="CW49" i="2"/>
  <c r="CU49" i="2"/>
  <c r="CW48" i="2"/>
  <c r="CU48" i="2"/>
  <c r="CW47" i="2"/>
  <c r="CU47" i="2"/>
  <c r="CW43" i="2"/>
  <c r="CU43" i="2"/>
  <c r="CT43" i="2"/>
  <c r="CS43" i="2"/>
  <c r="CR43" i="2"/>
  <c r="CW42" i="2"/>
  <c r="CU42" i="2"/>
  <c r="CT42" i="2"/>
  <c r="CS42" i="2"/>
  <c r="CR42" i="2"/>
  <c r="CU40" i="2"/>
  <c r="CR40" i="2"/>
  <c r="CW22" i="2"/>
  <c r="CU22" i="2"/>
  <c r="CT22" i="2"/>
  <c r="CR22" i="2"/>
  <c r="CW21" i="2"/>
  <c r="CU21" i="2"/>
  <c r="CT21" i="2"/>
  <c r="CR21" i="2"/>
  <c r="CW16" i="2"/>
  <c r="CU16" i="2"/>
  <c r="CT16" i="2"/>
  <c r="CR16" i="2"/>
  <c r="CW15" i="2"/>
  <c r="CU15" i="2"/>
  <c r="CT15" i="2"/>
  <c r="CR15" i="2"/>
  <c r="CW14" i="2"/>
  <c r="CU14" i="2"/>
  <c r="CT14" i="2"/>
  <c r="CR14" i="2"/>
  <c r="CQ50" i="2"/>
  <c r="CQ49" i="2"/>
  <c r="CQ48" i="2"/>
  <c r="CQ47" i="2"/>
  <c r="CQ43" i="2"/>
  <c r="CQ42" i="2"/>
  <c r="CQ22" i="2"/>
  <c r="CQ21" i="2"/>
  <c r="CQ16" i="2"/>
  <c r="CQ15" i="2"/>
  <c r="CQ14" i="2"/>
  <c r="BO44" i="2"/>
  <c r="BO46" i="2" s="1"/>
  <c r="BP39" i="2"/>
  <c r="BP38" i="2"/>
  <c r="BO39" i="2"/>
  <c r="BO38" i="2"/>
  <c r="BP36" i="2"/>
  <c r="BP41" i="2" s="1"/>
  <c r="BO36" i="2"/>
  <c r="BO41" i="2" s="1"/>
  <c r="BP33" i="2"/>
  <c r="BP32" i="2"/>
  <c r="BP34" i="2" s="1"/>
  <c r="BO33" i="2"/>
  <c r="BO32" i="2"/>
  <c r="BO34" i="2" s="1"/>
  <c r="BP30" i="2"/>
  <c r="BP29" i="2"/>
  <c r="BP28" i="2"/>
  <c r="BP27" i="2"/>
  <c r="BP26" i="2"/>
  <c r="BP24" i="2"/>
  <c r="BP23" i="2"/>
  <c r="BP31" i="2" s="1"/>
  <c r="BO30" i="2"/>
  <c r="BO29" i="2"/>
  <c r="BO28" i="2"/>
  <c r="BO27" i="2"/>
  <c r="BO26" i="2"/>
  <c r="BO24" i="2"/>
  <c r="BO23" i="2"/>
  <c r="BO31" i="2" s="1"/>
  <c r="C51" i="2"/>
  <c r="C41" i="3" s="1"/>
  <c r="BP19" i="2"/>
  <c r="BP20" i="2" s="1"/>
  <c r="BO19" i="2"/>
  <c r="BO20" i="2" s="1"/>
  <c r="BP17" i="2"/>
  <c r="BP18" i="2" s="1"/>
  <c r="BO17" i="2"/>
  <c r="BO18" i="2" s="1"/>
  <c r="BT50" i="2"/>
  <c r="BT49" i="2"/>
  <c r="BT48" i="2"/>
  <c r="BT47" i="2"/>
  <c r="BT43" i="2"/>
  <c r="BT42" i="2"/>
  <c r="BT22" i="2"/>
  <c r="BT21" i="2"/>
  <c r="BT16" i="2"/>
  <c r="BT15" i="2"/>
  <c r="BT14" i="2"/>
  <c r="BP12" i="2"/>
  <c r="BP13" i="2" s="1"/>
  <c r="BO12" i="2"/>
  <c r="BO13" i="2" s="1"/>
  <c r="Z28" i="1"/>
  <c r="Y28" i="1"/>
  <c r="X28" i="1"/>
  <c r="W28" i="1"/>
  <c r="V28" i="1"/>
  <c r="U28" i="1"/>
  <c r="T28" i="1"/>
  <c r="S28" i="1"/>
  <c r="E12" i="6"/>
  <c r="BS44" i="2" l="1"/>
  <c r="BS46" i="2" s="1"/>
  <c r="Q210" i="8"/>
  <c r="M210" i="8"/>
  <c r="O210" i="8" s="1"/>
  <c r="L210" i="8"/>
  <c r="N210" i="8" s="1"/>
  <c r="P209" i="8"/>
  <c r="M209" i="8"/>
  <c r="O209" i="8" s="1"/>
  <c r="N209" i="8"/>
  <c r="R208" i="8"/>
  <c r="S208" i="8" s="1"/>
  <c r="P208" i="8"/>
  <c r="Q208" i="8" s="1"/>
  <c r="M208" i="8"/>
  <c r="O208" i="8" s="1"/>
  <c r="L208" i="8"/>
  <c r="N208" i="8" s="1"/>
  <c r="R207" i="8"/>
  <c r="S207" i="8" s="1"/>
  <c r="P207" i="8"/>
  <c r="Q207" i="8" s="1"/>
  <c r="M207" i="8"/>
  <c r="O207" i="8" s="1"/>
  <c r="L207" i="8"/>
  <c r="N207" i="8" s="1"/>
  <c r="R204" i="8"/>
  <c r="S204" i="8" s="1"/>
  <c r="P204" i="8"/>
  <c r="Q204" i="8" s="1"/>
  <c r="M204" i="8"/>
  <c r="O204" i="8" s="1"/>
  <c r="L204" i="8"/>
  <c r="N204" i="8" s="1"/>
  <c r="S203" i="8"/>
  <c r="R203" i="8"/>
  <c r="P203" i="8"/>
  <c r="Q203" i="8" s="1"/>
  <c r="M203" i="8"/>
  <c r="O203" i="8" s="1"/>
  <c r="L203" i="8"/>
  <c r="N203" i="8" s="1"/>
  <c r="R202" i="8"/>
  <c r="S202" i="8" s="1"/>
  <c r="P202" i="8"/>
  <c r="Q202" i="8" s="1"/>
  <c r="M202" i="8"/>
  <c r="O202" i="8" s="1"/>
  <c r="L202" i="8"/>
  <c r="N202" i="8" s="1"/>
  <c r="R201" i="8"/>
  <c r="S201" i="8" s="1"/>
  <c r="P201" i="8"/>
  <c r="Q201" i="8" s="1"/>
  <c r="M201" i="8"/>
  <c r="O201" i="8" s="1"/>
  <c r="L201" i="8"/>
  <c r="N201" i="8" s="1"/>
  <c r="R200" i="8"/>
  <c r="S200" i="8" s="1"/>
  <c r="P200" i="8"/>
  <c r="Q200" i="8" s="1"/>
  <c r="M200" i="8"/>
  <c r="O200" i="8" s="1"/>
  <c r="L200" i="8"/>
  <c r="N200" i="8" s="1"/>
  <c r="R199" i="8"/>
  <c r="S199" i="8" s="1"/>
  <c r="P199" i="8"/>
  <c r="Q199" i="8" s="1"/>
  <c r="M199" i="8"/>
  <c r="O199" i="8" s="1"/>
  <c r="L199" i="8"/>
  <c r="N199" i="8" s="1"/>
  <c r="R198" i="8"/>
  <c r="S198" i="8" s="1"/>
  <c r="P198" i="8"/>
  <c r="Q198" i="8" s="1"/>
  <c r="M198" i="8"/>
  <c r="O198" i="8" s="1"/>
  <c r="L198" i="8"/>
  <c r="N198" i="8" s="1"/>
  <c r="R197" i="8"/>
  <c r="S197" i="8" s="1"/>
  <c r="P197" i="8"/>
  <c r="Q197" i="8" s="1"/>
  <c r="M197" i="8"/>
  <c r="O197" i="8" s="1"/>
  <c r="L197" i="8"/>
  <c r="N197" i="8" s="1"/>
  <c r="R196" i="8"/>
  <c r="S196" i="8" s="1"/>
  <c r="P196" i="8"/>
  <c r="Q196" i="8" s="1"/>
  <c r="M196" i="8"/>
  <c r="O196" i="8" s="1"/>
  <c r="L196" i="8"/>
  <c r="N196" i="8" s="1"/>
  <c r="R195" i="8"/>
  <c r="S195" i="8" s="1"/>
  <c r="P195" i="8"/>
  <c r="Q195" i="8" s="1"/>
  <c r="M195" i="8"/>
  <c r="O195" i="8" s="1"/>
  <c r="L195" i="8"/>
  <c r="N195" i="8" s="1"/>
  <c r="R194" i="8"/>
  <c r="S194" i="8" s="1"/>
  <c r="P194" i="8"/>
  <c r="Q194" i="8" s="1"/>
  <c r="M194" i="8"/>
  <c r="O194" i="8" s="1"/>
  <c r="L194" i="8"/>
  <c r="N194" i="8" s="1"/>
  <c r="S193" i="8"/>
  <c r="R193" i="8"/>
  <c r="P193" i="8"/>
  <c r="Q193" i="8" s="1"/>
  <c r="M193" i="8"/>
  <c r="O193" i="8" s="1"/>
  <c r="L193" i="8"/>
  <c r="N193" i="8" s="1"/>
  <c r="R192" i="8"/>
  <c r="S192" i="8" s="1"/>
  <c r="P192" i="8"/>
  <c r="Q192" i="8" s="1"/>
  <c r="M192" i="8"/>
  <c r="O192" i="8" s="1"/>
  <c r="L192" i="8"/>
  <c r="N192" i="8" s="1"/>
  <c r="R191" i="8"/>
  <c r="S191" i="8" s="1"/>
  <c r="P191" i="8"/>
  <c r="Q191" i="8" s="1"/>
  <c r="M191" i="8"/>
  <c r="O191" i="8" s="1"/>
  <c r="L191" i="8"/>
  <c r="N191" i="8" s="1"/>
  <c r="R190" i="8"/>
  <c r="S190" i="8" s="1"/>
  <c r="P190" i="8"/>
  <c r="Q190" i="8" s="1"/>
  <c r="O190" i="8"/>
  <c r="M190" i="8"/>
  <c r="L190" i="8"/>
  <c r="N190" i="8" s="1"/>
  <c r="S189" i="8"/>
  <c r="R189" i="8"/>
  <c r="Q189" i="8"/>
  <c r="Q186" i="8"/>
  <c r="O186" i="8"/>
  <c r="M186" i="8"/>
  <c r="L186" i="8"/>
  <c r="N186" i="8" s="1"/>
  <c r="R185" i="8"/>
  <c r="P185" i="8"/>
  <c r="O185" i="8"/>
  <c r="M185" i="8"/>
  <c r="L185" i="8"/>
  <c r="N185" i="8" s="1"/>
  <c r="S184" i="8"/>
  <c r="R184" i="8"/>
  <c r="P184" i="8"/>
  <c r="Q184" i="8" s="1"/>
  <c r="O184" i="8"/>
  <c r="M184" i="8"/>
  <c r="L184" i="8"/>
  <c r="N184" i="8" s="1"/>
  <c r="S183" i="8"/>
  <c r="S185" i="8" s="1"/>
  <c r="R183" i="8"/>
  <c r="P183" i="8"/>
  <c r="Q183" i="8" s="1"/>
  <c r="O183" i="8"/>
  <c r="M183" i="8"/>
  <c r="L183" i="8"/>
  <c r="N183" i="8" s="1"/>
  <c r="S181" i="8"/>
  <c r="R181" i="8"/>
  <c r="P181" i="8"/>
  <c r="Q181" i="8" s="1"/>
  <c r="O181" i="8"/>
  <c r="M181" i="8"/>
  <c r="L181" i="8"/>
  <c r="N181" i="8" s="1"/>
  <c r="S180" i="8"/>
  <c r="R180" i="8"/>
  <c r="P180" i="8"/>
  <c r="Q180" i="8" s="1"/>
  <c r="O180" i="8"/>
  <c r="M180" i="8"/>
  <c r="L180" i="8"/>
  <c r="N180" i="8" s="1"/>
  <c r="S179" i="8"/>
  <c r="R179" i="8"/>
  <c r="P179" i="8"/>
  <c r="Q179" i="8" s="1"/>
  <c r="O179" i="8"/>
  <c r="M179" i="8"/>
  <c r="L179" i="8"/>
  <c r="N179" i="8" s="1"/>
  <c r="S178" i="8"/>
  <c r="R178" i="8"/>
  <c r="P178" i="8"/>
  <c r="Q178" i="8" s="1"/>
  <c r="O178" i="8"/>
  <c r="M178" i="8"/>
  <c r="L178" i="8"/>
  <c r="N178" i="8" s="1"/>
  <c r="S177" i="8"/>
  <c r="R177" i="8"/>
  <c r="P177" i="8"/>
  <c r="Q177" i="8" s="1"/>
  <c r="O177" i="8"/>
  <c r="M177" i="8"/>
  <c r="L177" i="8"/>
  <c r="N177" i="8" s="1"/>
  <c r="S176" i="8"/>
  <c r="R176" i="8"/>
  <c r="P176" i="8"/>
  <c r="Q176" i="8" s="1"/>
  <c r="O176" i="8"/>
  <c r="M176" i="8"/>
  <c r="L176" i="8"/>
  <c r="N176" i="8" s="1"/>
  <c r="S175" i="8"/>
  <c r="R175" i="8"/>
  <c r="P175" i="8"/>
  <c r="Q175" i="8" s="1"/>
  <c r="O175" i="8"/>
  <c r="M175" i="8"/>
  <c r="L175" i="8"/>
  <c r="N175" i="8" s="1"/>
  <c r="S174" i="8"/>
  <c r="R174" i="8"/>
  <c r="P174" i="8"/>
  <c r="Q174" i="8" s="1"/>
  <c r="O174" i="8"/>
  <c r="M174" i="8"/>
  <c r="L174" i="8"/>
  <c r="N174" i="8" s="1"/>
  <c r="S173" i="8"/>
  <c r="R173" i="8"/>
  <c r="P173" i="8"/>
  <c r="Q173" i="8" s="1"/>
  <c r="O173" i="8"/>
  <c r="M173" i="8"/>
  <c r="L173" i="8"/>
  <c r="N173" i="8" s="1"/>
  <c r="S172" i="8"/>
  <c r="R172" i="8"/>
  <c r="P172" i="8"/>
  <c r="Q172" i="8" s="1"/>
  <c r="O172" i="8"/>
  <c r="M172" i="8"/>
  <c r="L172" i="8"/>
  <c r="N172" i="8" s="1"/>
  <c r="S171" i="8"/>
  <c r="R171" i="8"/>
  <c r="P171" i="8"/>
  <c r="Q171" i="8" s="1"/>
  <c r="O171" i="8"/>
  <c r="M171" i="8"/>
  <c r="L171" i="8"/>
  <c r="N171" i="8" s="1"/>
  <c r="S170" i="8"/>
  <c r="R170" i="8"/>
  <c r="P170" i="8"/>
  <c r="Q170" i="8" s="1"/>
  <c r="O170" i="8"/>
  <c r="M170" i="8"/>
  <c r="L170" i="8"/>
  <c r="N170" i="8" s="1"/>
  <c r="S169" i="8"/>
  <c r="R169" i="8"/>
  <c r="P169" i="8"/>
  <c r="Q169" i="8" s="1"/>
  <c r="O169" i="8"/>
  <c r="M169" i="8"/>
  <c r="L169" i="8"/>
  <c r="N169" i="8" s="1"/>
  <c r="S168" i="8"/>
  <c r="R168" i="8"/>
  <c r="P168" i="8"/>
  <c r="Q168" i="8" s="1"/>
  <c r="O168" i="8"/>
  <c r="M168" i="8"/>
  <c r="L168" i="8"/>
  <c r="N168" i="8" s="1"/>
  <c r="S167" i="8"/>
  <c r="R167" i="8"/>
  <c r="P167" i="8"/>
  <c r="Q167" i="8" s="1"/>
  <c r="O167" i="8"/>
  <c r="M167" i="8"/>
  <c r="L167" i="8"/>
  <c r="N167" i="8" s="1"/>
  <c r="S166" i="8"/>
  <c r="R166" i="8"/>
  <c r="Q166" i="8"/>
  <c r="Q163" i="8"/>
  <c r="M163" i="8"/>
  <c r="O163" i="8" s="1"/>
  <c r="L163" i="8"/>
  <c r="N163" i="8" s="1"/>
  <c r="R162" i="8"/>
  <c r="P162" i="8"/>
  <c r="M162" i="8"/>
  <c r="O162" i="8" s="1"/>
  <c r="L162" i="8"/>
  <c r="N162" i="8" s="1"/>
  <c r="R161" i="8"/>
  <c r="S161" i="8" s="1"/>
  <c r="Q161" i="8"/>
  <c r="P161" i="8"/>
  <c r="M161" i="8"/>
  <c r="O161" i="8" s="1"/>
  <c r="L161" i="8"/>
  <c r="N161" i="8" s="1"/>
  <c r="R160" i="8"/>
  <c r="S160" i="8" s="1"/>
  <c r="Q160" i="8"/>
  <c r="P160" i="8"/>
  <c r="M160" i="8"/>
  <c r="O160" i="8" s="1"/>
  <c r="L160" i="8"/>
  <c r="N160" i="8" s="1"/>
  <c r="R158" i="8"/>
  <c r="S158" i="8" s="1"/>
  <c r="Q158" i="8"/>
  <c r="P158" i="8"/>
  <c r="M158" i="8"/>
  <c r="O158" i="8" s="1"/>
  <c r="L158" i="8"/>
  <c r="N158" i="8" s="1"/>
  <c r="R157" i="8"/>
  <c r="S157" i="8" s="1"/>
  <c r="Q157" i="8"/>
  <c r="P157" i="8"/>
  <c r="M157" i="8"/>
  <c r="O157" i="8" s="1"/>
  <c r="L157" i="8"/>
  <c r="N157" i="8" s="1"/>
  <c r="R156" i="8"/>
  <c r="S156" i="8" s="1"/>
  <c r="Q156" i="8"/>
  <c r="P156" i="8"/>
  <c r="M156" i="8"/>
  <c r="O156" i="8" s="1"/>
  <c r="L156" i="8"/>
  <c r="N156" i="8" s="1"/>
  <c r="R155" i="8"/>
  <c r="S155" i="8" s="1"/>
  <c r="Q155" i="8"/>
  <c r="P155" i="8"/>
  <c r="M155" i="8"/>
  <c r="O155" i="8" s="1"/>
  <c r="L155" i="8"/>
  <c r="N155" i="8" s="1"/>
  <c r="S154" i="8"/>
  <c r="R154" i="8"/>
  <c r="Q154" i="8"/>
  <c r="P154" i="8"/>
  <c r="M154" i="8"/>
  <c r="O154" i="8" s="1"/>
  <c r="L154" i="8"/>
  <c r="N154" i="8" s="1"/>
  <c r="S153" i="8"/>
  <c r="R153" i="8"/>
  <c r="Q153" i="8"/>
  <c r="P153" i="8"/>
  <c r="M153" i="8"/>
  <c r="O153" i="8" s="1"/>
  <c r="L153" i="8"/>
  <c r="N153" i="8" s="1"/>
  <c r="S152" i="8"/>
  <c r="R152" i="8"/>
  <c r="Q152" i="8"/>
  <c r="P152" i="8"/>
  <c r="M152" i="8"/>
  <c r="O152" i="8" s="1"/>
  <c r="L152" i="8"/>
  <c r="N152" i="8" s="1"/>
  <c r="S151" i="8"/>
  <c r="R151" i="8"/>
  <c r="Q151" i="8"/>
  <c r="P151" i="8"/>
  <c r="M151" i="8"/>
  <c r="O151" i="8" s="1"/>
  <c r="L151" i="8"/>
  <c r="N151" i="8" s="1"/>
  <c r="S150" i="8"/>
  <c r="R150" i="8"/>
  <c r="Q150" i="8"/>
  <c r="P150" i="8"/>
  <c r="M150" i="8"/>
  <c r="O150" i="8" s="1"/>
  <c r="L150" i="8"/>
  <c r="N150" i="8" s="1"/>
  <c r="S149" i="8"/>
  <c r="R149" i="8"/>
  <c r="Q149" i="8"/>
  <c r="P149" i="8"/>
  <c r="M149" i="8"/>
  <c r="O149" i="8" s="1"/>
  <c r="L149" i="8"/>
  <c r="N149" i="8" s="1"/>
  <c r="S148" i="8"/>
  <c r="R148" i="8"/>
  <c r="Q148" i="8"/>
  <c r="P148" i="8"/>
  <c r="M148" i="8"/>
  <c r="O148" i="8" s="1"/>
  <c r="L148" i="8"/>
  <c r="N148" i="8" s="1"/>
  <c r="S147" i="8"/>
  <c r="R147" i="8"/>
  <c r="Q147" i="8"/>
  <c r="P147" i="8"/>
  <c r="M147" i="8"/>
  <c r="O147" i="8" s="1"/>
  <c r="L147" i="8"/>
  <c r="N147" i="8" s="1"/>
  <c r="S146" i="8"/>
  <c r="R146" i="8"/>
  <c r="P146" i="8"/>
  <c r="Q146" i="8" s="1"/>
  <c r="M146" i="8"/>
  <c r="O146" i="8" s="1"/>
  <c r="L146" i="8"/>
  <c r="N146" i="8" s="1"/>
  <c r="S145" i="8"/>
  <c r="R145" i="8"/>
  <c r="P145" i="8"/>
  <c r="Q145" i="8" s="1"/>
  <c r="M145" i="8"/>
  <c r="O145" i="8" s="1"/>
  <c r="L145" i="8"/>
  <c r="N145" i="8" s="1"/>
  <c r="S144" i="8"/>
  <c r="R144" i="8"/>
  <c r="P144" i="8"/>
  <c r="Q144" i="8" s="1"/>
  <c r="M144" i="8"/>
  <c r="O144" i="8" s="1"/>
  <c r="L144" i="8"/>
  <c r="N144" i="8" s="1"/>
  <c r="S143" i="8"/>
  <c r="R143" i="8"/>
  <c r="Q143" i="8"/>
  <c r="Q140" i="8"/>
  <c r="N140" i="8"/>
  <c r="M140" i="8"/>
  <c r="O140" i="8" s="1"/>
  <c r="L140" i="8"/>
  <c r="R139" i="8"/>
  <c r="P139" i="8"/>
  <c r="N139" i="8"/>
  <c r="M139" i="8"/>
  <c r="O139" i="8" s="1"/>
  <c r="L139" i="8"/>
  <c r="R138" i="8"/>
  <c r="S138" i="8" s="1"/>
  <c r="Q138" i="8"/>
  <c r="P138" i="8"/>
  <c r="N138" i="8"/>
  <c r="M138" i="8"/>
  <c r="O138" i="8" s="1"/>
  <c r="L138" i="8"/>
  <c r="R137" i="8"/>
  <c r="S137" i="8" s="1"/>
  <c r="Q137" i="8"/>
  <c r="Q139" i="8" s="1"/>
  <c r="P137" i="8"/>
  <c r="N137" i="8"/>
  <c r="M137" i="8"/>
  <c r="O137" i="8" s="1"/>
  <c r="L137" i="8"/>
  <c r="R135" i="8"/>
  <c r="S135" i="8" s="1"/>
  <c r="Q135" i="8"/>
  <c r="P135" i="8"/>
  <c r="N135" i="8"/>
  <c r="M135" i="8"/>
  <c r="O135" i="8" s="1"/>
  <c r="L135" i="8"/>
  <c r="R134" i="8"/>
  <c r="S134" i="8" s="1"/>
  <c r="Q134" i="8"/>
  <c r="P134" i="8"/>
  <c r="N134" i="8"/>
  <c r="M134" i="8"/>
  <c r="O134" i="8" s="1"/>
  <c r="L134" i="8"/>
  <c r="R133" i="8"/>
  <c r="S133" i="8" s="1"/>
  <c r="Q133" i="8"/>
  <c r="P133" i="8"/>
  <c r="N133" i="8"/>
  <c r="M133" i="8"/>
  <c r="O133" i="8" s="1"/>
  <c r="L133" i="8"/>
  <c r="R132" i="8"/>
  <c r="S132" i="8" s="1"/>
  <c r="Q132" i="8"/>
  <c r="P132" i="8"/>
  <c r="N132" i="8"/>
  <c r="M132" i="8"/>
  <c r="O132" i="8" s="1"/>
  <c r="L132" i="8"/>
  <c r="R131" i="8"/>
  <c r="S131" i="8" s="1"/>
  <c r="Q131" i="8"/>
  <c r="P131" i="8"/>
  <c r="N131" i="8"/>
  <c r="M131" i="8"/>
  <c r="O131" i="8" s="1"/>
  <c r="L131" i="8"/>
  <c r="R130" i="8"/>
  <c r="S130" i="8" s="1"/>
  <c r="Q130" i="8"/>
  <c r="P130" i="8"/>
  <c r="N130" i="8"/>
  <c r="M130" i="8"/>
  <c r="O130" i="8" s="1"/>
  <c r="L130" i="8"/>
  <c r="R129" i="8"/>
  <c r="S129" i="8" s="1"/>
  <c r="Q129" i="8"/>
  <c r="P129" i="8"/>
  <c r="N129" i="8"/>
  <c r="M129" i="8"/>
  <c r="O129" i="8" s="1"/>
  <c r="L129" i="8"/>
  <c r="R128" i="8"/>
  <c r="S128" i="8" s="1"/>
  <c r="Q128" i="8"/>
  <c r="P128" i="8"/>
  <c r="N128" i="8"/>
  <c r="M128" i="8"/>
  <c r="O128" i="8" s="1"/>
  <c r="L128" i="8"/>
  <c r="R127" i="8"/>
  <c r="S127" i="8" s="1"/>
  <c r="Q127" i="8"/>
  <c r="P127" i="8"/>
  <c r="N127" i="8"/>
  <c r="M127" i="8"/>
  <c r="O127" i="8" s="1"/>
  <c r="L127" i="8"/>
  <c r="R126" i="8"/>
  <c r="S126" i="8" s="1"/>
  <c r="Q126" i="8"/>
  <c r="P126" i="8"/>
  <c r="N126" i="8"/>
  <c r="M126" i="8"/>
  <c r="O126" i="8" s="1"/>
  <c r="L126" i="8"/>
  <c r="R125" i="8"/>
  <c r="S125" i="8" s="1"/>
  <c r="Q125" i="8"/>
  <c r="P125" i="8"/>
  <c r="N125" i="8"/>
  <c r="M125" i="8"/>
  <c r="O125" i="8" s="1"/>
  <c r="L125" i="8"/>
  <c r="R124" i="8"/>
  <c r="S124" i="8" s="1"/>
  <c r="Q124" i="8"/>
  <c r="P124" i="8"/>
  <c r="N124" i="8"/>
  <c r="M124" i="8"/>
  <c r="O124" i="8" s="1"/>
  <c r="L124" i="8"/>
  <c r="R123" i="8"/>
  <c r="S123" i="8" s="1"/>
  <c r="Q123" i="8"/>
  <c r="P123" i="8"/>
  <c r="N123" i="8"/>
  <c r="M123" i="8"/>
  <c r="O123" i="8" s="1"/>
  <c r="L123" i="8"/>
  <c r="R122" i="8"/>
  <c r="S122" i="8" s="1"/>
  <c r="Q122" i="8"/>
  <c r="P122" i="8"/>
  <c r="N122" i="8"/>
  <c r="M122" i="8"/>
  <c r="O122" i="8" s="1"/>
  <c r="L122" i="8"/>
  <c r="R121" i="8"/>
  <c r="S121" i="8" s="1"/>
  <c r="Q121" i="8"/>
  <c r="P121" i="8"/>
  <c r="N121" i="8"/>
  <c r="M121" i="8"/>
  <c r="O121" i="8" s="1"/>
  <c r="L121" i="8"/>
  <c r="R120" i="8"/>
  <c r="S120" i="8" s="1"/>
  <c r="Q120" i="8"/>
  <c r="Q117" i="8"/>
  <c r="O117" i="8"/>
  <c r="N117" i="8"/>
  <c r="M117" i="8"/>
  <c r="L117" i="8"/>
  <c r="R116" i="8"/>
  <c r="P116" i="8"/>
  <c r="O116" i="8"/>
  <c r="N116" i="8"/>
  <c r="M116" i="8"/>
  <c r="L116" i="8"/>
  <c r="R115" i="8"/>
  <c r="S115" i="8" s="1"/>
  <c r="Q115" i="8"/>
  <c r="P115" i="8"/>
  <c r="O115" i="8"/>
  <c r="N115" i="8"/>
  <c r="M115" i="8"/>
  <c r="L115" i="8"/>
  <c r="R114" i="8"/>
  <c r="S114" i="8" s="1"/>
  <c r="Q114" i="8"/>
  <c r="Q116" i="8" s="1"/>
  <c r="P114" i="8"/>
  <c r="O114" i="8"/>
  <c r="N114" i="8"/>
  <c r="M114" i="8"/>
  <c r="L114" i="8"/>
  <c r="R112" i="8"/>
  <c r="S112" i="8" s="1"/>
  <c r="Q112" i="8"/>
  <c r="P112" i="8"/>
  <c r="O112" i="8"/>
  <c r="N112" i="8"/>
  <c r="M112" i="8"/>
  <c r="L112" i="8"/>
  <c r="R111" i="8"/>
  <c r="S111" i="8" s="1"/>
  <c r="Q111" i="8"/>
  <c r="P111" i="8"/>
  <c r="O111" i="8"/>
  <c r="N111" i="8"/>
  <c r="M111" i="8"/>
  <c r="L111" i="8"/>
  <c r="R110" i="8"/>
  <c r="S110" i="8" s="1"/>
  <c r="Q110" i="8"/>
  <c r="P110" i="8"/>
  <c r="O110" i="8"/>
  <c r="N110" i="8"/>
  <c r="M110" i="8"/>
  <c r="L110" i="8"/>
  <c r="S109" i="8"/>
  <c r="R109" i="8"/>
  <c r="Q109" i="8"/>
  <c r="P109" i="8"/>
  <c r="O109" i="8"/>
  <c r="N109" i="8"/>
  <c r="M109" i="8"/>
  <c r="L109" i="8"/>
  <c r="S108" i="8"/>
  <c r="R108" i="8"/>
  <c r="Q108" i="8"/>
  <c r="P108" i="8"/>
  <c r="O108" i="8"/>
  <c r="N108" i="8"/>
  <c r="M108" i="8"/>
  <c r="L108" i="8"/>
  <c r="S107" i="8"/>
  <c r="R107" i="8"/>
  <c r="Q107" i="8"/>
  <c r="P107" i="8"/>
  <c r="O107" i="8"/>
  <c r="N107" i="8"/>
  <c r="M107" i="8"/>
  <c r="L107" i="8"/>
  <c r="S106" i="8"/>
  <c r="R106" i="8"/>
  <c r="Q106" i="8"/>
  <c r="P106" i="8"/>
  <c r="O106" i="8"/>
  <c r="N106" i="8"/>
  <c r="M106" i="8"/>
  <c r="L106" i="8"/>
  <c r="S105" i="8"/>
  <c r="R105" i="8"/>
  <c r="Q105" i="8"/>
  <c r="P105" i="8"/>
  <c r="O105" i="8"/>
  <c r="N105" i="8"/>
  <c r="M105" i="8"/>
  <c r="L105" i="8"/>
  <c r="S104" i="8"/>
  <c r="R104" i="8"/>
  <c r="Q104" i="8"/>
  <c r="P104" i="8"/>
  <c r="O104" i="8"/>
  <c r="N104" i="8"/>
  <c r="M104" i="8"/>
  <c r="L104" i="8"/>
  <c r="S103" i="8"/>
  <c r="R103" i="8"/>
  <c r="Q103" i="8"/>
  <c r="P103" i="8"/>
  <c r="O103" i="8"/>
  <c r="N103" i="8"/>
  <c r="M103" i="8"/>
  <c r="L103" i="8"/>
  <c r="S102" i="8"/>
  <c r="R102" i="8"/>
  <c r="Q102" i="8"/>
  <c r="P102" i="8"/>
  <c r="O102" i="8"/>
  <c r="N102" i="8"/>
  <c r="M102" i="8"/>
  <c r="L102" i="8"/>
  <c r="S101" i="8"/>
  <c r="R101" i="8"/>
  <c r="Q101" i="8"/>
  <c r="P101" i="8"/>
  <c r="O101" i="8"/>
  <c r="N101" i="8"/>
  <c r="M101" i="8"/>
  <c r="L101" i="8"/>
  <c r="S100" i="8"/>
  <c r="R100" i="8"/>
  <c r="Q100" i="8"/>
  <c r="P100" i="8"/>
  <c r="O100" i="8"/>
  <c r="N100" i="8"/>
  <c r="M100" i="8"/>
  <c r="L100" i="8"/>
  <c r="S99" i="8"/>
  <c r="R99" i="8"/>
  <c r="Q99" i="8"/>
  <c r="P99" i="8"/>
  <c r="O99" i="8"/>
  <c r="N99" i="8"/>
  <c r="M99" i="8"/>
  <c r="L99" i="8"/>
  <c r="S98" i="8"/>
  <c r="R98" i="8"/>
  <c r="Q98" i="8"/>
  <c r="P98" i="8"/>
  <c r="O98" i="8"/>
  <c r="N98" i="8"/>
  <c r="M98" i="8"/>
  <c r="L98" i="8"/>
  <c r="S97" i="8"/>
  <c r="R97" i="8"/>
  <c r="Q97" i="8"/>
  <c r="Q94" i="8"/>
  <c r="O94" i="8"/>
  <c r="M94" i="8"/>
  <c r="L94" i="8"/>
  <c r="N94" i="8" s="1"/>
  <c r="R93" i="8"/>
  <c r="P93" i="8"/>
  <c r="O93" i="8"/>
  <c r="M93" i="8"/>
  <c r="L93" i="8"/>
  <c r="N93" i="8" s="1"/>
  <c r="S92" i="8"/>
  <c r="R92" i="8"/>
  <c r="P92" i="8"/>
  <c r="Q92" i="8" s="1"/>
  <c r="O92" i="8"/>
  <c r="M92" i="8"/>
  <c r="L92" i="8"/>
  <c r="N92" i="8" s="1"/>
  <c r="S91" i="8"/>
  <c r="R91" i="8"/>
  <c r="P91" i="8"/>
  <c r="Q91" i="8" s="1"/>
  <c r="O91" i="8"/>
  <c r="N91" i="8"/>
  <c r="M91" i="8"/>
  <c r="L91" i="8"/>
  <c r="S90" i="8"/>
  <c r="R90" i="8"/>
  <c r="P90" i="8"/>
  <c r="Q90" i="8" s="1"/>
  <c r="O90" i="8"/>
  <c r="N90" i="8"/>
  <c r="M90" i="8"/>
  <c r="L90" i="8"/>
  <c r="R89" i="8"/>
  <c r="S89" i="8" s="1"/>
  <c r="P89" i="8"/>
  <c r="Q89" i="8" s="1"/>
  <c r="O89" i="8"/>
  <c r="M89" i="8"/>
  <c r="L89" i="8"/>
  <c r="N89" i="8" s="1"/>
  <c r="S88" i="8"/>
  <c r="R88" i="8"/>
  <c r="P88" i="8"/>
  <c r="Q88" i="8" s="1"/>
  <c r="O88" i="8"/>
  <c r="M88" i="8"/>
  <c r="L88" i="8"/>
  <c r="N88" i="8" s="1"/>
  <c r="S87" i="8"/>
  <c r="R87" i="8"/>
  <c r="P87" i="8"/>
  <c r="Q87" i="8" s="1"/>
  <c r="O87" i="8"/>
  <c r="N87" i="8"/>
  <c r="M87" i="8"/>
  <c r="L87" i="8"/>
  <c r="S86" i="8"/>
  <c r="R86" i="8"/>
  <c r="P86" i="8"/>
  <c r="Q86" i="8" s="1"/>
  <c r="N86" i="8"/>
  <c r="M86" i="8"/>
  <c r="O86" i="8" s="1"/>
  <c r="L86" i="8"/>
  <c r="R85" i="8"/>
  <c r="S85" i="8" s="1"/>
  <c r="Q85" i="8"/>
  <c r="P85" i="8"/>
  <c r="N85" i="8"/>
  <c r="M85" i="8"/>
  <c r="O85" i="8" s="1"/>
  <c r="L85" i="8"/>
  <c r="R84" i="8"/>
  <c r="S84" i="8" s="1"/>
  <c r="Q84" i="8"/>
  <c r="P84" i="8"/>
  <c r="N84" i="8"/>
  <c r="M84" i="8"/>
  <c r="O84" i="8" s="1"/>
  <c r="L84" i="8"/>
  <c r="R83" i="8"/>
  <c r="S83" i="8" s="1"/>
  <c r="Q83" i="8"/>
  <c r="P83" i="8"/>
  <c r="N83" i="8"/>
  <c r="M83" i="8"/>
  <c r="O83" i="8" s="1"/>
  <c r="L83" i="8"/>
  <c r="R82" i="8"/>
  <c r="S82" i="8" s="1"/>
  <c r="Q82" i="8"/>
  <c r="P82" i="8"/>
  <c r="N82" i="8"/>
  <c r="M82" i="8"/>
  <c r="O82" i="8" s="1"/>
  <c r="L82" i="8"/>
  <c r="R81" i="8"/>
  <c r="S81" i="8" s="1"/>
  <c r="Q81" i="8"/>
  <c r="P81" i="8"/>
  <c r="N81" i="8"/>
  <c r="M81" i="8"/>
  <c r="O81" i="8" s="1"/>
  <c r="L81" i="8"/>
  <c r="R80" i="8"/>
  <c r="S80" i="8" s="1"/>
  <c r="Q80" i="8"/>
  <c r="P80" i="8"/>
  <c r="N80" i="8"/>
  <c r="M80" i="8"/>
  <c r="O80" i="8" s="1"/>
  <c r="L80" i="8"/>
  <c r="R79" i="8"/>
  <c r="S79" i="8" s="1"/>
  <c r="Q79" i="8"/>
  <c r="P79" i="8"/>
  <c r="N79" i="8"/>
  <c r="M79" i="8"/>
  <c r="O79" i="8" s="1"/>
  <c r="L79" i="8"/>
  <c r="R78" i="8"/>
  <c r="S78" i="8" s="1"/>
  <c r="Q78" i="8"/>
  <c r="P78" i="8"/>
  <c r="N78" i="8"/>
  <c r="M78" i="8"/>
  <c r="O78" i="8" s="1"/>
  <c r="L78" i="8"/>
  <c r="R77" i="8"/>
  <c r="S77" i="8" s="1"/>
  <c r="Q77" i="8"/>
  <c r="P77" i="8"/>
  <c r="N77" i="8"/>
  <c r="M77" i="8"/>
  <c r="O77" i="8" s="1"/>
  <c r="L77" i="8"/>
  <c r="R76" i="8"/>
  <c r="S76" i="8" s="1"/>
  <c r="Q76" i="8"/>
  <c r="P76" i="8"/>
  <c r="N76" i="8"/>
  <c r="M76" i="8"/>
  <c r="O76" i="8" s="1"/>
  <c r="L76" i="8"/>
  <c r="R75" i="8"/>
  <c r="S75" i="8" s="1"/>
  <c r="Q75" i="8"/>
  <c r="P75" i="8"/>
  <c r="N75" i="8"/>
  <c r="M75" i="8"/>
  <c r="O75" i="8" s="1"/>
  <c r="L75" i="8"/>
  <c r="R74" i="8"/>
  <c r="S74" i="8" s="1"/>
  <c r="Q74" i="8"/>
  <c r="Q71" i="8"/>
  <c r="O71" i="8"/>
  <c r="N71" i="8"/>
  <c r="M71" i="8"/>
  <c r="L71" i="8"/>
  <c r="R70" i="8"/>
  <c r="P70" i="8"/>
  <c r="O70" i="8"/>
  <c r="N70" i="8"/>
  <c r="M70" i="8"/>
  <c r="L70" i="8"/>
  <c r="S69" i="8"/>
  <c r="R69" i="8"/>
  <c r="Q69" i="8"/>
  <c r="P69" i="8"/>
  <c r="O69" i="8"/>
  <c r="N69" i="8"/>
  <c r="M69" i="8"/>
  <c r="L69" i="8"/>
  <c r="S68" i="8"/>
  <c r="S70" i="8" s="1"/>
  <c r="R68" i="8"/>
  <c r="Q68" i="8"/>
  <c r="Q70" i="8" s="1"/>
  <c r="S71" i="8" s="1"/>
  <c r="P68" i="8"/>
  <c r="O68" i="8"/>
  <c r="N68" i="8"/>
  <c r="M68" i="8"/>
  <c r="L68" i="8"/>
  <c r="S67" i="8"/>
  <c r="R67" i="8"/>
  <c r="Q67" i="8"/>
  <c r="P67" i="8"/>
  <c r="O67" i="8"/>
  <c r="N67" i="8"/>
  <c r="M67" i="8"/>
  <c r="L67" i="8"/>
  <c r="S66" i="8"/>
  <c r="R66" i="8"/>
  <c r="Q66" i="8"/>
  <c r="P66" i="8"/>
  <c r="O66" i="8"/>
  <c r="N66" i="8"/>
  <c r="M66" i="8"/>
  <c r="L66" i="8"/>
  <c r="S65" i="8"/>
  <c r="R65" i="8"/>
  <c r="Q65" i="8"/>
  <c r="P65" i="8"/>
  <c r="O65" i="8"/>
  <c r="N65" i="8"/>
  <c r="M65" i="8"/>
  <c r="L65" i="8"/>
  <c r="S64" i="8"/>
  <c r="R64" i="8"/>
  <c r="Q64" i="8"/>
  <c r="P64" i="8"/>
  <c r="O64" i="8"/>
  <c r="N64" i="8"/>
  <c r="M64" i="8"/>
  <c r="L64" i="8"/>
  <c r="S63" i="8"/>
  <c r="R63" i="8"/>
  <c r="Q63" i="8"/>
  <c r="P63" i="8"/>
  <c r="O63" i="8"/>
  <c r="N63" i="8"/>
  <c r="M63" i="8"/>
  <c r="L63" i="8"/>
  <c r="S62" i="8"/>
  <c r="R62" i="8"/>
  <c r="Q62" i="8"/>
  <c r="P62" i="8"/>
  <c r="O62" i="8"/>
  <c r="N62" i="8"/>
  <c r="M62" i="8"/>
  <c r="L62" i="8"/>
  <c r="S61" i="8"/>
  <c r="R61" i="8"/>
  <c r="Q61" i="8"/>
  <c r="P61" i="8"/>
  <c r="O61" i="8"/>
  <c r="N61" i="8"/>
  <c r="M61" i="8"/>
  <c r="L61" i="8"/>
  <c r="S60" i="8"/>
  <c r="R60" i="8"/>
  <c r="Q60" i="8"/>
  <c r="P60" i="8"/>
  <c r="O60" i="8"/>
  <c r="N60" i="8"/>
  <c r="M60" i="8"/>
  <c r="L60" i="8"/>
  <c r="S59" i="8"/>
  <c r="R59" i="8"/>
  <c r="Q59" i="8"/>
  <c r="P59" i="8"/>
  <c r="O59" i="8"/>
  <c r="N59" i="8"/>
  <c r="M59" i="8"/>
  <c r="L59" i="8"/>
  <c r="S58" i="8"/>
  <c r="R58" i="8"/>
  <c r="Q58" i="8"/>
  <c r="P58" i="8"/>
  <c r="O58" i="8"/>
  <c r="N58" i="8"/>
  <c r="M58" i="8"/>
  <c r="L58" i="8"/>
  <c r="S57" i="8"/>
  <c r="R57" i="8"/>
  <c r="Q57" i="8"/>
  <c r="P57" i="8"/>
  <c r="O57" i="8"/>
  <c r="N57" i="8"/>
  <c r="M57" i="8"/>
  <c r="L57" i="8"/>
  <c r="S56" i="8"/>
  <c r="R56" i="8"/>
  <c r="Q56" i="8"/>
  <c r="P56" i="8"/>
  <c r="O56" i="8"/>
  <c r="N56" i="8"/>
  <c r="M56" i="8"/>
  <c r="L56" i="8"/>
  <c r="S55" i="8"/>
  <c r="R55" i="8"/>
  <c r="Q55" i="8"/>
  <c r="P55" i="8"/>
  <c r="O55" i="8"/>
  <c r="N55" i="8"/>
  <c r="M55" i="8"/>
  <c r="L55" i="8"/>
  <c r="S54" i="8"/>
  <c r="R54" i="8"/>
  <c r="Q54" i="8"/>
  <c r="P54" i="8"/>
  <c r="O54" i="8"/>
  <c r="N54" i="8"/>
  <c r="M54" i="8"/>
  <c r="L54" i="8"/>
  <c r="S53" i="8"/>
  <c r="R53" i="8"/>
  <c r="Q53" i="8"/>
  <c r="P53" i="8"/>
  <c r="O53" i="8"/>
  <c r="N53" i="8"/>
  <c r="M53" i="8"/>
  <c r="L53" i="8"/>
  <c r="S52" i="8"/>
  <c r="R52" i="8"/>
  <c r="Q52" i="8"/>
  <c r="P52" i="8"/>
  <c r="O52" i="8"/>
  <c r="N52" i="8"/>
  <c r="M52" i="8"/>
  <c r="L52" i="8"/>
  <c r="S51" i="8"/>
  <c r="R51" i="8"/>
  <c r="Q51" i="8"/>
  <c r="Q48" i="8"/>
  <c r="O48" i="8"/>
  <c r="M48" i="8"/>
  <c r="L48" i="8"/>
  <c r="N48" i="8" s="1"/>
  <c r="R47" i="8"/>
  <c r="P47" i="8"/>
  <c r="O47" i="8"/>
  <c r="M47" i="8"/>
  <c r="L47" i="8"/>
  <c r="N47" i="8" s="1"/>
  <c r="R46" i="8"/>
  <c r="S46" i="8" s="1"/>
  <c r="P46" i="8"/>
  <c r="Q46" i="8" s="1"/>
  <c r="O46" i="8"/>
  <c r="M46" i="8"/>
  <c r="L46" i="8"/>
  <c r="N46" i="8" s="1"/>
  <c r="R45" i="8"/>
  <c r="S45" i="8" s="1"/>
  <c r="P45" i="8"/>
  <c r="Q45" i="8" s="1"/>
  <c r="O45" i="8"/>
  <c r="M45" i="8"/>
  <c r="L45" i="8"/>
  <c r="N45" i="8" s="1"/>
  <c r="R44" i="8"/>
  <c r="S44" i="8" s="1"/>
  <c r="P44" i="8"/>
  <c r="Q44" i="8" s="1"/>
  <c r="O44" i="8"/>
  <c r="M44" i="8"/>
  <c r="L44" i="8"/>
  <c r="N44" i="8" s="1"/>
  <c r="R43" i="8"/>
  <c r="S43" i="8" s="1"/>
  <c r="P43" i="8"/>
  <c r="Q43" i="8" s="1"/>
  <c r="O43" i="8"/>
  <c r="M43" i="8"/>
  <c r="L43" i="8"/>
  <c r="N43" i="8" s="1"/>
  <c r="R42" i="8"/>
  <c r="S42" i="8" s="1"/>
  <c r="P42" i="8"/>
  <c r="Q42" i="8" s="1"/>
  <c r="O42" i="8"/>
  <c r="M42" i="8"/>
  <c r="L42" i="8"/>
  <c r="N42" i="8" s="1"/>
  <c r="R41" i="8"/>
  <c r="S41" i="8" s="1"/>
  <c r="P41" i="8"/>
  <c r="Q41" i="8" s="1"/>
  <c r="O41" i="8"/>
  <c r="M41" i="8"/>
  <c r="L41" i="8"/>
  <c r="N41" i="8" s="1"/>
  <c r="R40" i="8"/>
  <c r="S40" i="8" s="1"/>
  <c r="P40" i="8"/>
  <c r="Q40" i="8" s="1"/>
  <c r="O40" i="8"/>
  <c r="M40" i="8"/>
  <c r="L40" i="8"/>
  <c r="N40" i="8" s="1"/>
  <c r="R39" i="8"/>
  <c r="S39" i="8" s="1"/>
  <c r="P39" i="8"/>
  <c r="Q39" i="8" s="1"/>
  <c r="O39" i="8"/>
  <c r="M39" i="8"/>
  <c r="L39" i="8"/>
  <c r="N39" i="8" s="1"/>
  <c r="R38" i="8"/>
  <c r="S38" i="8" s="1"/>
  <c r="P38" i="8"/>
  <c r="Q38" i="8" s="1"/>
  <c r="O38" i="8"/>
  <c r="M38" i="8"/>
  <c r="L38" i="8"/>
  <c r="N38" i="8" s="1"/>
  <c r="R37" i="8"/>
  <c r="S37" i="8" s="1"/>
  <c r="P37" i="8"/>
  <c r="Q37" i="8" s="1"/>
  <c r="O37" i="8"/>
  <c r="M37" i="8"/>
  <c r="L37" i="8"/>
  <c r="N37" i="8" s="1"/>
  <c r="R36" i="8"/>
  <c r="S36" i="8" s="1"/>
  <c r="P36" i="8"/>
  <c r="Q36" i="8" s="1"/>
  <c r="O36" i="8"/>
  <c r="M36" i="8"/>
  <c r="L36" i="8"/>
  <c r="N36" i="8" s="1"/>
  <c r="R35" i="8"/>
  <c r="S35" i="8" s="1"/>
  <c r="P35" i="8"/>
  <c r="Q35" i="8" s="1"/>
  <c r="O35" i="8"/>
  <c r="M35" i="8"/>
  <c r="L35" i="8"/>
  <c r="N35" i="8" s="1"/>
  <c r="R34" i="8"/>
  <c r="S34" i="8" s="1"/>
  <c r="P34" i="8"/>
  <c r="Q34" i="8" s="1"/>
  <c r="O34" i="8"/>
  <c r="M34" i="8"/>
  <c r="L34" i="8"/>
  <c r="N34" i="8" s="1"/>
  <c r="R33" i="8"/>
  <c r="S33" i="8" s="1"/>
  <c r="P33" i="8"/>
  <c r="Q33" i="8" s="1"/>
  <c r="O33" i="8"/>
  <c r="M33" i="8"/>
  <c r="L33" i="8"/>
  <c r="N33" i="8" s="1"/>
  <c r="R32" i="8"/>
  <c r="S32" i="8" s="1"/>
  <c r="P32" i="8"/>
  <c r="Q32" i="8" s="1"/>
  <c r="O32" i="8"/>
  <c r="M32" i="8"/>
  <c r="L32" i="8"/>
  <c r="N32" i="8" s="1"/>
  <c r="R31" i="8"/>
  <c r="S31" i="8" s="1"/>
  <c r="P31" i="8"/>
  <c r="Q31" i="8" s="1"/>
  <c r="O31" i="8"/>
  <c r="M31" i="8"/>
  <c r="L31" i="8"/>
  <c r="N31" i="8" s="1"/>
  <c r="R30" i="8"/>
  <c r="S30" i="8" s="1"/>
  <c r="P30" i="8"/>
  <c r="Q30" i="8" s="1"/>
  <c r="O30" i="8"/>
  <c r="M30" i="8"/>
  <c r="L30" i="8"/>
  <c r="N30" i="8" s="1"/>
  <c r="R29" i="8"/>
  <c r="S29" i="8" s="1"/>
  <c r="P29" i="8"/>
  <c r="Q29" i="8" s="1"/>
  <c r="O29" i="8"/>
  <c r="M29" i="8"/>
  <c r="L29" i="8"/>
  <c r="N29" i="8" s="1"/>
  <c r="R28" i="8"/>
  <c r="S28" i="8" s="1"/>
  <c r="Q28" i="8"/>
  <c r="Q25" i="8"/>
  <c r="M25" i="8"/>
  <c r="O25" i="8" s="1"/>
  <c r="L25" i="8"/>
  <c r="N25" i="8" s="1"/>
  <c r="R24" i="8"/>
  <c r="P24" i="8"/>
  <c r="M24" i="8"/>
  <c r="O24" i="8" s="1"/>
  <c r="L24" i="8"/>
  <c r="N24" i="8" s="1"/>
  <c r="S23" i="8"/>
  <c r="R23" i="8"/>
  <c r="Q23" i="8"/>
  <c r="P23" i="8"/>
  <c r="M23" i="8"/>
  <c r="O23" i="8" s="1"/>
  <c r="L23" i="8"/>
  <c r="N23" i="8" s="1"/>
  <c r="S22" i="8"/>
  <c r="R22" i="8"/>
  <c r="Q22" i="8"/>
  <c r="P22" i="8"/>
  <c r="M22" i="8"/>
  <c r="O22" i="8" s="1"/>
  <c r="L22" i="8"/>
  <c r="N22" i="8" s="1"/>
  <c r="S21" i="8"/>
  <c r="R21" i="8"/>
  <c r="Q21" i="8"/>
  <c r="P21" i="8"/>
  <c r="M21" i="8"/>
  <c r="O21" i="8" s="1"/>
  <c r="L21" i="8"/>
  <c r="N21" i="8" s="1"/>
  <c r="S20" i="8"/>
  <c r="R20" i="8"/>
  <c r="Q20" i="8"/>
  <c r="P20" i="8"/>
  <c r="M20" i="8"/>
  <c r="O20" i="8" s="1"/>
  <c r="L20" i="8"/>
  <c r="N20" i="8" s="1"/>
  <c r="S19" i="8"/>
  <c r="R19" i="8"/>
  <c r="Q19" i="8"/>
  <c r="P19" i="8"/>
  <c r="M19" i="8"/>
  <c r="O19" i="8" s="1"/>
  <c r="L19" i="8"/>
  <c r="N19" i="8" s="1"/>
  <c r="S18" i="8"/>
  <c r="R18" i="8"/>
  <c r="Q18" i="8"/>
  <c r="P18" i="8"/>
  <c r="M18" i="8"/>
  <c r="O18" i="8" s="1"/>
  <c r="L18" i="8"/>
  <c r="N18" i="8" s="1"/>
  <c r="S17" i="8"/>
  <c r="R17" i="8"/>
  <c r="Q17" i="8"/>
  <c r="P17" i="8"/>
  <c r="M17" i="8"/>
  <c r="O17" i="8" s="1"/>
  <c r="L17" i="8"/>
  <c r="N17" i="8" s="1"/>
  <c r="S16" i="8"/>
  <c r="R16" i="8"/>
  <c r="Q16" i="8"/>
  <c r="P16" i="8"/>
  <c r="M16" i="8"/>
  <c r="O16" i="8" s="1"/>
  <c r="L16" i="8"/>
  <c r="N16" i="8" s="1"/>
  <c r="S15" i="8"/>
  <c r="R15" i="8"/>
  <c r="Q15" i="8"/>
  <c r="P15" i="8"/>
  <c r="M15" i="8"/>
  <c r="O15" i="8" s="1"/>
  <c r="L15" i="8"/>
  <c r="N15" i="8" s="1"/>
  <c r="S14" i="8"/>
  <c r="R14" i="8"/>
  <c r="Q14" i="8"/>
  <c r="P14" i="8"/>
  <c r="M14" i="8"/>
  <c r="O14" i="8" s="1"/>
  <c r="L14" i="8"/>
  <c r="N14" i="8" s="1"/>
  <c r="S13" i="8"/>
  <c r="R13" i="8"/>
  <c r="Q13" i="8"/>
  <c r="P13" i="8"/>
  <c r="M13" i="8"/>
  <c r="O13" i="8" s="1"/>
  <c r="L13" i="8"/>
  <c r="N13" i="8" s="1"/>
  <c r="S12" i="8"/>
  <c r="R12" i="8"/>
  <c r="Q12" i="8"/>
  <c r="P12" i="8"/>
  <c r="M12" i="8"/>
  <c r="O12" i="8" s="1"/>
  <c r="L12" i="8"/>
  <c r="N12" i="8" s="1"/>
  <c r="S11" i="8"/>
  <c r="R11" i="8"/>
  <c r="Q11" i="8"/>
  <c r="P11" i="8"/>
  <c r="M11" i="8"/>
  <c r="O11" i="8" s="1"/>
  <c r="L11" i="8"/>
  <c r="N11" i="8" s="1"/>
  <c r="S10" i="8"/>
  <c r="R10" i="8"/>
  <c r="Q10" i="8"/>
  <c r="P10" i="8"/>
  <c r="M10" i="8"/>
  <c r="O10" i="8" s="1"/>
  <c r="L10" i="8"/>
  <c r="N10" i="8" s="1"/>
  <c r="S9" i="8"/>
  <c r="R9" i="8"/>
  <c r="Q9" i="8"/>
  <c r="P9" i="8"/>
  <c r="M9" i="8"/>
  <c r="O9" i="8" s="1"/>
  <c r="L9" i="8"/>
  <c r="N9" i="8" s="1"/>
  <c r="A9" i="8"/>
  <c r="R8" i="8"/>
  <c r="S8" i="8" s="1"/>
  <c r="P8" i="8"/>
  <c r="Q8" i="8" s="1"/>
  <c r="N8" i="8"/>
  <c r="M8" i="8"/>
  <c r="O8" i="8" s="1"/>
  <c r="L8" i="8"/>
  <c r="R7" i="8"/>
  <c r="S7" i="8" s="1"/>
  <c r="P7" i="8"/>
  <c r="Q7" i="8" s="1"/>
  <c r="N7" i="8"/>
  <c r="M7" i="8"/>
  <c r="O7" i="8" s="1"/>
  <c r="L7" i="8"/>
  <c r="R6" i="8"/>
  <c r="S6" i="8" s="1"/>
  <c r="P6" i="8"/>
  <c r="Q6" i="8" s="1"/>
  <c r="N6" i="8"/>
  <c r="M6" i="8"/>
  <c r="O6" i="8" s="1"/>
  <c r="L6" i="8"/>
  <c r="R5" i="8"/>
  <c r="S5" i="8" s="1"/>
  <c r="Q5" i="8"/>
  <c r="AB15" i="7"/>
  <c r="AA15" i="7"/>
  <c r="Z15" i="7"/>
  <c r="V15" i="7"/>
  <c r="R15" i="7"/>
  <c r="X13" i="7"/>
  <c r="W13" i="7"/>
  <c r="V13" i="7"/>
  <c r="U13" i="7"/>
  <c r="T13" i="7"/>
  <c r="S13" i="7"/>
  <c r="R13" i="7"/>
  <c r="Q13" i="7"/>
  <c r="AB11" i="7"/>
  <c r="AA11" i="7"/>
  <c r="Z11" i="7"/>
  <c r="X10" i="7"/>
  <c r="W10" i="7"/>
  <c r="V10" i="7"/>
  <c r="U10" i="7"/>
  <c r="T10" i="7"/>
  <c r="S10" i="7"/>
  <c r="R10" i="7"/>
  <c r="Q10" i="7"/>
  <c r="X9" i="7"/>
  <c r="W9" i="7"/>
  <c r="V9" i="7"/>
  <c r="U9" i="7"/>
  <c r="T9" i="7"/>
  <c r="S9" i="7"/>
  <c r="R9" i="7"/>
  <c r="Q9" i="7"/>
  <c r="X8" i="7"/>
  <c r="W8" i="7"/>
  <c r="V8" i="7"/>
  <c r="U8" i="7"/>
  <c r="T8" i="7"/>
  <c r="S8" i="7"/>
  <c r="R8" i="7"/>
  <c r="Q8" i="7"/>
  <c r="X7" i="7"/>
  <c r="W7" i="7"/>
  <c r="V7" i="7"/>
  <c r="U7" i="7"/>
  <c r="T7" i="7"/>
  <c r="S7" i="7"/>
  <c r="R7" i="7"/>
  <c r="Q7" i="7"/>
  <c r="X6" i="7"/>
  <c r="W6" i="7"/>
  <c r="V6" i="7"/>
  <c r="U6" i="7"/>
  <c r="T6" i="7"/>
  <c r="S6" i="7"/>
  <c r="R6" i="7"/>
  <c r="Q6" i="7"/>
  <c r="X5" i="7"/>
  <c r="W5" i="7"/>
  <c r="V5" i="7"/>
  <c r="U5" i="7"/>
  <c r="T5" i="7"/>
  <c r="S5" i="7"/>
  <c r="R5" i="7"/>
  <c r="Q5" i="7"/>
  <c r="X4" i="7"/>
  <c r="W4" i="7"/>
  <c r="V4" i="7"/>
  <c r="U4" i="7"/>
  <c r="T4" i="7"/>
  <c r="S4" i="7"/>
  <c r="R4" i="7"/>
  <c r="Q4" i="7"/>
  <c r="X3" i="7"/>
  <c r="W3" i="7"/>
  <c r="V3" i="7"/>
  <c r="U3" i="7"/>
  <c r="T3" i="7"/>
  <c r="S3" i="7"/>
  <c r="R3" i="7"/>
  <c r="Q3" i="7"/>
  <c r="X2" i="7"/>
  <c r="X11" i="7" s="1"/>
  <c r="W2" i="7"/>
  <c r="W15" i="7" s="1"/>
  <c r="V2" i="7"/>
  <c r="V11" i="7" s="1"/>
  <c r="U2" i="7"/>
  <c r="U15" i="7" s="1"/>
  <c r="T2" i="7"/>
  <c r="T11" i="7" s="1"/>
  <c r="S2" i="7"/>
  <c r="S15" i="7" s="1"/>
  <c r="R2" i="7"/>
  <c r="R11" i="7" s="1"/>
  <c r="Q2" i="7"/>
  <c r="Q15" i="7" s="1"/>
  <c r="X16" i="6"/>
  <c r="W16" i="6"/>
  <c r="U16" i="6"/>
  <c r="S16" i="6"/>
  <c r="R16" i="6"/>
  <c r="Q16" i="6"/>
  <c r="P16" i="6"/>
  <c r="Y15" i="6"/>
  <c r="T15" i="6"/>
  <c r="N15" i="6"/>
  <c r="Y14" i="6"/>
  <c r="T14" i="6"/>
  <c r="N14" i="6"/>
  <c r="Y13" i="6"/>
  <c r="T13" i="6"/>
  <c r="N13" i="6"/>
  <c r="Y12" i="6"/>
  <c r="T12" i="6"/>
  <c r="J12" i="6" s="1"/>
  <c r="N12" i="6" s="1"/>
  <c r="Y11" i="6"/>
  <c r="T11" i="6"/>
  <c r="J11" i="6" s="1"/>
  <c r="K11" i="6"/>
  <c r="E11" i="6"/>
  <c r="D11" i="6"/>
  <c r="C11" i="6"/>
  <c r="B11" i="6"/>
  <c r="Y10" i="6"/>
  <c r="T10" i="6"/>
  <c r="J10" i="6" s="1"/>
  <c r="M10" i="6"/>
  <c r="L10" i="6"/>
  <c r="K10" i="6"/>
  <c r="E10" i="6"/>
  <c r="D10" i="6"/>
  <c r="F10" i="6" s="1"/>
  <c r="C10" i="6"/>
  <c r="B10" i="6"/>
  <c r="Y9" i="6"/>
  <c r="M9" i="6" s="1"/>
  <c r="T9" i="6"/>
  <c r="J9" i="6" s="1"/>
  <c r="F9" i="6" s="1"/>
  <c r="N9" i="6" s="1"/>
  <c r="E9" i="6"/>
  <c r="D9" i="6"/>
  <c r="C9" i="6"/>
  <c r="B9" i="6"/>
  <c r="Y8" i="6"/>
  <c r="T8" i="6"/>
  <c r="M8" i="6"/>
  <c r="J8" i="6"/>
  <c r="F8" i="6" s="1"/>
  <c r="N8" i="6" s="1"/>
  <c r="E8" i="6"/>
  <c r="D8" i="6"/>
  <c r="C8" i="6"/>
  <c r="B8" i="6"/>
  <c r="Y7" i="6"/>
  <c r="M7" i="6" s="1"/>
  <c r="T7" i="6"/>
  <c r="L7" i="6"/>
  <c r="K7" i="6"/>
  <c r="J7" i="6"/>
  <c r="I7" i="6"/>
  <c r="H7" i="6"/>
  <c r="G7" i="6"/>
  <c r="E7" i="6"/>
  <c r="D7" i="6"/>
  <c r="C7" i="6"/>
  <c r="B7" i="6"/>
  <c r="Y6" i="6"/>
  <c r="T6" i="6"/>
  <c r="M6" i="6"/>
  <c r="K6" i="6"/>
  <c r="J6" i="6"/>
  <c r="I6" i="6"/>
  <c r="H6" i="6"/>
  <c r="G6" i="6"/>
  <c r="E6" i="6"/>
  <c r="D6" i="6"/>
  <c r="C6" i="6"/>
  <c r="B6" i="6"/>
  <c r="Y5" i="6"/>
  <c r="M5" i="6" s="1"/>
  <c r="T5" i="6"/>
  <c r="K5" i="6"/>
  <c r="J5" i="6"/>
  <c r="I5" i="6"/>
  <c r="H5" i="6"/>
  <c r="G5" i="6"/>
  <c r="E5" i="6"/>
  <c r="D5" i="6"/>
  <c r="C5" i="6"/>
  <c r="B5" i="6"/>
  <c r="Y4" i="6"/>
  <c r="Y16" i="6" s="1"/>
  <c r="T4" i="6"/>
  <c r="K4" i="6"/>
  <c r="J4" i="6"/>
  <c r="I4" i="6"/>
  <c r="H4" i="6"/>
  <c r="H16" i="6" s="1"/>
  <c r="G4" i="6"/>
  <c r="E4" i="6"/>
  <c r="D4" i="6"/>
  <c r="B4" i="6"/>
  <c r="Y91" i="5"/>
  <c r="V91" i="5"/>
  <c r="W82" i="5" s="1"/>
  <c r="T91" i="5"/>
  <c r="U86" i="5" s="1"/>
  <c r="Q91" i="5"/>
  <c r="O91" i="5"/>
  <c r="P82" i="5" s="1"/>
  <c r="L91" i="5"/>
  <c r="G91" i="5" s="1"/>
  <c r="J91" i="5"/>
  <c r="Y90" i="5"/>
  <c r="T90" i="5"/>
  <c r="Q90" i="5"/>
  <c r="O90" i="5"/>
  <c r="J90" i="5"/>
  <c r="Z89" i="5"/>
  <c r="X89" i="5"/>
  <c r="U89" i="5"/>
  <c r="S89" i="5"/>
  <c r="R89" i="5"/>
  <c r="J89" i="5"/>
  <c r="K89" i="5" s="1"/>
  <c r="G89" i="5"/>
  <c r="I89" i="5" s="1"/>
  <c r="U88" i="5"/>
  <c r="S88" i="5"/>
  <c r="R88" i="5"/>
  <c r="K88" i="5"/>
  <c r="J88" i="5"/>
  <c r="G88" i="5"/>
  <c r="Z86" i="5"/>
  <c r="X86" i="5"/>
  <c r="W86" i="5"/>
  <c r="S86" i="5"/>
  <c r="P86" i="5"/>
  <c r="N86" i="5"/>
  <c r="J86" i="5"/>
  <c r="G86" i="5"/>
  <c r="H86" i="5" s="1"/>
  <c r="Z85" i="5"/>
  <c r="X85" i="5"/>
  <c r="S85" i="5"/>
  <c r="R85" i="5"/>
  <c r="N85" i="5"/>
  <c r="J85" i="5"/>
  <c r="K85" i="5" s="1"/>
  <c r="G85" i="5"/>
  <c r="S84" i="5"/>
  <c r="R84" i="5"/>
  <c r="P84" i="5"/>
  <c r="N84" i="5"/>
  <c r="M84" i="5"/>
  <c r="J84" i="5"/>
  <c r="K84" i="5" s="1"/>
  <c r="G84" i="5"/>
  <c r="H84" i="5" s="1"/>
  <c r="Z82" i="5"/>
  <c r="X82" i="5"/>
  <c r="U82" i="5"/>
  <c r="S82" i="5"/>
  <c r="N82" i="5"/>
  <c r="M82" i="5"/>
  <c r="J82" i="5"/>
  <c r="K82" i="5" s="1"/>
  <c r="G82" i="5"/>
  <c r="U81" i="5"/>
  <c r="S81" i="5"/>
  <c r="R81" i="5"/>
  <c r="N81" i="5"/>
  <c r="M81" i="5"/>
  <c r="K81" i="5"/>
  <c r="J81" i="5"/>
  <c r="G81" i="5"/>
  <c r="U79" i="5"/>
  <c r="S79" i="5"/>
  <c r="R79" i="5"/>
  <c r="P79" i="5"/>
  <c r="N79" i="5"/>
  <c r="M79" i="5"/>
  <c r="J79" i="5"/>
  <c r="K79" i="5" s="1"/>
  <c r="G79" i="5"/>
  <c r="Z78" i="5"/>
  <c r="X78" i="5"/>
  <c r="U78" i="5"/>
  <c r="S78" i="5"/>
  <c r="N78" i="5"/>
  <c r="M78" i="5"/>
  <c r="J78" i="5"/>
  <c r="K78" i="5" s="1"/>
  <c r="G78" i="5"/>
  <c r="Z77" i="5"/>
  <c r="X77" i="5"/>
  <c r="W77" i="5"/>
  <c r="U77" i="5"/>
  <c r="S77" i="5"/>
  <c r="R77" i="5"/>
  <c r="P77" i="5"/>
  <c r="N77" i="5"/>
  <c r="M77" i="5"/>
  <c r="J77" i="5"/>
  <c r="K77" i="5" s="1"/>
  <c r="G77" i="5"/>
  <c r="H77" i="5" s="1"/>
  <c r="Z75" i="5"/>
  <c r="X75" i="5"/>
  <c r="W75" i="5"/>
  <c r="U75" i="5"/>
  <c r="S75" i="5"/>
  <c r="P75" i="5"/>
  <c r="N75" i="5"/>
  <c r="M75" i="5"/>
  <c r="J75" i="5"/>
  <c r="K75" i="5" s="1"/>
  <c r="I75" i="5"/>
  <c r="G75" i="5"/>
  <c r="Z74" i="5"/>
  <c r="X74" i="5"/>
  <c r="W74" i="5"/>
  <c r="U74" i="5"/>
  <c r="S74" i="5"/>
  <c r="R74" i="5"/>
  <c r="P74" i="5"/>
  <c r="N74" i="5"/>
  <c r="M74" i="5"/>
  <c r="J74" i="5"/>
  <c r="K74" i="5" s="1"/>
  <c r="G74" i="5"/>
  <c r="H74" i="5" s="1"/>
  <c r="Z73" i="5"/>
  <c r="X73" i="5"/>
  <c r="W73" i="5"/>
  <c r="U73" i="5"/>
  <c r="S73" i="5"/>
  <c r="P73" i="5"/>
  <c r="N73" i="5"/>
  <c r="M73" i="5"/>
  <c r="J73" i="5"/>
  <c r="K73" i="5" s="1"/>
  <c r="G73" i="5"/>
  <c r="T67" i="5"/>
  <c r="J67" i="5" s="1"/>
  <c r="Q67" i="5"/>
  <c r="T63" i="5"/>
  <c r="S63" i="5" s="1"/>
  <c r="Q63" i="5"/>
  <c r="O63" i="5"/>
  <c r="L63" i="5"/>
  <c r="X62" i="5"/>
  <c r="S62" i="5"/>
  <c r="N62" i="5"/>
  <c r="J62" i="5"/>
  <c r="I62" i="5" s="1"/>
  <c r="G62" i="5"/>
  <c r="X61" i="5"/>
  <c r="S61" i="5"/>
  <c r="N61" i="5"/>
  <c r="J61" i="5"/>
  <c r="I61" i="5" s="1"/>
  <c r="G61" i="5"/>
  <c r="T59" i="5"/>
  <c r="Q59" i="5"/>
  <c r="O59" i="5"/>
  <c r="L59" i="5"/>
  <c r="X58" i="5"/>
  <c r="S58" i="5"/>
  <c r="N58" i="5"/>
  <c r="J58" i="5"/>
  <c r="G58" i="5"/>
  <c r="X56" i="5"/>
  <c r="S56" i="5"/>
  <c r="N56" i="5"/>
  <c r="J56" i="5"/>
  <c r="I56" i="5" s="1"/>
  <c r="G56" i="5"/>
  <c r="T55" i="5"/>
  <c r="S55" i="5" s="1"/>
  <c r="Q55" i="5"/>
  <c r="O55" i="5"/>
  <c r="L55" i="5"/>
  <c r="T54" i="5"/>
  <c r="Q54" i="5"/>
  <c r="O54" i="5"/>
  <c r="L54" i="5"/>
  <c r="T52" i="5"/>
  <c r="Q52" i="5"/>
  <c r="O52" i="5"/>
  <c r="L52" i="5"/>
  <c r="T51" i="5"/>
  <c r="Q51" i="5"/>
  <c r="O51" i="5"/>
  <c r="L51" i="5"/>
  <c r="T50" i="5"/>
  <c r="Q50" i="5"/>
  <c r="O50" i="5"/>
  <c r="L50" i="5"/>
  <c r="L69" i="5" s="1"/>
  <c r="S49" i="5"/>
  <c r="N49" i="5"/>
  <c r="J49" i="5"/>
  <c r="G49" i="5"/>
  <c r="Y44" i="5"/>
  <c r="V44" i="5"/>
  <c r="T44" i="5"/>
  <c r="Q44" i="5"/>
  <c r="G44" i="5" s="1"/>
  <c r="Y41" i="5"/>
  <c r="V41" i="5"/>
  <c r="T41" i="5"/>
  <c r="Q41" i="5"/>
  <c r="O41" i="5"/>
  <c r="L41" i="5"/>
  <c r="X40" i="5"/>
  <c r="S40" i="5"/>
  <c r="N40" i="5"/>
  <c r="J40" i="5"/>
  <c r="G40" i="5"/>
  <c r="X39" i="5"/>
  <c r="S39" i="5"/>
  <c r="N39" i="5"/>
  <c r="J39" i="5"/>
  <c r="G39" i="5"/>
  <c r="X38" i="5"/>
  <c r="S38" i="5"/>
  <c r="N38" i="5"/>
  <c r="J38" i="5"/>
  <c r="G38" i="5"/>
  <c r="Y37" i="5"/>
  <c r="V37" i="5"/>
  <c r="T37" i="5"/>
  <c r="Q37" i="5"/>
  <c r="O37" i="5"/>
  <c r="L37" i="5"/>
  <c r="X36" i="5"/>
  <c r="S36" i="5"/>
  <c r="N36" i="5"/>
  <c r="J36" i="5"/>
  <c r="G36" i="5"/>
  <c r="X35" i="5"/>
  <c r="S35" i="5"/>
  <c r="N35" i="5"/>
  <c r="J35" i="5"/>
  <c r="G35" i="5"/>
  <c r="X34" i="5"/>
  <c r="S34" i="5"/>
  <c r="N34" i="5"/>
  <c r="J34" i="5"/>
  <c r="I34" i="5" s="1"/>
  <c r="G34" i="5"/>
  <c r="Y33" i="5"/>
  <c r="V33" i="5"/>
  <c r="T33" i="5"/>
  <c r="Q33" i="5"/>
  <c r="O33" i="5"/>
  <c r="L33" i="5"/>
  <c r="Y32" i="5"/>
  <c r="V32" i="5"/>
  <c r="T32" i="5"/>
  <c r="Q32" i="5"/>
  <c r="O32" i="5"/>
  <c r="L32" i="5"/>
  <c r="X31" i="5"/>
  <c r="S31" i="5"/>
  <c r="N31" i="5"/>
  <c r="J31" i="5"/>
  <c r="G31" i="5"/>
  <c r="B8" i="5" s="1"/>
  <c r="Y30" i="5"/>
  <c r="V30" i="5"/>
  <c r="T30" i="5"/>
  <c r="Q30" i="5"/>
  <c r="O30" i="5"/>
  <c r="L30" i="5"/>
  <c r="Y29" i="5"/>
  <c r="V29" i="5"/>
  <c r="T29" i="5"/>
  <c r="Q29" i="5"/>
  <c r="O29" i="5"/>
  <c r="L29" i="5"/>
  <c r="Y28" i="5"/>
  <c r="V28" i="5"/>
  <c r="T28" i="5"/>
  <c r="Q28" i="5"/>
  <c r="O28" i="5"/>
  <c r="J28" i="5" s="1"/>
  <c r="L28" i="5"/>
  <c r="E21" i="5"/>
  <c r="B21" i="5"/>
  <c r="Y18" i="5"/>
  <c r="V18" i="5"/>
  <c r="T18" i="5"/>
  <c r="Q18" i="5"/>
  <c r="O18" i="5"/>
  <c r="L18" i="5"/>
  <c r="T17" i="5"/>
  <c r="S17" i="5" s="1"/>
  <c r="Q17" i="5"/>
  <c r="O17" i="5"/>
  <c r="L17" i="5"/>
  <c r="J16" i="5"/>
  <c r="G16" i="5"/>
  <c r="B16" i="5" s="1"/>
  <c r="J15" i="5"/>
  <c r="E15" i="5" s="1"/>
  <c r="G15" i="5"/>
  <c r="B15" i="5" s="1"/>
  <c r="Y14" i="5"/>
  <c r="V14" i="5"/>
  <c r="T14" i="5"/>
  <c r="Q14" i="5"/>
  <c r="O14" i="5"/>
  <c r="N14" i="5" s="1"/>
  <c r="L14" i="5"/>
  <c r="T13" i="5"/>
  <c r="Q13" i="5"/>
  <c r="O13" i="5"/>
  <c r="N13" i="5" s="1"/>
  <c r="L13" i="5"/>
  <c r="J12" i="5"/>
  <c r="E12" i="5" s="1"/>
  <c r="G12" i="5"/>
  <c r="I12" i="5" s="1"/>
  <c r="J11" i="5"/>
  <c r="G11" i="5"/>
  <c r="B11" i="5" s="1"/>
  <c r="Y10" i="5"/>
  <c r="V10" i="5"/>
  <c r="T10" i="5"/>
  <c r="Q10" i="5"/>
  <c r="O10" i="5"/>
  <c r="L10" i="5"/>
  <c r="Y9" i="5"/>
  <c r="V9" i="5"/>
  <c r="T9" i="5"/>
  <c r="Q9" i="5"/>
  <c r="O9" i="5"/>
  <c r="L9" i="5"/>
  <c r="Y7" i="5"/>
  <c r="V7" i="5"/>
  <c r="T7" i="5"/>
  <c r="Q7" i="5"/>
  <c r="O7" i="5"/>
  <c r="L7" i="5"/>
  <c r="Y6" i="5"/>
  <c r="V6" i="5"/>
  <c r="T6" i="5"/>
  <c r="Q6" i="5"/>
  <c r="O6" i="5"/>
  <c r="L6" i="5"/>
  <c r="Y5" i="5"/>
  <c r="V5" i="5"/>
  <c r="T5" i="5"/>
  <c r="Q5" i="5"/>
  <c r="O5" i="5"/>
  <c r="L5" i="5"/>
  <c r="L24" i="5" s="1"/>
  <c r="M6" i="5" s="1"/>
  <c r="E4" i="5"/>
  <c r="B4" i="5"/>
  <c r="S41" i="5" l="1"/>
  <c r="I16" i="6"/>
  <c r="F7" i="6"/>
  <c r="N7" i="6" s="1"/>
  <c r="N10" i="6"/>
  <c r="Q11" i="7"/>
  <c r="U11" i="7"/>
  <c r="T15" i="7"/>
  <c r="X15" i="7"/>
  <c r="X7" i="5"/>
  <c r="N29" i="5"/>
  <c r="X32" i="5"/>
  <c r="X37" i="5"/>
  <c r="G41" i="5"/>
  <c r="N54" i="5"/>
  <c r="N59" i="5"/>
  <c r="E16" i="6"/>
  <c r="L16" i="6"/>
  <c r="S5" i="5"/>
  <c r="G13" i="5"/>
  <c r="B13" i="5" s="1"/>
  <c r="S11" i="7"/>
  <c r="W11" i="7"/>
  <c r="I15" i="5"/>
  <c r="S9" i="5"/>
  <c r="B12" i="5"/>
  <c r="D12" i="5" s="1"/>
  <c r="S90" i="5"/>
  <c r="G17" i="5"/>
  <c r="S29" i="5"/>
  <c r="I35" i="5"/>
  <c r="I38" i="5"/>
  <c r="S10" i="5"/>
  <c r="S13" i="5"/>
  <c r="S14" i="5"/>
  <c r="X18" i="5"/>
  <c r="Q46" i="5"/>
  <c r="R33" i="5" s="1"/>
  <c r="I40" i="5"/>
  <c r="I58" i="5"/>
  <c r="I73" i="5"/>
  <c r="I78" i="5"/>
  <c r="H79" i="5"/>
  <c r="I81" i="5"/>
  <c r="U84" i="5"/>
  <c r="M85" i="5"/>
  <c r="U85" i="5"/>
  <c r="K86" i="5"/>
  <c r="I88" i="5"/>
  <c r="W89" i="5"/>
  <c r="L90" i="5"/>
  <c r="V90" i="5"/>
  <c r="X90" i="5" s="1"/>
  <c r="S6" i="5"/>
  <c r="G10" i="5"/>
  <c r="T69" i="5"/>
  <c r="U59" i="5" s="1"/>
  <c r="I82" i="5"/>
  <c r="I85" i="5"/>
  <c r="N90" i="5"/>
  <c r="S91" i="5"/>
  <c r="G7" i="5"/>
  <c r="N28" i="5"/>
  <c r="J30" i="5"/>
  <c r="G33" i="5"/>
  <c r="S52" i="5"/>
  <c r="S18" i="5"/>
  <c r="G37" i="5"/>
  <c r="J9" i="5"/>
  <c r="I36" i="5"/>
  <c r="N5" i="5"/>
  <c r="N9" i="5"/>
  <c r="N30" i="5"/>
  <c r="Q69" i="5"/>
  <c r="R59" i="5" s="1"/>
  <c r="S51" i="5"/>
  <c r="D4" i="5"/>
  <c r="J5" i="5"/>
  <c r="N6" i="5"/>
  <c r="X10" i="5"/>
  <c r="J13" i="5"/>
  <c r="I13" i="5" s="1"/>
  <c r="J29" i="5"/>
  <c r="S30" i="5"/>
  <c r="M4" i="6"/>
  <c r="F6" i="6"/>
  <c r="N6" i="6" s="1"/>
  <c r="F4" i="6"/>
  <c r="N4" i="6" s="1"/>
  <c r="N16" i="6" s="1"/>
  <c r="J16" i="6"/>
  <c r="G16" i="6"/>
  <c r="K16" i="6"/>
  <c r="F5" i="6"/>
  <c r="N5" i="6" s="1"/>
  <c r="F11" i="6"/>
  <c r="N11" i="6" s="1"/>
  <c r="Y24" i="5"/>
  <c r="Z9" i="5" s="1"/>
  <c r="J7" i="5"/>
  <c r="I7" i="5" s="1"/>
  <c r="J14" i="5"/>
  <c r="X29" i="5"/>
  <c r="S28" i="5"/>
  <c r="G29" i="5"/>
  <c r="S33" i="5"/>
  <c r="X41" i="5"/>
  <c r="N51" i="5"/>
  <c r="G18" i="5"/>
  <c r="N33" i="5"/>
  <c r="X33" i="5"/>
  <c r="R34" i="5"/>
  <c r="R36" i="5"/>
  <c r="N37" i="5"/>
  <c r="S50" i="5"/>
  <c r="S67" i="5" s="1"/>
  <c r="T16" i="6"/>
  <c r="Q24" i="8"/>
  <c r="S93" i="8"/>
  <c r="Q47" i="8"/>
  <c r="S48" i="8" s="1"/>
  <c r="S24" i="8"/>
  <c r="S47" i="8"/>
  <c r="Q93" i="8"/>
  <c r="S94" i="8" s="1"/>
  <c r="Q162" i="8"/>
  <c r="S162" i="8"/>
  <c r="Q185" i="8"/>
  <c r="S186" i="8" s="1"/>
  <c r="S116" i="8"/>
  <c r="S117" i="8" s="1"/>
  <c r="S139" i="8"/>
  <c r="S140" i="8" s="1"/>
  <c r="M16" i="6"/>
  <c r="C4" i="6"/>
  <c r="M9" i="5"/>
  <c r="M10" i="5"/>
  <c r="O23" i="5"/>
  <c r="O24" i="5"/>
  <c r="P10" i="5" s="1"/>
  <c r="M7" i="5"/>
  <c r="G9" i="5"/>
  <c r="X14" i="5"/>
  <c r="G14" i="5"/>
  <c r="D15" i="5"/>
  <c r="T23" i="5"/>
  <c r="T24" i="5"/>
  <c r="U17" i="5" s="1"/>
  <c r="X5" i="5"/>
  <c r="G6" i="5"/>
  <c r="N7" i="5"/>
  <c r="X9" i="5"/>
  <c r="N10" i="5"/>
  <c r="J10" i="5"/>
  <c r="M5" i="5"/>
  <c r="Q24" i="5"/>
  <c r="R7" i="5" s="1"/>
  <c r="Y23" i="5"/>
  <c r="X6" i="5"/>
  <c r="S7" i="5"/>
  <c r="I11" i="5"/>
  <c r="E11" i="5"/>
  <c r="E13" i="5"/>
  <c r="G28" i="5"/>
  <c r="I28" i="5" s="1"/>
  <c r="G30" i="5"/>
  <c r="M13" i="5"/>
  <c r="I16" i="5"/>
  <c r="E16" i="5"/>
  <c r="M17" i="5"/>
  <c r="M18" i="5"/>
  <c r="D21" i="5"/>
  <c r="Q23" i="5"/>
  <c r="G32" i="5"/>
  <c r="S32" i="5"/>
  <c r="J32" i="5"/>
  <c r="J6" i="5"/>
  <c r="N17" i="5"/>
  <c r="J17" i="5"/>
  <c r="V46" i="5"/>
  <c r="W44" i="5" s="1"/>
  <c r="I31" i="5"/>
  <c r="N32" i="5"/>
  <c r="V23" i="5"/>
  <c r="V24" i="5"/>
  <c r="W6" i="5" s="1"/>
  <c r="G5" i="5"/>
  <c r="N18" i="5"/>
  <c r="J18" i="5"/>
  <c r="L23" i="5"/>
  <c r="E8" i="5"/>
  <c r="Z10" i="5"/>
  <c r="M14" i="5"/>
  <c r="B17" i="5"/>
  <c r="X28" i="5"/>
  <c r="X30" i="5"/>
  <c r="T45" i="5"/>
  <c r="M61" i="5"/>
  <c r="M58" i="5"/>
  <c r="M59" i="5"/>
  <c r="M54" i="5"/>
  <c r="M51" i="5"/>
  <c r="M62" i="5"/>
  <c r="M56" i="5"/>
  <c r="M49" i="5"/>
  <c r="U56" i="5"/>
  <c r="M52" i="5"/>
  <c r="M55" i="5"/>
  <c r="O46" i="5"/>
  <c r="O45" i="5"/>
  <c r="R31" i="5"/>
  <c r="I91" i="5"/>
  <c r="L46" i="5"/>
  <c r="M37" i="5" s="1"/>
  <c r="L45" i="5"/>
  <c r="T46" i="5"/>
  <c r="R32" i="5"/>
  <c r="J33" i="5"/>
  <c r="R37" i="5"/>
  <c r="Y45" i="5"/>
  <c r="R56" i="5"/>
  <c r="H82" i="5"/>
  <c r="H78" i="5"/>
  <c r="H75" i="5"/>
  <c r="H73" i="5"/>
  <c r="R44" i="5"/>
  <c r="R40" i="5"/>
  <c r="R38" i="5"/>
  <c r="R35" i="5"/>
  <c r="Y46" i="5"/>
  <c r="Z33" i="5" s="1"/>
  <c r="S37" i="5"/>
  <c r="I39" i="5"/>
  <c r="R39" i="5"/>
  <c r="Q45" i="5"/>
  <c r="M63" i="5"/>
  <c r="U63" i="5"/>
  <c r="J44" i="5"/>
  <c r="X44" i="5"/>
  <c r="V45" i="5"/>
  <c r="M50" i="5"/>
  <c r="S54" i="5"/>
  <c r="S59" i="5"/>
  <c r="G67" i="5"/>
  <c r="T68" i="5"/>
  <c r="R73" i="5"/>
  <c r="I74" i="5"/>
  <c r="R75" i="5"/>
  <c r="I77" i="5"/>
  <c r="R78" i="5"/>
  <c r="I79" i="5"/>
  <c r="P81" i="5"/>
  <c r="R82" i="5"/>
  <c r="I84" i="5"/>
  <c r="P85" i="5"/>
  <c r="W85" i="5"/>
  <c r="M86" i="5"/>
  <c r="N91" i="5"/>
  <c r="J41" i="5"/>
  <c r="N41" i="5"/>
  <c r="I49" i="5"/>
  <c r="N50" i="5"/>
  <c r="N52" i="5"/>
  <c r="N55" i="5"/>
  <c r="N63" i="5"/>
  <c r="O68" i="5"/>
  <c r="O69" i="5"/>
  <c r="P50" i="5" s="1"/>
  <c r="I86" i="5"/>
  <c r="Q68" i="5"/>
  <c r="H81" i="5"/>
  <c r="H85" i="5"/>
  <c r="H88" i="5"/>
  <c r="H89" i="5"/>
  <c r="X91" i="5"/>
  <c r="J37" i="5"/>
  <c r="S44" i="5"/>
  <c r="L68" i="5"/>
  <c r="P78" i="5"/>
  <c r="W78" i="5"/>
  <c r="R86" i="5"/>
  <c r="S210" i="8" l="1"/>
  <c r="U58" i="5"/>
  <c r="F16" i="6"/>
  <c r="B22" i="5"/>
  <c r="U51" i="5"/>
  <c r="U50" i="5"/>
  <c r="U54" i="5"/>
  <c r="I9" i="5"/>
  <c r="P13" i="5"/>
  <c r="P18" i="5"/>
  <c r="Z7" i="5"/>
  <c r="R10" i="5"/>
  <c r="R49" i="5"/>
  <c r="U67" i="5"/>
  <c r="U55" i="5"/>
  <c r="U61" i="5"/>
  <c r="U62" i="5"/>
  <c r="G90" i="5"/>
  <c r="I90" i="5" s="1"/>
  <c r="R41" i="5"/>
  <c r="R52" i="5"/>
  <c r="U52" i="5"/>
  <c r="U49" i="5"/>
  <c r="R30" i="5"/>
  <c r="R28" i="5"/>
  <c r="I29" i="5"/>
  <c r="R29" i="5"/>
  <c r="Z18" i="5"/>
  <c r="R55" i="5"/>
  <c r="U5" i="5"/>
  <c r="Z14" i="5"/>
  <c r="R51" i="5"/>
  <c r="R63" i="5"/>
  <c r="R62" i="5"/>
  <c r="R61" i="5"/>
  <c r="W33" i="5"/>
  <c r="W37" i="5"/>
  <c r="W30" i="5"/>
  <c r="Z37" i="5"/>
  <c r="R54" i="5"/>
  <c r="R50" i="5"/>
  <c r="R58" i="5"/>
  <c r="S69" i="5"/>
  <c r="R67" i="5"/>
  <c r="W32" i="5"/>
  <c r="W28" i="5"/>
  <c r="I14" i="5"/>
  <c r="Z6" i="5"/>
  <c r="Z5" i="5"/>
  <c r="G45" i="5"/>
  <c r="I30" i="5"/>
  <c r="W29" i="5"/>
  <c r="U10" i="5"/>
  <c r="P17" i="5"/>
  <c r="R6" i="5"/>
  <c r="X23" i="5"/>
  <c r="N23" i="5"/>
  <c r="R17" i="5"/>
  <c r="S23" i="5"/>
  <c r="S163" i="8"/>
  <c r="S25" i="8"/>
  <c r="I37" i="5"/>
  <c r="I44" i="5"/>
  <c r="J45" i="5"/>
  <c r="E22" i="5"/>
  <c r="M39" i="5"/>
  <c r="M36" i="5"/>
  <c r="M34" i="5"/>
  <c r="M40" i="5"/>
  <c r="M41" i="5"/>
  <c r="M30" i="5"/>
  <c r="M29" i="5"/>
  <c r="M28" i="5"/>
  <c r="M31" i="5"/>
  <c r="M35" i="5"/>
  <c r="M38" i="5"/>
  <c r="S68" i="5"/>
  <c r="Z39" i="5"/>
  <c r="Z36" i="5"/>
  <c r="Z34" i="5"/>
  <c r="Z44" i="5"/>
  <c r="X46" i="5"/>
  <c r="Z41" i="5"/>
  <c r="Z40" i="5"/>
  <c r="Z35" i="5"/>
  <c r="Z32" i="5"/>
  <c r="Z31" i="5"/>
  <c r="Z38" i="5"/>
  <c r="Z29" i="5"/>
  <c r="Z30" i="5"/>
  <c r="Z28" i="5"/>
  <c r="X45" i="5"/>
  <c r="S46" i="5"/>
  <c r="U44" i="5"/>
  <c r="U41" i="5"/>
  <c r="U39" i="5"/>
  <c r="U36" i="5"/>
  <c r="U38" i="5"/>
  <c r="U31" i="5"/>
  <c r="U30" i="5"/>
  <c r="U29" i="5"/>
  <c r="U28" i="5"/>
  <c r="U34" i="5"/>
  <c r="U40" i="5"/>
  <c r="U37" i="5"/>
  <c r="U35" i="5"/>
  <c r="P55" i="5"/>
  <c r="U33" i="5"/>
  <c r="N46" i="5"/>
  <c r="P40" i="5"/>
  <c r="P38" i="5"/>
  <c r="P35" i="5"/>
  <c r="P36" i="5"/>
  <c r="P34" i="5"/>
  <c r="P39" i="5"/>
  <c r="P30" i="5"/>
  <c r="P29" i="5"/>
  <c r="P28" i="5"/>
  <c r="P37" i="5"/>
  <c r="P33" i="5"/>
  <c r="P32" i="5"/>
  <c r="P31" i="5"/>
  <c r="P41" i="5"/>
  <c r="R18" i="5"/>
  <c r="U13" i="5"/>
  <c r="W40" i="5"/>
  <c r="W38" i="5"/>
  <c r="W35" i="5"/>
  <c r="W41" i="5"/>
  <c r="W34" i="5"/>
  <c r="W36" i="5"/>
  <c r="W39" i="5"/>
  <c r="W31" i="5"/>
  <c r="U32" i="5"/>
  <c r="P14" i="5"/>
  <c r="W9" i="5"/>
  <c r="P52" i="5"/>
  <c r="M33" i="5"/>
  <c r="P63" i="5"/>
  <c r="G23" i="5"/>
  <c r="G24" i="5"/>
  <c r="H9" i="5" s="1"/>
  <c r="I32" i="5"/>
  <c r="I5" i="5"/>
  <c r="U18" i="5"/>
  <c r="S24" i="5"/>
  <c r="U6" i="5"/>
  <c r="P15" i="5"/>
  <c r="P16" i="5"/>
  <c r="N24" i="5"/>
  <c r="P7" i="5"/>
  <c r="P9" i="5"/>
  <c r="X24" i="5"/>
  <c r="I33" i="5"/>
  <c r="D8" i="5"/>
  <c r="I18" i="5"/>
  <c r="W18" i="5"/>
  <c r="W10" i="5"/>
  <c r="I17" i="5"/>
  <c r="E17" i="5"/>
  <c r="I6" i="5"/>
  <c r="G46" i="5"/>
  <c r="H30" i="5" s="1"/>
  <c r="D13" i="5"/>
  <c r="D11" i="5"/>
  <c r="U7" i="5"/>
  <c r="P6" i="5"/>
  <c r="P62" i="5"/>
  <c r="P56" i="5"/>
  <c r="P49" i="5"/>
  <c r="P61" i="5"/>
  <c r="P59" i="5"/>
  <c r="P58" i="5"/>
  <c r="P54" i="5"/>
  <c r="P51" i="5"/>
  <c r="N69" i="5"/>
  <c r="I41" i="5"/>
  <c r="N68" i="5"/>
  <c r="I67" i="5"/>
  <c r="N45" i="5"/>
  <c r="S45" i="5"/>
  <c r="J46" i="5"/>
  <c r="K32" i="5" s="1"/>
  <c r="P5" i="5"/>
  <c r="M32" i="5"/>
  <c r="D16" i="5"/>
  <c r="U14" i="5"/>
  <c r="J23" i="5"/>
  <c r="R14" i="5"/>
  <c r="R9" i="5"/>
  <c r="R13" i="5"/>
  <c r="R5" i="5"/>
  <c r="I10" i="5"/>
  <c r="W14" i="5"/>
  <c r="J24" i="5"/>
  <c r="W7" i="5"/>
  <c r="W5" i="5"/>
  <c r="U9" i="5"/>
  <c r="H5" i="5" l="1"/>
  <c r="H14" i="5"/>
  <c r="H28" i="5"/>
  <c r="H6" i="5"/>
  <c r="I45" i="5"/>
  <c r="K41" i="5"/>
  <c r="I24" i="5"/>
  <c r="K11" i="5"/>
  <c r="K9" i="5"/>
  <c r="K7" i="5"/>
  <c r="K5" i="5"/>
  <c r="K16" i="5"/>
  <c r="K13" i="5"/>
  <c r="K15" i="5"/>
  <c r="K12" i="5"/>
  <c r="K14" i="5"/>
  <c r="K18" i="5"/>
  <c r="K10" i="5"/>
  <c r="K6" i="5"/>
  <c r="I23" i="5"/>
  <c r="H40" i="5"/>
  <c r="H35" i="5"/>
  <c r="H31" i="5"/>
  <c r="H38" i="5"/>
  <c r="H37" i="5"/>
  <c r="H33" i="5"/>
  <c r="H39" i="5"/>
  <c r="H36" i="5"/>
  <c r="H29" i="5"/>
  <c r="H34" i="5"/>
  <c r="H41" i="5"/>
  <c r="K17" i="5"/>
  <c r="H12" i="5"/>
  <c r="H11" i="5"/>
  <c r="H13" i="5"/>
  <c r="H15" i="5"/>
  <c r="H7" i="5"/>
  <c r="H18" i="5"/>
  <c r="H16" i="5"/>
  <c r="H10" i="5"/>
  <c r="H17" i="5"/>
  <c r="H32" i="5"/>
  <c r="D22" i="5"/>
  <c r="D17" i="5"/>
  <c r="I46" i="5"/>
  <c r="K40" i="5"/>
  <c r="K38" i="5"/>
  <c r="K35" i="5"/>
  <c r="K39" i="5"/>
  <c r="K31" i="5"/>
  <c r="K34" i="5"/>
  <c r="K30" i="5"/>
  <c r="K29" i="5"/>
  <c r="K28" i="5"/>
  <c r="K36" i="5"/>
  <c r="K33" i="5"/>
  <c r="K37" i="5"/>
  <c r="E18" i="4" l="1"/>
  <c r="E17" i="4"/>
  <c r="E16" i="4"/>
  <c r="E15" i="4"/>
  <c r="E16" i="1" l="1"/>
  <c r="D16" i="1"/>
  <c r="CP52" i="2"/>
  <c r="CN52" i="2"/>
  <c r="CM52" i="2"/>
  <c r="CK52" i="2"/>
  <c r="CJ52" i="2"/>
  <c r="CI52" i="2"/>
  <c r="CG52" i="2"/>
  <c r="CD52" i="2"/>
  <c r="CC52" i="2"/>
  <c r="CB52" i="2"/>
  <c r="BZ52" i="2"/>
  <c r="BW52" i="2"/>
  <c r="BV52" i="2"/>
  <c r="BL52" i="2"/>
  <c r="BK52" i="2"/>
  <c r="BI52" i="2"/>
  <c r="BH52" i="2"/>
  <c r="BG52" i="2"/>
  <c r="BE52" i="2"/>
  <c r="BB52" i="2"/>
  <c r="BA52" i="2"/>
  <c r="AS52" i="2"/>
  <c r="AH52" i="2"/>
  <c r="AB52" i="2"/>
  <c r="AA52" i="2"/>
  <c r="AV52" i="2" s="1"/>
  <c r="G52" i="2"/>
  <c r="F52" i="2"/>
  <c r="BF50" i="2"/>
  <c r="AZ50" i="2"/>
  <c r="AX50" i="2"/>
  <c r="AW50" i="2"/>
  <c r="AV50" i="2"/>
  <c r="AU50" i="2"/>
  <c r="AT50" i="2"/>
  <c r="AR50" i="2"/>
  <c r="BF49" i="2"/>
  <c r="AZ49" i="2"/>
  <c r="AX49" i="2"/>
  <c r="AW49" i="2"/>
  <c r="AV49" i="2"/>
  <c r="AU49" i="2"/>
  <c r="AT49" i="2"/>
  <c r="AR49" i="2"/>
  <c r="C49" i="2"/>
  <c r="BF48" i="2"/>
  <c r="AZ48" i="2"/>
  <c r="AX48" i="2"/>
  <c r="AW48" i="2"/>
  <c r="AV48" i="2"/>
  <c r="AU48" i="2"/>
  <c r="AT48" i="2"/>
  <c r="AR48" i="2"/>
  <c r="BF47" i="2"/>
  <c r="AZ47" i="2"/>
  <c r="AX47" i="2"/>
  <c r="AW47" i="2"/>
  <c r="AV47" i="2"/>
  <c r="AU47" i="2"/>
  <c r="AT47" i="2"/>
  <c r="AR47" i="2"/>
  <c r="AW46" i="2"/>
  <c r="AV46" i="2"/>
  <c r="AU46" i="2"/>
  <c r="AG46" i="2"/>
  <c r="Z46" i="2"/>
  <c r="S46" i="2"/>
  <c r="L46" i="2"/>
  <c r="BN45" i="2"/>
  <c r="BH45" i="2"/>
  <c r="BL45" i="2" s="1"/>
  <c r="BG45" i="2"/>
  <c r="BA45" i="2"/>
  <c r="BE45" i="2" s="1"/>
  <c r="AW45" i="2"/>
  <c r="AV45" i="2"/>
  <c r="AU45" i="2"/>
  <c r="AS45" i="2"/>
  <c r="AQ45" i="2"/>
  <c r="AM45" i="2"/>
  <c r="AL45" i="2"/>
  <c r="AF45" i="2"/>
  <c r="AJ45" i="2" s="1"/>
  <c r="AX45" i="2" s="1"/>
  <c r="AE45" i="2"/>
  <c r="AC45" i="2"/>
  <c r="Y45" i="2"/>
  <c r="X45" i="2"/>
  <c r="R45" i="2"/>
  <c r="V45" i="2" s="1"/>
  <c r="Q45" i="2"/>
  <c r="K45" i="2"/>
  <c r="O45" i="2" s="1"/>
  <c r="J45" i="2"/>
  <c r="D45" i="2"/>
  <c r="BN44" i="2"/>
  <c r="BN46" i="2" s="1"/>
  <c r="BH44" i="2"/>
  <c r="BH46" i="2" s="1"/>
  <c r="BG44" i="2"/>
  <c r="BA44" i="2"/>
  <c r="BA46" i="2" s="1"/>
  <c r="AW44" i="2"/>
  <c r="AV44" i="2"/>
  <c r="AU44" i="2"/>
  <c r="AS44" i="2"/>
  <c r="AQ44" i="2"/>
  <c r="AM44" i="2"/>
  <c r="AL44" i="2"/>
  <c r="AJ44" i="2"/>
  <c r="AF44" i="2"/>
  <c r="AE44" i="2"/>
  <c r="AE46" i="2" s="1"/>
  <c r="AC44" i="2"/>
  <c r="Y44" i="2"/>
  <c r="X44" i="2"/>
  <c r="R44" i="2"/>
  <c r="R46" i="2" s="1"/>
  <c r="Q44" i="2"/>
  <c r="Q46" i="2" s="1"/>
  <c r="K44" i="2"/>
  <c r="J44" i="2"/>
  <c r="D44" i="2"/>
  <c r="D46" i="2" s="1"/>
  <c r="BF43" i="2"/>
  <c r="AZ43" i="2"/>
  <c r="AX43" i="2"/>
  <c r="AW43" i="2"/>
  <c r="AV43" i="2"/>
  <c r="AU43" i="2"/>
  <c r="AT43" i="2"/>
  <c r="AR43" i="2"/>
  <c r="BF42" i="2"/>
  <c r="AZ42" i="2"/>
  <c r="AX42" i="2"/>
  <c r="AW42" i="2"/>
  <c r="AV42" i="2"/>
  <c r="AU42" i="2"/>
  <c r="AT42" i="2"/>
  <c r="AR42" i="2"/>
  <c r="C42" i="2"/>
  <c r="BJ41" i="2"/>
  <c r="BD41" i="2"/>
  <c r="BC41" i="2"/>
  <c r="AV41" i="2"/>
  <c r="BG40" i="2"/>
  <c r="CW40" i="2" s="1"/>
  <c r="BA40" i="2"/>
  <c r="CQ40" i="2" s="1"/>
  <c r="BL39" i="2"/>
  <c r="BK39" i="2"/>
  <c r="BI39" i="2"/>
  <c r="BH39" i="2"/>
  <c r="BG39" i="2"/>
  <c r="BF39" i="2" s="1"/>
  <c r="BE39" i="2"/>
  <c r="BB39" i="2"/>
  <c r="BA39" i="2"/>
  <c r="AV39" i="2"/>
  <c r="AS39" i="2"/>
  <c r="AQ39" i="2"/>
  <c r="AP39" i="2"/>
  <c r="CT39" i="2" s="1"/>
  <c r="AN39" i="2"/>
  <c r="AM39" i="2"/>
  <c r="AL39" i="2"/>
  <c r="AJ39" i="2"/>
  <c r="AG39" i="2"/>
  <c r="AF39" i="2"/>
  <c r="AE39" i="2"/>
  <c r="AZ39" i="2" s="1"/>
  <c r="AC39" i="2"/>
  <c r="AX39" i="2" s="1"/>
  <c r="Z39" i="2"/>
  <c r="AU39" i="2" s="1"/>
  <c r="Y39" i="2"/>
  <c r="AT39" i="2" s="1"/>
  <c r="X39" i="2"/>
  <c r="V39" i="2"/>
  <c r="S39" i="2"/>
  <c r="R39" i="2"/>
  <c r="Q39" i="2"/>
  <c r="O39" i="2"/>
  <c r="L39" i="2"/>
  <c r="K39" i="2"/>
  <c r="J39" i="2"/>
  <c r="E39" i="2"/>
  <c r="D39" i="2"/>
  <c r="H39" i="2" s="1"/>
  <c r="C39" i="2"/>
  <c r="BL38" i="2"/>
  <c r="BK38" i="2"/>
  <c r="BI38" i="2"/>
  <c r="BH38" i="2"/>
  <c r="BG38" i="2"/>
  <c r="BE38" i="2"/>
  <c r="BB38" i="2"/>
  <c r="BA38" i="2"/>
  <c r="AV38" i="2"/>
  <c r="AS38" i="2"/>
  <c r="AQ38" i="2"/>
  <c r="AP38" i="2"/>
  <c r="AN38" i="2"/>
  <c r="AM38" i="2"/>
  <c r="AL38" i="2"/>
  <c r="AJ38" i="2"/>
  <c r="AG38" i="2"/>
  <c r="AF38" i="2"/>
  <c r="AE38" i="2"/>
  <c r="AC38" i="2"/>
  <c r="Z38" i="2"/>
  <c r="AU38" i="2" s="1"/>
  <c r="Y38" i="2"/>
  <c r="AT38" i="2" s="1"/>
  <c r="X38" i="2"/>
  <c r="V38" i="2"/>
  <c r="S38" i="2"/>
  <c r="R38" i="2"/>
  <c r="Q38" i="2"/>
  <c r="O38" i="2"/>
  <c r="L38" i="2"/>
  <c r="K38" i="2"/>
  <c r="J38" i="2"/>
  <c r="E38" i="2"/>
  <c r="D38" i="2"/>
  <c r="C38" i="2"/>
  <c r="AW37" i="2"/>
  <c r="AV37" i="2"/>
  <c r="AE37" i="2"/>
  <c r="AZ37" i="2" s="1"/>
  <c r="AC37" i="2"/>
  <c r="AX37" i="2" s="1"/>
  <c r="Z37" i="2"/>
  <c r="AU37" i="2" s="1"/>
  <c r="Y37" i="2"/>
  <c r="AT37" i="2" s="1"/>
  <c r="X37" i="2"/>
  <c r="V37" i="2"/>
  <c r="W37" i="2" s="1"/>
  <c r="S37" i="2"/>
  <c r="R37" i="2"/>
  <c r="Q37" i="2"/>
  <c r="O37" i="2"/>
  <c r="L37" i="2"/>
  <c r="K37" i="2"/>
  <c r="J37" i="2"/>
  <c r="CW37" i="2" s="1"/>
  <c r="E37" i="2"/>
  <c r="D37" i="2"/>
  <c r="CQ37" i="2" s="1"/>
  <c r="C37" i="2"/>
  <c r="BL36" i="2"/>
  <c r="BK36" i="2"/>
  <c r="BK41" i="2" s="1"/>
  <c r="BI36" i="2"/>
  <c r="BI41" i="2" s="1"/>
  <c r="BH36" i="2"/>
  <c r="BH41" i="2" s="1"/>
  <c r="BG36" i="2"/>
  <c r="BE36" i="2"/>
  <c r="BE41" i="2" s="1"/>
  <c r="BB36" i="2"/>
  <c r="BB41" i="2" s="1"/>
  <c r="BA36" i="2"/>
  <c r="BA41" i="2" s="1"/>
  <c r="AV36" i="2"/>
  <c r="AS36" i="2"/>
  <c r="AQ36" i="2"/>
  <c r="AP36" i="2"/>
  <c r="CT36" i="2" s="1"/>
  <c r="AN36" i="2"/>
  <c r="AM36" i="2"/>
  <c r="AL36" i="2"/>
  <c r="AL41" i="2" s="1"/>
  <c r="AJ36" i="2"/>
  <c r="AJ41" i="2" s="1"/>
  <c r="AI36" i="2"/>
  <c r="AI41" i="2" s="1"/>
  <c r="AG36" i="2"/>
  <c r="AF36" i="2"/>
  <c r="AF41" i="2" s="1"/>
  <c r="AE36" i="2"/>
  <c r="AC36" i="2"/>
  <c r="Z36" i="2"/>
  <c r="AU36" i="2" s="1"/>
  <c r="Y36" i="2"/>
  <c r="X36" i="2"/>
  <c r="V36" i="2"/>
  <c r="S36" i="2"/>
  <c r="R36" i="2"/>
  <c r="Q36" i="2"/>
  <c r="O36" i="2"/>
  <c r="L36" i="2"/>
  <c r="K36" i="2"/>
  <c r="J36" i="2"/>
  <c r="E36" i="2"/>
  <c r="D36" i="2"/>
  <c r="C36" i="2"/>
  <c r="AW35" i="2"/>
  <c r="AV35" i="2"/>
  <c r="AE35" i="2"/>
  <c r="AC35" i="2"/>
  <c r="AX35" i="2" s="1"/>
  <c r="Z35" i="2"/>
  <c r="Y35" i="2"/>
  <c r="X35" i="2"/>
  <c r="V35" i="2"/>
  <c r="S35" i="2"/>
  <c r="R35" i="2"/>
  <c r="Q35" i="2"/>
  <c r="O35" i="2"/>
  <c r="L35" i="2"/>
  <c r="K35" i="2"/>
  <c r="J35" i="2"/>
  <c r="CW35" i="2" s="1"/>
  <c r="E35" i="2"/>
  <c r="CR35" i="2" s="1"/>
  <c r="D35" i="2"/>
  <c r="CQ35" i="2" s="1"/>
  <c r="C35" i="2"/>
  <c r="BK34" i="2"/>
  <c r="BD34" i="2"/>
  <c r="AV34" i="2"/>
  <c r="U34" i="2"/>
  <c r="U52" i="2" s="1"/>
  <c r="T34" i="2"/>
  <c r="T52" i="2" s="1"/>
  <c r="N34" i="2"/>
  <c r="N52" i="2" s="1"/>
  <c r="M34" i="2"/>
  <c r="E34" i="2"/>
  <c r="D34" i="2"/>
  <c r="BL33" i="2"/>
  <c r="BI33" i="2"/>
  <c r="BH33" i="2"/>
  <c r="BG33" i="2"/>
  <c r="BE33" i="2"/>
  <c r="BB33" i="2"/>
  <c r="BA33" i="2"/>
  <c r="AV33" i="2"/>
  <c r="AS33" i="2"/>
  <c r="AQ33" i="2"/>
  <c r="AP33" i="2"/>
  <c r="AN33" i="2"/>
  <c r="AM33" i="2"/>
  <c r="AL33" i="2"/>
  <c r="AJ33" i="2"/>
  <c r="AI33" i="2"/>
  <c r="AG33" i="2"/>
  <c r="AF33" i="2"/>
  <c r="AE33" i="2"/>
  <c r="AC33" i="2"/>
  <c r="Z33" i="2"/>
  <c r="Y33" i="2"/>
  <c r="X33" i="2"/>
  <c r="W33" i="2" s="1"/>
  <c r="V33" i="2"/>
  <c r="S33" i="2"/>
  <c r="R33" i="2"/>
  <c r="Q33" i="2"/>
  <c r="P33" i="2" s="1"/>
  <c r="O33" i="2"/>
  <c r="L33" i="2"/>
  <c r="K33" i="2"/>
  <c r="J33" i="2"/>
  <c r="E33" i="2"/>
  <c r="D33" i="2"/>
  <c r="H33" i="2" s="1"/>
  <c r="C33" i="2"/>
  <c r="BL32" i="2"/>
  <c r="BI32" i="2"/>
  <c r="BI34" i="2" s="1"/>
  <c r="BH32" i="2"/>
  <c r="BH34" i="2" s="1"/>
  <c r="BG32" i="2"/>
  <c r="BG34" i="2" s="1"/>
  <c r="BE32" i="2"/>
  <c r="BB32" i="2"/>
  <c r="BB34" i="2" s="1"/>
  <c r="BA32" i="2"/>
  <c r="BA34" i="2" s="1"/>
  <c r="AV32" i="2"/>
  <c r="AS32" i="2"/>
  <c r="AQ32" i="2"/>
  <c r="AP32" i="2"/>
  <c r="CT32" i="2" s="1"/>
  <c r="AN32" i="2"/>
  <c r="AM32" i="2"/>
  <c r="AL32" i="2"/>
  <c r="AJ32" i="2"/>
  <c r="AJ34" i="2" s="1"/>
  <c r="AI32" i="2"/>
  <c r="AI34" i="2" s="1"/>
  <c r="AG32" i="2"/>
  <c r="AF32" i="2"/>
  <c r="AE32" i="2"/>
  <c r="AE34" i="2" s="1"/>
  <c r="AC32" i="2"/>
  <c r="Z32" i="2"/>
  <c r="Y32" i="2"/>
  <c r="Y34" i="2" s="1"/>
  <c r="X32" i="2"/>
  <c r="X34" i="2" s="1"/>
  <c r="V32" i="2"/>
  <c r="V34" i="2" s="1"/>
  <c r="S32" i="2"/>
  <c r="R32" i="2"/>
  <c r="R34" i="2" s="1"/>
  <c r="Q32" i="2"/>
  <c r="Q34" i="2" s="1"/>
  <c r="O32" i="2"/>
  <c r="O34" i="2" s="1"/>
  <c r="L32" i="2"/>
  <c r="K32" i="2"/>
  <c r="J32" i="2"/>
  <c r="E32" i="2"/>
  <c r="D32" i="2"/>
  <c r="C32" i="2"/>
  <c r="BK31" i="2"/>
  <c r="BD31" i="2"/>
  <c r="AV31" i="2"/>
  <c r="BL30" i="2"/>
  <c r="BI30" i="2"/>
  <c r="BH30" i="2"/>
  <c r="BG30" i="2"/>
  <c r="BE30" i="2"/>
  <c r="BB30" i="2"/>
  <c r="BA30" i="2"/>
  <c r="AV30" i="2"/>
  <c r="AS30" i="2"/>
  <c r="AQ30" i="2"/>
  <c r="AP30" i="2"/>
  <c r="AN30" i="2"/>
  <c r="AM30" i="2"/>
  <c r="AL30" i="2"/>
  <c r="AJ30" i="2"/>
  <c r="AI30" i="2"/>
  <c r="AW30" i="2" s="1"/>
  <c r="AG30" i="2"/>
  <c r="AF30" i="2"/>
  <c r="C30" i="2"/>
  <c r="BL29" i="2"/>
  <c r="BI29" i="2"/>
  <c r="BH29" i="2"/>
  <c r="BG29" i="2"/>
  <c r="BE29" i="2"/>
  <c r="BB29" i="2"/>
  <c r="BA29" i="2"/>
  <c r="AV29" i="2"/>
  <c r="AS29" i="2"/>
  <c r="AQ29" i="2"/>
  <c r="AP29" i="2"/>
  <c r="CT29" i="2" s="1"/>
  <c r="AN29" i="2"/>
  <c r="AM29" i="2"/>
  <c r="AL29" i="2"/>
  <c r="AJ29" i="2"/>
  <c r="AI29" i="2"/>
  <c r="AG29" i="2"/>
  <c r="AF29" i="2"/>
  <c r="AE29" i="2"/>
  <c r="AZ29" i="2" s="1"/>
  <c r="AC29" i="2"/>
  <c r="Z29" i="2"/>
  <c r="Y29" i="2"/>
  <c r="X29" i="2"/>
  <c r="V29" i="2"/>
  <c r="S29" i="2"/>
  <c r="R29" i="2"/>
  <c r="Q29" i="2"/>
  <c r="O29" i="2"/>
  <c r="L29" i="2"/>
  <c r="K29" i="2"/>
  <c r="J29" i="2"/>
  <c r="E29" i="2"/>
  <c r="D29" i="2"/>
  <c r="C29" i="2"/>
  <c r="BL28" i="2"/>
  <c r="BI28" i="2"/>
  <c r="BH28" i="2"/>
  <c r="BG28" i="2"/>
  <c r="BE28" i="2"/>
  <c r="BB28" i="2"/>
  <c r="BA28" i="2"/>
  <c r="AV28" i="2"/>
  <c r="AS28" i="2"/>
  <c r="AQ28" i="2"/>
  <c r="AP28" i="2"/>
  <c r="CT28" i="2" s="1"/>
  <c r="AN28" i="2"/>
  <c r="AM28" i="2"/>
  <c r="AL28" i="2"/>
  <c r="AJ28" i="2"/>
  <c r="AG28" i="2"/>
  <c r="AF28" i="2"/>
  <c r="AE28" i="2"/>
  <c r="AD28" i="2" s="1"/>
  <c r="AC28" i="2"/>
  <c r="Z28" i="2"/>
  <c r="AU28" i="2" s="1"/>
  <c r="Y28" i="2"/>
  <c r="X28" i="2"/>
  <c r="W28" i="2" s="1"/>
  <c r="V28" i="2"/>
  <c r="S28" i="2"/>
  <c r="R28" i="2"/>
  <c r="Q28" i="2"/>
  <c r="P28" i="2" s="1"/>
  <c r="O28" i="2"/>
  <c r="L28" i="2"/>
  <c r="K28" i="2"/>
  <c r="J28" i="2"/>
  <c r="E28" i="2"/>
  <c r="D28" i="2"/>
  <c r="H28" i="2" s="1"/>
  <c r="I28" i="2" s="1"/>
  <c r="C28" i="2"/>
  <c r="BL27" i="2"/>
  <c r="BI27" i="2"/>
  <c r="BH27" i="2"/>
  <c r="BG27" i="2"/>
  <c r="BE27" i="2"/>
  <c r="BB27" i="2"/>
  <c r="BA27" i="2"/>
  <c r="AV27" i="2"/>
  <c r="AS27" i="2"/>
  <c r="AQ27" i="2"/>
  <c r="AP27" i="2"/>
  <c r="CT27" i="2" s="1"/>
  <c r="AN27" i="2"/>
  <c r="AM27" i="2"/>
  <c r="AL27" i="2"/>
  <c r="AJ27" i="2"/>
  <c r="AG27" i="2"/>
  <c r="AF27" i="2"/>
  <c r="AE27" i="2"/>
  <c r="AZ27" i="2" s="1"/>
  <c r="AC27" i="2"/>
  <c r="Z27" i="2"/>
  <c r="Y27" i="2"/>
  <c r="AT27" i="2" s="1"/>
  <c r="X27" i="2"/>
  <c r="V27" i="2"/>
  <c r="S27" i="2"/>
  <c r="R27" i="2"/>
  <c r="Q27" i="2"/>
  <c r="O27" i="2"/>
  <c r="L27" i="2"/>
  <c r="K27" i="2"/>
  <c r="J27" i="2"/>
  <c r="E27" i="2"/>
  <c r="D27" i="2"/>
  <c r="BL26" i="2"/>
  <c r="BI26" i="2"/>
  <c r="BH26" i="2"/>
  <c r="BG26" i="2"/>
  <c r="BF26" i="2" s="1"/>
  <c r="BE26" i="2"/>
  <c r="BB26" i="2"/>
  <c r="BA26" i="2"/>
  <c r="AV26" i="2"/>
  <c r="AS26" i="2"/>
  <c r="AQ26" i="2"/>
  <c r="AP26" i="2"/>
  <c r="CT26" i="2" s="1"/>
  <c r="AN26" i="2"/>
  <c r="CR26" i="2" s="1"/>
  <c r="AM26" i="2"/>
  <c r="AL26" i="2"/>
  <c r="AJ26" i="2"/>
  <c r="AI26" i="2"/>
  <c r="AI31" i="2" s="1"/>
  <c r="AG26" i="2"/>
  <c r="AF26" i="2"/>
  <c r="AE26" i="2"/>
  <c r="AD26" i="2" s="1"/>
  <c r="AC26" i="2"/>
  <c r="Z26" i="2"/>
  <c r="Y26" i="2"/>
  <c r="X26" i="2"/>
  <c r="W26" i="2" s="1"/>
  <c r="V26" i="2"/>
  <c r="S26" i="2"/>
  <c r="R26" i="2"/>
  <c r="Q26" i="2"/>
  <c r="P26" i="2" s="1"/>
  <c r="O26" i="2"/>
  <c r="L26" i="2"/>
  <c r="K26" i="2"/>
  <c r="J26" i="2"/>
  <c r="E26" i="2"/>
  <c r="D26" i="2"/>
  <c r="BL25" i="2"/>
  <c r="CU25" i="2" s="1"/>
  <c r="BI25" i="2"/>
  <c r="CR25" i="2" s="1"/>
  <c r="BH25" i="2"/>
  <c r="CQ25" i="2" s="1"/>
  <c r="BF25" i="2"/>
  <c r="AZ25" i="2"/>
  <c r="AX25" i="2"/>
  <c r="AW25" i="2"/>
  <c r="AV25" i="2"/>
  <c r="AU25" i="2"/>
  <c r="AT25" i="2"/>
  <c r="BL24" i="2"/>
  <c r="BI24" i="2"/>
  <c r="BH24" i="2"/>
  <c r="BG24" i="2"/>
  <c r="BF24" i="2" s="1"/>
  <c r="BE24" i="2"/>
  <c r="BB24" i="2"/>
  <c r="BA24" i="2"/>
  <c r="AV24" i="2"/>
  <c r="AS24" i="2"/>
  <c r="AR24" i="2"/>
  <c r="AQ24" i="2"/>
  <c r="AP24" i="2"/>
  <c r="CT24" i="2" s="1"/>
  <c r="AN24" i="2"/>
  <c r="AM24" i="2"/>
  <c r="AL24" i="2"/>
  <c r="AJ24" i="2"/>
  <c r="AG24" i="2"/>
  <c r="AF24" i="2"/>
  <c r="AE24" i="2"/>
  <c r="AZ24" i="2" s="1"/>
  <c r="AC24" i="2"/>
  <c r="Z24" i="2"/>
  <c r="AU24" i="2" s="1"/>
  <c r="Y24" i="2"/>
  <c r="AT24" i="2" s="1"/>
  <c r="X24" i="2"/>
  <c r="W24" i="2" s="1"/>
  <c r="V24" i="2"/>
  <c r="S24" i="2"/>
  <c r="R24" i="2"/>
  <c r="Q24" i="2"/>
  <c r="P24" i="2" s="1"/>
  <c r="O24" i="2"/>
  <c r="L24" i="2"/>
  <c r="K24" i="2"/>
  <c r="J24" i="2"/>
  <c r="E24" i="2"/>
  <c r="D24" i="2"/>
  <c r="BL23" i="2"/>
  <c r="BI23" i="2"/>
  <c r="BH23" i="2"/>
  <c r="BG23" i="2"/>
  <c r="BE23" i="2"/>
  <c r="BB23" i="2"/>
  <c r="BA23" i="2"/>
  <c r="AV23" i="2"/>
  <c r="AS23" i="2"/>
  <c r="AQ23" i="2"/>
  <c r="AP23" i="2"/>
  <c r="AN23" i="2"/>
  <c r="AM23" i="2"/>
  <c r="AL23" i="2"/>
  <c r="AJ23" i="2"/>
  <c r="AG23" i="2"/>
  <c r="AF23" i="2"/>
  <c r="AE23" i="2"/>
  <c r="AC23" i="2"/>
  <c r="Z23" i="2"/>
  <c r="Y23" i="2"/>
  <c r="X23" i="2"/>
  <c r="V23" i="2"/>
  <c r="S23" i="2"/>
  <c r="R23" i="2"/>
  <c r="Q23" i="2"/>
  <c r="O23" i="2"/>
  <c r="L23" i="2"/>
  <c r="K23" i="2"/>
  <c r="J23" i="2"/>
  <c r="E23" i="2"/>
  <c r="D23" i="2"/>
  <c r="AZ22" i="2"/>
  <c r="AY22" i="2" s="1"/>
  <c r="AX22" i="2"/>
  <c r="AW22" i="2"/>
  <c r="AV22" i="2"/>
  <c r="AU22" i="2"/>
  <c r="AT22" i="2"/>
  <c r="AR22" i="2"/>
  <c r="BF21" i="2"/>
  <c r="BF22" i="2" s="1"/>
  <c r="AZ21" i="2"/>
  <c r="AX21" i="2"/>
  <c r="AW21" i="2"/>
  <c r="AV21" i="2"/>
  <c r="AU21" i="2"/>
  <c r="AT21" i="2"/>
  <c r="AR21" i="2"/>
  <c r="AV20" i="2"/>
  <c r="BL19" i="2"/>
  <c r="BL20" i="2" s="1"/>
  <c r="BI19" i="2"/>
  <c r="BI20" i="2" s="1"/>
  <c r="BH19" i="2"/>
  <c r="BH20" i="2" s="1"/>
  <c r="BG19" i="2"/>
  <c r="BG20" i="2" s="1"/>
  <c r="BE19" i="2"/>
  <c r="BE20" i="2" s="1"/>
  <c r="BB19" i="2"/>
  <c r="BB20" i="2" s="1"/>
  <c r="BA19" i="2"/>
  <c r="BA20" i="2" s="1"/>
  <c r="AV19" i="2"/>
  <c r="AS19" i="2"/>
  <c r="AQ19" i="2"/>
  <c r="AP19" i="2"/>
  <c r="AN19" i="2"/>
  <c r="AM19" i="2"/>
  <c r="AL19" i="2"/>
  <c r="AL20" i="2" s="1"/>
  <c r="AJ19" i="2"/>
  <c r="AJ20" i="2" s="1"/>
  <c r="AG19" i="2"/>
  <c r="AG20" i="2" s="1"/>
  <c r="AF19" i="2"/>
  <c r="AF20" i="2" s="1"/>
  <c r="AE19" i="2"/>
  <c r="AC19" i="2"/>
  <c r="AC20" i="2" s="1"/>
  <c r="Z19" i="2"/>
  <c r="Y19" i="2"/>
  <c r="Y20" i="2" s="1"/>
  <c r="X19" i="2"/>
  <c r="X20" i="2" s="1"/>
  <c r="V19" i="2"/>
  <c r="V20" i="2" s="1"/>
  <c r="S19" i="2"/>
  <c r="S20" i="2" s="1"/>
  <c r="R19" i="2"/>
  <c r="R20" i="2" s="1"/>
  <c r="Q19" i="2"/>
  <c r="Q20" i="2" s="1"/>
  <c r="O19" i="2"/>
  <c r="O20" i="2" s="1"/>
  <c r="L19" i="2"/>
  <c r="L20" i="2" s="1"/>
  <c r="K19" i="2"/>
  <c r="K20" i="2" s="1"/>
  <c r="J19" i="2"/>
  <c r="J20" i="2" s="1"/>
  <c r="E19" i="2"/>
  <c r="E20" i="2" s="1"/>
  <c r="D19" i="2"/>
  <c r="D20" i="2" s="1"/>
  <c r="AV18" i="2"/>
  <c r="BL17" i="2"/>
  <c r="BL18" i="2" s="1"/>
  <c r="BI17" i="2"/>
  <c r="BI18" i="2" s="1"/>
  <c r="BH17" i="2"/>
  <c r="BH18" i="2" s="1"/>
  <c r="BG17" i="2"/>
  <c r="BG18" i="2" s="1"/>
  <c r="BE17" i="2"/>
  <c r="BE18" i="2" s="1"/>
  <c r="BB17" i="2"/>
  <c r="BB18" i="2" s="1"/>
  <c r="BA17" i="2"/>
  <c r="BA18" i="2" s="1"/>
  <c r="AV17" i="2"/>
  <c r="AS17" i="2"/>
  <c r="AQ17" i="2"/>
  <c r="AP17" i="2"/>
  <c r="CT17" i="2" s="1"/>
  <c r="AN17" i="2"/>
  <c r="AM17" i="2"/>
  <c r="AL17" i="2"/>
  <c r="AL18" i="2" s="1"/>
  <c r="AJ17" i="2"/>
  <c r="AJ18" i="2" s="1"/>
  <c r="AG17" i="2"/>
  <c r="AG18" i="2" s="1"/>
  <c r="AF17" i="2"/>
  <c r="AF18" i="2" s="1"/>
  <c r="AE17" i="2"/>
  <c r="AE18" i="2" s="1"/>
  <c r="AC17" i="2"/>
  <c r="Z17" i="2"/>
  <c r="Z18" i="2" s="1"/>
  <c r="Y17" i="2"/>
  <c r="AT17" i="2" s="1"/>
  <c r="X17" i="2"/>
  <c r="X18" i="2" s="1"/>
  <c r="W18" i="2" s="1"/>
  <c r="V17" i="2"/>
  <c r="V18" i="2" s="1"/>
  <c r="S17" i="2"/>
  <c r="S18" i="2" s="1"/>
  <c r="R17" i="2"/>
  <c r="R18" i="2" s="1"/>
  <c r="Q17" i="2"/>
  <c r="O17" i="2"/>
  <c r="O18" i="2" s="1"/>
  <c r="L17" i="2"/>
  <c r="L18" i="2" s="1"/>
  <c r="K17" i="2"/>
  <c r="K18" i="2" s="1"/>
  <c r="J17" i="2"/>
  <c r="J18" i="2" s="1"/>
  <c r="E17" i="2"/>
  <c r="E18" i="2" s="1"/>
  <c r="D17" i="2"/>
  <c r="D18" i="2" s="1"/>
  <c r="AZ16" i="2"/>
  <c r="AX16" i="2"/>
  <c r="AW16" i="2"/>
  <c r="AV16" i="2"/>
  <c r="AU16" i="2"/>
  <c r="AT16" i="2"/>
  <c r="AZ15" i="2"/>
  <c r="AX15" i="2"/>
  <c r="AW15" i="2"/>
  <c r="AV15" i="2"/>
  <c r="AU15" i="2"/>
  <c r="AT15" i="2"/>
  <c r="AZ14" i="2"/>
  <c r="AX14" i="2"/>
  <c r="AW14" i="2"/>
  <c r="AV14" i="2"/>
  <c r="AU14" i="2"/>
  <c r="AT14" i="2"/>
  <c r="AV13" i="2"/>
  <c r="BL12" i="2"/>
  <c r="BL13" i="2" s="1"/>
  <c r="BI12" i="2"/>
  <c r="BI13" i="2" s="1"/>
  <c r="BH12" i="2"/>
  <c r="BH13" i="2" s="1"/>
  <c r="BG12" i="2"/>
  <c r="BG13" i="2" s="1"/>
  <c r="BE12" i="2"/>
  <c r="BE13" i="2" s="1"/>
  <c r="BB12" i="2"/>
  <c r="BB13" i="2" s="1"/>
  <c r="BA12" i="2"/>
  <c r="BA13" i="2" s="1"/>
  <c r="AV12" i="2"/>
  <c r="AS12" i="2"/>
  <c r="AQ12" i="2"/>
  <c r="AP12" i="2"/>
  <c r="CT12" i="2" s="1"/>
  <c r="AN12" i="2"/>
  <c r="AM12" i="2"/>
  <c r="AL12" i="2"/>
  <c r="AL13" i="2" s="1"/>
  <c r="AJ12" i="2"/>
  <c r="AG12" i="2"/>
  <c r="AG13" i="2" s="1"/>
  <c r="AF12" i="2"/>
  <c r="AF13" i="2" s="1"/>
  <c r="AE12" i="2"/>
  <c r="AE13" i="2" s="1"/>
  <c r="AC12" i="2"/>
  <c r="Z12" i="2"/>
  <c r="Z13" i="2" s="1"/>
  <c r="Y12" i="2"/>
  <c r="AT12" i="2" s="1"/>
  <c r="X12" i="2"/>
  <c r="X13" i="2" s="1"/>
  <c r="V12" i="2"/>
  <c r="V13" i="2" s="1"/>
  <c r="S12" i="2"/>
  <c r="S13" i="2" s="1"/>
  <c r="R12" i="2"/>
  <c r="R13" i="2" s="1"/>
  <c r="Q12" i="2"/>
  <c r="O12" i="2"/>
  <c r="O13" i="2" s="1"/>
  <c r="L12" i="2"/>
  <c r="L13" i="2" s="1"/>
  <c r="K12" i="2"/>
  <c r="K13" i="2" s="1"/>
  <c r="J12" i="2"/>
  <c r="J13" i="2" s="1"/>
  <c r="E12" i="2"/>
  <c r="E13" i="2" s="1"/>
  <c r="D12" i="2"/>
  <c r="D13" i="2" s="1"/>
  <c r="CW11" i="2"/>
  <c r="CU11" i="2"/>
  <c r="CT11" i="2"/>
  <c r="CR11" i="2"/>
  <c r="CQ11" i="2"/>
  <c r="CW10" i="2"/>
  <c r="CU10" i="2"/>
  <c r="CT10" i="2"/>
  <c r="CR10" i="2"/>
  <c r="CQ10" i="2"/>
  <c r="CW9" i="2"/>
  <c r="CU9" i="2"/>
  <c r="CT9" i="2"/>
  <c r="CR9" i="2"/>
  <c r="CQ9" i="2"/>
  <c r="Q7" i="2"/>
  <c r="O7" i="2"/>
  <c r="L7" i="2"/>
  <c r="K7" i="2"/>
  <c r="J7" i="2"/>
  <c r="E7" i="2"/>
  <c r="D7" i="2"/>
  <c r="C7" i="2"/>
  <c r="Q6" i="2"/>
  <c r="Q8" i="2" s="1"/>
  <c r="O6" i="2"/>
  <c r="O8" i="2" s="1"/>
  <c r="L6" i="2"/>
  <c r="K6" i="2"/>
  <c r="K8" i="2" s="1"/>
  <c r="J6" i="2"/>
  <c r="CW6" i="2" s="1"/>
  <c r="E6" i="2"/>
  <c r="E8" i="2" s="1"/>
  <c r="D6" i="2"/>
  <c r="CQ6" i="2" s="1"/>
  <c r="Q4" i="2"/>
  <c r="O4" i="2"/>
  <c r="O5" i="2" s="1"/>
  <c r="L4" i="2"/>
  <c r="L5" i="2" s="1"/>
  <c r="K4" i="2"/>
  <c r="K5" i="2" s="1"/>
  <c r="J4" i="2"/>
  <c r="E4" i="2"/>
  <c r="D4" i="2"/>
  <c r="AR12" i="2" l="1"/>
  <c r="AQ18" i="2"/>
  <c r="CQ24" i="2"/>
  <c r="CQ28" i="2"/>
  <c r="CR39" i="2"/>
  <c r="P7" i="2"/>
  <c r="AN13" i="2"/>
  <c r="CR13" i="2" s="1"/>
  <c r="CR12" i="2"/>
  <c r="CQ17" i="2"/>
  <c r="AS18" i="2"/>
  <c r="P20" i="2"/>
  <c r="AK19" i="2"/>
  <c r="AK20" i="2" s="1"/>
  <c r="AW19" i="2"/>
  <c r="CT19" i="2"/>
  <c r="O31" i="2"/>
  <c r="P31" i="2" s="1"/>
  <c r="AW23" i="2"/>
  <c r="CT23" i="2"/>
  <c r="BA31" i="2"/>
  <c r="BH31" i="2"/>
  <c r="CR24" i="2"/>
  <c r="H26" i="2"/>
  <c r="CR28" i="2"/>
  <c r="CQ30" i="2"/>
  <c r="AQ34" i="2"/>
  <c r="CR33" i="2"/>
  <c r="X41" i="2"/>
  <c r="AE41" i="2"/>
  <c r="AG41" i="2"/>
  <c r="CQ36" i="2"/>
  <c r="AS41" i="2"/>
  <c r="CR37" i="2"/>
  <c r="CQ38" i="2"/>
  <c r="P39" i="2"/>
  <c r="CQ45" i="2"/>
  <c r="CR23" i="2"/>
  <c r="P4" i="2"/>
  <c r="AK12" i="2"/>
  <c r="AK13" i="2" s="1"/>
  <c r="CR17" i="2"/>
  <c r="AQ20" i="2"/>
  <c r="CQ26" i="2"/>
  <c r="CQ27" i="2"/>
  <c r="AK28" i="2"/>
  <c r="H29" i="2"/>
  <c r="I29" i="2" s="1"/>
  <c r="CQ29" i="2"/>
  <c r="CR30" i="2"/>
  <c r="CQ32" i="2"/>
  <c r="AZ33" i="2"/>
  <c r="CT33" i="2"/>
  <c r="K41" i="2"/>
  <c r="R41" i="2"/>
  <c r="R52" i="2" s="1"/>
  <c r="Y41" i="2"/>
  <c r="W36" i="2"/>
  <c r="AX36" i="2"/>
  <c r="AN41" i="2"/>
  <c r="CR36" i="2"/>
  <c r="BL41" i="2"/>
  <c r="CR38" i="2"/>
  <c r="K46" i="2"/>
  <c r="Y46" i="2"/>
  <c r="CU45" i="2"/>
  <c r="CQ12" i="2"/>
  <c r="CR19" i="2"/>
  <c r="CQ33" i="2"/>
  <c r="AM46" i="2"/>
  <c r="CQ44" i="2"/>
  <c r="AQ13" i="2"/>
  <c r="AK17" i="2"/>
  <c r="AK18" i="2" s="1"/>
  <c r="AU19" i="2"/>
  <c r="AM20" i="2"/>
  <c r="CQ20" i="2" s="1"/>
  <c r="CQ19" i="2"/>
  <c r="AS20" i="2"/>
  <c r="K31" i="2"/>
  <c r="K52" i="2" s="1"/>
  <c r="R31" i="2"/>
  <c r="Y31" i="2"/>
  <c r="AF31" i="2"/>
  <c r="AM31" i="2"/>
  <c r="CQ31" i="2" s="1"/>
  <c r="CQ23" i="2"/>
  <c r="AS31" i="2"/>
  <c r="BL31" i="2"/>
  <c r="CR27" i="2"/>
  <c r="CR29" i="2"/>
  <c r="BF29" i="2"/>
  <c r="CT30" i="2"/>
  <c r="AN34" i="2"/>
  <c r="CR32" i="2"/>
  <c r="AR33" i="2"/>
  <c r="L41" i="2"/>
  <c r="S41" i="2"/>
  <c r="S52" i="2" s="1"/>
  <c r="Z41" i="2"/>
  <c r="AZ36" i="2"/>
  <c r="P38" i="2"/>
  <c r="AX38" i="2"/>
  <c r="AW38" i="2"/>
  <c r="CT38" i="2"/>
  <c r="CQ39" i="2"/>
  <c r="AD44" i="2"/>
  <c r="AL46" i="2"/>
  <c r="BG46" i="2"/>
  <c r="AR45" i="2"/>
  <c r="CW45" i="2"/>
  <c r="BF52" i="2"/>
  <c r="AY43" i="2"/>
  <c r="AX29" i="2"/>
  <c r="AY29" i="2" s="1"/>
  <c r="AR29" i="2"/>
  <c r="AT30" i="2"/>
  <c r="AZ30" i="2"/>
  <c r="AR30" i="2"/>
  <c r="H32" i="2"/>
  <c r="I32" i="2" s="1"/>
  <c r="L34" i="2"/>
  <c r="S34" i="2"/>
  <c r="Z34" i="2"/>
  <c r="AG34" i="2"/>
  <c r="AM34" i="2"/>
  <c r="AS34" i="2"/>
  <c r="BE34" i="2"/>
  <c r="BL34" i="2"/>
  <c r="O41" i="2"/>
  <c r="V41" i="2"/>
  <c r="AT36" i="2"/>
  <c r="AK41" i="2"/>
  <c r="AR39" i="2"/>
  <c r="J46" i="2"/>
  <c r="BM45" i="2"/>
  <c r="CH52" i="2"/>
  <c r="CO52" i="2"/>
  <c r="CR7" i="2"/>
  <c r="BF12" i="2"/>
  <c r="BF13" i="2" s="1"/>
  <c r="L31" i="2"/>
  <c r="S31" i="2"/>
  <c r="Z31" i="2"/>
  <c r="AN31" i="2"/>
  <c r="BG31" i="2"/>
  <c r="AT26" i="2"/>
  <c r="AZ26" i="2"/>
  <c r="H27" i="2"/>
  <c r="I27" i="2" s="1"/>
  <c r="AU27" i="2"/>
  <c r="AX28" i="2"/>
  <c r="BF28" i="2"/>
  <c r="AD29" i="2"/>
  <c r="AW29" i="2"/>
  <c r="AU30" i="2"/>
  <c r="BF30" i="2"/>
  <c r="L8" i="2"/>
  <c r="CR8" i="2" s="1"/>
  <c r="AC31" i="2"/>
  <c r="AJ31" i="2"/>
  <c r="I26" i="2"/>
  <c r="AX27" i="2"/>
  <c r="W34" i="2"/>
  <c r="AU35" i="2"/>
  <c r="P36" i="2"/>
  <c r="BF36" i="2"/>
  <c r="CR4" i="2"/>
  <c r="H6" i="2"/>
  <c r="CU6" i="2" s="1"/>
  <c r="AY14" i="2"/>
  <c r="Q31" i="2"/>
  <c r="X31" i="2"/>
  <c r="AE31" i="2"/>
  <c r="BB31" i="2"/>
  <c r="BI31" i="2"/>
  <c r="AY25" i="2"/>
  <c r="AX26" i="2"/>
  <c r="AU26" i="2"/>
  <c r="AR26" i="2"/>
  <c r="AD27" i="2"/>
  <c r="AK27" i="2"/>
  <c r="AT28" i="2"/>
  <c r="AZ28" i="2"/>
  <c r="AK29" i="2"/>
  <c r="W39" i="2"/>
  <c r="H44" i="2"/>
  <c r="I44" i="2" s="1"/>
  <c r="AY48" i="2"/>
  <c r="AY50" i="2"/>
  <c r="AY49" i="2"/>
  <c r="AY16" i="2"/>
  <c r="AY15" i="2"/>
  <c r="W12" i="2"/>
  <c r="AX19" i="2"/>
  <c r="AW28" i="2"/>
  <c r="AT29" i="2"/>
  <c r="AT32" i="2"/>
  <c r="AK32" i="2"/>
  <c r="AZ32" i="2"/>
  <c r="BF32" i="2"/>
  <c r="AT33" i="2"/>
  <c r="AK33" i="2"/>
  <c r="H38" i="2"/>
  <c r="BF38" i="2"/>
  <c r="AY42" i="2"/>
  <c r="AK44" i="2"/>
  <c r="AS46" i="2"/>
  <c r="AZ44" i="2"/>
  <c r="AZ45" i="2"/>
  <c r="AY45" i="2" s="1"/>
  <c r="CA52" i="2"/>
  <c r="AZ12" i="2"/>
  <c r="AS13" i="2"/>
  <c r="AZ17" i="2"/>
  <c r="BF17" i="2"/>
  <c r="BF18" i="2" s="1"/>
  <c r="AN18" i="2"/>
  <c r="CR18" i="2" s="1"/>
  <c r="H19" i="2"/>
  <c r="H20" i="2" s="1"/>
  <c r="P27" i="2"/>
  <c r="W27" i="2"/>
  <c r="AW27" i="2"/>
  <c r="BF27" i="2"/>
  <c r="AX32" i="2"/>
  <c r="AR32" i="2"/>
  <c r="AU33" i="2"/>
  <c r="BF33" i="2"/>
  <c r="Q5" i="2"/>
  <c r="P5" i="2" s="1"/>
  <c r="AR17" i="2"/>
  <c r="AT19" i="2"/>
  <c r="Z20" i="2"/>
  <c r="P23" i="2"/>
  <c r="AK24" i="2"/>
  <c r="AW24" i="2"/>
  <c r="AU29" i="2"/>
  <c r="P34" i="2"/>
  <c r="AD32" i="2"/>
  <c r="AD34" i="2" s="1"/>
  <c r="AD33" i="2"/>
  <c r="AW33" i="2"/>
  <c r="W35" i="2"/>
  <c r="V44" i="2"/>
  <c r="W44" i="2" s="1"/>
  <c r="BE44" i="2"/>
  <c r="BE46" i="2" s="1"/>
  <c r="BF46" i="2" s="1"/>
  <c r="BL44" i="2"/>
  <c r="AT45" i="2"/>
  <c r="E5" i="2"/>
  <c r="CR5" i="2" s="1"/>
  <c r="AJ13" i="2"/>
  <c r="W17" i="2"/>
  <c r="W20" i="2"/>
  <c r="AY21" i="2"/>
  <c r="AK26" i="2"/>
  <c r="P29" i="2"/>
  <c r="W29" i="2"/>
  <c r="K34" i="2"/>
  <c r="W41" i="2"/>
  <c r="AZ35" i="2"/>
  <c r="H36" i="2"/>
  <c r="I36" i="2" s="1"/>
  <c r="P37" i="2"/>
  <c r="W38" i="2"/>
  <c r="AD38" i="2"/>
  <c r="AK38" i="2"/>
  <c r="I39" i="2"/>
  <c r="AY39" i="2"/>
  <c r="AK39" i="2"/>
  <c r="O44" i="2"/>
  <c r="O46" i="2" s="1"/>
  <c r="P46" i="2" s="1"/>
  <c r="X46" i="2"/>
  <c r="AF46" i="2"/>
  <c r="AT46" i="2" s="1"/>
  <c r="AR44" i="2"/>
  <c r="BM44" i="2"/>
  <c r="P45" i="2"/>
  <c r="AY47" i="2"/>
  <c r="CQ7" i="2"/>
  <c r="H7" i="2"/>
  <c r="CU7" i="2" s="1"/>
  <c r="D5" i="2"/>
  <c r="CQ5" i="2" s="1"/>
  <c r="CQ4" i="2"/>
  <c r="H4" i="2"/>
  <c r="I4" i="2" s="1"/>
  <c r="D8" i="2"/>
  <c r="CQ8" i="2" s="1"/>
  <c r="AZ13" i="2"/>
  <c r="W13" i="2"/>
  <c r="AM18" i="2"/>
  <c r="CQ18" i="2" s="1"/>
  <c r="I20" i="2"/>
  <c r="Q18" i="2"/>
  <c r="P18" i="2" s="1"/>
  <c r="P17" i="2"/>
  <c r="AR20" i="2"/>
  <c r="H23" i="2"/>
  <c r="D31" i="2"/>
  <c r="J5" i="2"/>
  <c r="CW4" i="2"/>
  <c r="AU13" i="2"/>
  <c r="AZ18" i="2"/>
  <c r="AX20" i="2"/>
  <c r="AM13" i="2"/>
  <c r="AX17" i="2"/>
  <c r="AC18" i="2"/>
  <c r="AX18" i="2" s="1"/>
  <c r="P8" i="2"/>
  <c r="CW7" i="2"/>
  <c r="Q13" i="2"/>
  <c r="P13" i="2" s="1"/>
  <c r="P12" i="2"/>
  <c r="AX12" i="2"/>
  <c r="AC13" i="2"/>
  <c r="AY17" i="2"/>
  <c r="AE20" i="2"/>
  <c r="AZ20" i="2" s="1"/>
  <c r="AZ19" i="2"/>
  <c r="AY19" i="2" s="1"/>
  <c r="AD19" i="2"/>
  <c r="AD20" i="2" s="1"/>
  <c r="AP20" i="2"/>
  <c r="CT20" i="2" s="1"/>
  <c r="AU12" i="2"/>
  <c r="AU17" i="2"/>
  <c r="AN20" i="2"/>
  <c r="CR20" i="2" s="1"/>
  <c r="AL31" i="2"/>
  <c r="AK23" i="2"/>
  <c r="AR23" i="2"/>
  <c r="AQ31" i="2"/>
  <c r="AY26" i="2"/>
  <c r="H24" i="2"/>
  <c r="I24" i="2" s="1"/>
  <c r="L52" i="2"/>
  <c r="CR6" i="2"/>
  <c r="J8" i="2"/>
  <c r="H12" i="2"/>
  <c r="AD12" i="2"/>
  <c r="AD13" i="2" s="1"/>
  <c r="AW12" i="2"/>
  <c r="Y13" i="2"/>
  <c r="AP13" i="2"/>
  <c r="CT13" i="2" s="1"/>
  <c r="H17" i="2"/>
  <c r="H18" i="2" s="1"/>
  <c r="AD17" i="2"/>
  <c r="AD18" i="2" s="1"/>
  <c r="AW17" i="2"/>
  <c r="Y18" i="2"/>
  <c r="AP18" i="2"/>
  <c r="CT18" i="2" s="1"/>
  <c r="P19" i="2"/>
  <c r="E31" i="2"/>
  <c r="AG31" i="2"/>
  <c r="AU23" i="2"/>
  <c r="AX24" i="2"/>
  <c r="AY24" i="2" s="1"/>
  <c r="AD24" i="2"/>
  <c r="AY28" i="2"/>
  <c r="H34" i="2"/>
  <c r="BF34" i="2"/>
  <c r="P6" i="2"/>
  <c r="I17" i="2"/>
  <c r="W19" i="2"/>
  <c r="AR19" i="2"/>
  <c r="BF19" i="2"/>
  <c r="BF20" i="2" s="1"/>
  <c r="J31" i="2"/>
  <c r="I23" i="2"/>
  <c r="W23" i="2"/>
  <c r="V31" i="2"/>
  <c r="BE31" i="2"/>
  <c r="BF31" i="2" s="1"/>
  <c r="BF23" i="2"/>
  <c r="AY27" i="2"/>
  <c r="AR34" i="2"/>
  <c r="I33" i="2"/>
  <c r="AT23" i="2"/>
  <c r="AX23" i="2"/>
  <c r="AR27" i="2"/>
  <c r="AR28" i="2"/>
  <c r="AK30" i="2"/>
  <c r="AX30" i="2"/>
  <c r="AY30" i="2" s="1"/>
  <c r="AP31" i="2"/>
  <c r="CT31" i="2" s="1"/>
  <c r="W32" i="2"/>
  <c r="AU32" i="2"/>
  <c r="AX33" i="2"/>
  <c r="AY33" i="2" s="1"/>
  <c r="J34" i="2"/>
  <c r="I34" i="2" s="1"/>
  <c r="AF34" i="2"/>
  <c r="AP34" i="2"/>
  <c r="CT34" i="2" s="1"/>
  <c r="AZ41" i="2"/>
  <c r="AC34" i="2"/>
  <c r="AX34" i="2" s="1"/>
  <c r="AL34" i="2"/>
  <c r="AK34" i="2" s="1"/>
  <c r="AZ23" i="2"/>
  <c r="AY23" i="2" s="1"/>
  <c r="AW26" i="2"/>
  <c r="AW32" i="2"/>
  <c r="E41" i="2"/>
  <c r="H35" i="2"/>
  <c r="CU35" i="2" s="1"/>
  <c r="AI52" i="2"/>
  <c r="W45" i="2"/>
  <c r="AD23" i="2"/>
  <c r="P32" i="2"/>
  <c r="M52" i="2"/>
  <c r="P35" i="2"/>
  <c r="Q41" i="2"/>
  <c r="P41" i="2" s="1"/>
  <c r="AY36" i="2"/>
  <c r="AZ46" i="2"/>
  <c r="BL46" i="2"/>
  <c r="BM46" i="2" s="1"/>
  <c r="AK45" i="2"/>
  <c r="BF45" i="2"/>
  <c r="AW36" i="2"/>
  <c r="AD39" i="2"/>
  <c r="AW39" i="2"/>
  <c r="D41" i="2"/>
  <c r="J41" i="2"/>
  <c r="AP41" i="2"/>
  <c r="H45" i="2"/>
  <c r="AD35" i="2"/>
  <c r="AK36" i="2"/>
  <c r="H37" i="2"/>
  <c r="CU37" i="2" s="1"/>
  <c r="AD37" i="2"/>
  <c r="AC41" i="2"/>
  <c r="AX41" i="2" s="1"/>
  <c r="AQ41" i="2"/>
  <c r="BG41" i="2"/>
  <c r="BF41" i="2" s="1"/>
  <c r="AT44" i="2"/>
  <c r="AX44" i="2"/>
  <c r="AY44" i="2" s="1"/>
  <c r="AD45" i="2"/>
  <c r="AD46" i="2" s="1"/>
  <c r="AC46" i="2"/>
  <c r="AR38" i="2"/>
  <c r="AZ38" i="2"/>
  <c r="AY38" i="2" s="1"/>
  <c r="AM41" i="2"/>
  <c r="H46" i="2"/>
  <c r="I46" i="2" s="1"/>
  <c r="AJ46" i="2"/>
  <c r="AQ46" i="2"/>
  <c r="AT35" i="2"/>
  <c r="AD36" i="2"/>
  <c r="AR36" i="2"/>
  <c r="BF40" i="2"/>
  <c r="CQ13" i="2" l="1"/>
  <c r="AR18" i="2"/>
  <c r="CR41" i="2"/>
  <c r="V46" i="2"/>
  <c r="CU46" i="2" s="1"/>
  <c r="D52" i="2"/>
  <c r="I38" i="2"/>
  <c r="AN52" i="2"/>
  <c r="AK31" i="2"/>
  <c r="AY12" i="2"/>
  <c r="AU18" i="2"/>
  <c r="CR34" i="2"/>
  <c r="CU44" i="2"/>
  <c r="AU20" i="2"/>
  <c r="AT20" i="2"/>
  <c r="CQ34" i="2"/>
  <c r="CQ46" i="2"/>
  <c r="P44" i="2"/>
  <c r="AT41" i="2"/>
  <c r="CQ41" i="2"/>
  <c r="AW41" i="2"/>
  <c r="CT41" i="2"/>
  <c r="AU41" i="2"/>
  <c r="AU31" i="2"/>
  <c r="X52" i="2"/>
  <c r="AT31" i="2"/>
  <c r="CR31" i="2"/>
  <c r="AR13" i="2"/>
  <c r="W46" i="2"/>
  <c r="Z52" i="2"/>
  <c r="AR46" i="2"/>
  <c r="O52" i="2"/>
  <c r="I6" i="2"/>
  <c r="AX31" i="2"/>
  <c r="H8" i="2"/>
  <c r="CU8" i="2" s="1"/>
  <c r="AE52" i="2"/>
  <c r="I19" i="2"/>
  <c r="AJ52" i="2"/>
  <c r="I45" i="2"/>
  <c r="AF52" i="2"/>
  <c r="I7" i="2"/>
  <c r="AU34" i="2"/>
  <c r="AD31" i="2"/>
  <c r="AK46" i="2"/>
  <c r="AY20" i="2"/>
  <c r="V52" i="2"/>
  <c r="W52" i="2" s="1"/>
  <c r="E52" i="2"/>
  <c r="W31" i="2"/>
  <c r="AY32" i="2"/>
  <c r="AW34" i="2"/>
  <c r="AL52" i="2"/>
  <c r="BF44" i="2"/>
  <c r="AD41" i="2"/>
  <c r="AR41" i="2"/>
  <c r="AG52" i="2"/>
  <c r="Y52" i="2"/>
  <c r="AT13" i="2"/>
  <c r="I12" i="2"/>
  <c r="H13" i="2"/>
  <c r="AT34" i="2"/>
  <c r="AZ31" i="2"/>
  <c r="AY31" i="2" s="1"/>
  <c r="Q52" i="2"/>
  <c r="AR31" i="2"/>
  <c r="I18" i="2"/>
  <c r="H5" i="2"/>
  <c r="CU5" i="2" s="1"/>
  <c r="CU4" i="2"/>
  <c r="CV4" i="2" s="1"/>
  <c r="AW31" i="2"/>
  <c r="AW18" i="2"/>
  <c r="CW8" i="2"/>
  <c r="AW20" i="2"/>
  <c r="AZ52" i="2"/>
  <c r="AY41" i="2"/>
  <c r="AT18" i="2"/>
  <c r="AC52" i="2"/>
  <c r="AD52" i="2" s="1"/>
  <c r="AX13" i="2"/>
  <c r="AY13" i="2" s="1"/>
  <c r="AY18" i="2"/>
  <c r="I37" i="2"/>
  <c r="AQ52" i="2"/>
  <c r="AX46" i="2"/>
  <c r="AY46" i="2" s="1"/>
  <c r="AP52" i="2"/>
  <c r="CT52" i="2" s="1"/>
  <c r="AM52" i="2"/>
  <c r="H41" i="2"/>
  <c r="I41" i="2" s="1"/>
  <c r="I35" i="2"/>
  <c r="AW13" i="2"/>
  <c r="AZ34" i="2"/>
  <c r="AY34" i="2" s="1"/>
  <c r="J52" i="2"/>
  <c r="CW5" i="2"/>
  <c r="H31" i="2"/>
  <c r="I31" i="2" s="1"/>
  <c r="AQ62" i="2"/>
  <c r="I5" i="2" l="1"/>
  <c r="P52" i="2"/>
  <c r="AU52" i="2"/>
  <c r="AK52" i="2"/>
  <c r="I8" i="2"/>
  <c r="BN17" i="2"/>
  <c r="BN32" i="2"/>
  <c r="AW52" i="2"/>
  <c r="AX52" i="2"/>
  <c r="AY52" i="2" s="1"/>
  <c r="AT52" i="2"/>
  <c r="I13" i="2"/>
  <c r="H52" i="2"/>
  <c r="I52" i="2" s="1"/>
  <c r="AR52" i="2"/>
  <c r="BM32" i="2" l="1"/>
  <c r="BN18" i="2"/>
  <c r="BM17" i="2"/>
  <c r="BN28" i="2"/>
  <c r="BN33" i="2"/>
  <c r="BN23" i="2"/>
  <c r="BN38" i="2"/>
  <c r="BN19" i="2"/>
  <c r="BN12" i="2"/>
  <c r="G26" i="1"/>
  <c r="G27" i="1" s="1"/>
  <c r="G24" i="1"/>
  <c r="G25" i="1" s="1"/>
  <c r="G22" i="1"/>
  <c r="G21" i="1"/>
  <c r="G20" i="1"/>
  <c r="G18" i="1"/>
  <c r="G17" i="1"/>
  <c r="G13" i="1"/>
  <c r="G14" i="1"/>
  <c r="G15" i="1"/>
  <c r="G12" i="1"/>
  <c r="G11" i="1"/>
  <c r="G10" i="1"/>
  <c r="G9" i="1"/>
  <c r="G7" i="1"/>
  <c r="G8" i="1" s="1"/>
  <c r="G5" i="1"/>
  <c r="G6" i="1" s="1"/>
  <c r="G3" i="1"/>
  <c r="G4" i="1" s="1"/>
  <c r="E27" i="1"/>
  <c r="D27" i="1"/>
  <c r="BO51" i="2" s="1"/>
  <c r="F26" i="1"/>
  <c r="E25" i="1"/>
  <c r="D25" i="1"/>
  <c r="F24" i="1"/>
  <c r="E23" i="1"/>
  <c r="D23" i="1"/>
  <c r="F22" i="1"/>
  <c r="F21" i="1"/>
  <c r="F20" i="1"/>
  <c r="E19" i="1"/>
  <c r="D19" i="1"/>
  <c r="F18" i="1"/>
  <c r="F17" i="1"/>
  <c r="F13" i="1"/>
  <c r="F14" i="1"/>
  <c r="F15" i="1"/>
  <c r="F12" i="1"/>
  <c r="F11" i="1"/>
  <c r="F10" i="1"/>
  <c r="F9" i="1"/>
  <c r="E8" i="1"/>
  <c r="D8" i="1"/>
  <c r="F7" i="1"/>
  <c r="E6" i="1"/>
  <c r="D6" i="1"/>
  <c r="F5" i="1"/>
  <c r="E4" i="1"/>
  <c r="D4" i="1"/>
  <c r="F3" i="1"/>
  <c r="F6" i="1" l="1"/>
  <c r="L13" i="3"/>
  <c r="V54" i="5"/>
  <c r="BS17" i="2"/>
  <c r="L20" i="3"/>
  <c r="P20" i="3" s="1"/>
  <c r="BS26" i="2"/>
  <c r="CU26" i="2" s="1"/>
  <c r="L23" i="3"/>
  <c r="P23" i="3" s="1"/>
  <c r="BS27" i="2"/>
  <c r="CU27" i="2" s="1"/>
  <c r="L17" i="3"/>
  <c r="BS23" i="2"/>
  <c r="L26" i="3"/>
  <c r="P26" i="3" s="1"/>
  <c r="BS30" i="2"/>
  <c r="L29" i="3"/>
  <c r="BS33" i="2"/>
  <c r="CU33" i="2" s="1"/>
  <c r="L34" i="3"/>
  <c r="BS38" i="2"/>
  <c r="CU38" i="2" s="1"/>
  <c r="F25" i="1"/>
  <c r="L38" i="3"/>
  <c r="V63" i="5"/>
  <c r="BS51" i="2"/>
  <c r="CU51" i="2" s="1"/>
  <c r="CQ51" i="2"/>
  <c r="L24" i="3"/>
  <c r="P24" i="3" s="1"/>
  <c r="BS28" i="2"/>
  <c r="CU28" i="2" s="1"/>
  <c r="F4" i="1"/>
  <c r="L11" i="3"/>
  <c r="V59" i="5"/>
  <c r="BS12" i="2"/>
  <c r="L28" i="3"/>
  <c r="P28" i="3" s="1"/>
  <c r="BS32" i="2"/>
  <c r="L32" i="3"/>
  <c r="P32" i="3" s="1"/>
  <c r="BS36" i="2"/>
  <c r="F27" i="1"/>
  <c r="L41" i="3"/>
  <c r="P41" i="3" s="1"/>
  <c r="V65" i="5"/>
  <c r="F8" i="1"/>
  <c r="L15" i="3"/>
  <c r="V55" i="5"/>
  <c r="BS19" i="2"/>
  <c r="L18" i="3"/>
  <c r="P18" i="3" s="1"/>
  <c r="BS24" i="2"/>
  <c r="CU24" i="2" s="1"/>
  <c r="L25" i="3"/>
  <c r="P25" i="3" s="1"/>
  <c r="BS29" i="2"/>
  <c r="CU29" i="2" s="1"/>
  <c r="L35" i="3"/>
  <c r="P35" i="3" s="1"/>
  <c r="BS39" i="2"/>
  <c r="CU39" i="2" s="1"/>
  <c r="BM18" i="2"/>
  <c r="G16" i="1"/>
  <c r="F16" i="1"/>
  <c r="V51" i="5" s="1"/>
  <c r="BN24" i="2"/>
  <c r="BN26" i="2"/>
  <c r="BN39" i="2"/>
  <c r="BN20" i="2"/>
  <c r="BM19" i="2"/>
  <c r="BM23" i="2"/>
  <c r="BM28" i="2"/>
  <c r="BN13" i="2"/>
  <c r="BM12" i="2"/>
  <c r="BM38" i="2"/>
  <c r="BN29" i="2"/>
  <c r="BN25" i="2"/>
  <c r="CW25" i="2" s="1"/>
  <c r="BM33" i="2"/>
  <c r="BN27" i="2"/>
  <c r="BN34" i="2"/>
  <c r="H24" i="1"/>
  <c r="H25" i="1"/>
  <c r="H4" i="1"/>
  <c r="H20" i="1"/>
  <c r="H27" i="1"/>
  <c r="H8" i="1"/>
  <c r="H7" i="1"/>
  <c r="H12" i="1"/>
  <c r="H17" i="1"/>
  <c r="H22" i="1"/>
  <c r="H9" i="1"/>
  <c r="H15" i="1"/>
  <c r="H10" i="1"/>
  <c r="H14" i="1"/>
  <c r="H6" i="1"/>
  <c r="H11" i="1"/>
  <c r="H13" i="1"/>
  <c r="H21" i="1"/>
  <c r="H3" i="1"/>
  <c r="G19" i="1"/>
  <c r="H5" i="1"/>
  <c r="G23" i="1"/>
  <c r="H18" i="1"/>
  <c r="H26" i="1"/>
  <c r="D28" i="1"/>
  <c r="BO52" i="2" s="1"/>
  <c r="CQ52" i="2" s="1"/>
  <c r="F23" i="1"/>
  <c r="V50" i="5" s="1"/>
  <c r="F19" i="1"/>
  <c r="V52" i="5" s="1"/>
  <c r="E28" i="1"/>
  <c r="BP52" i="2" s="1"/>
  <c r="CR52" i="2" s="1"/>
  <c r="G51" i="5" l="1"/>
  <c r="BS34" i="2"/>
  <c r="CU34" i="2" s="1"/>
  <c r="CU32" i="2"/>
  <c r="L12" i="3"/>
  <c r="P11" i="3"/>
  <c r="W63" i="5"/>
  <c r="G63" i="5"/>
  <c r="L37" i="3"/>
  <c r="P37" i="3" s="1"/>
  <c r="P34" i="3"/>
  <c r="BS18" i="2"/>
  <c r="CU17" i="2"/>
  <c r="BS20" i="2"/>
  <c r="CU19" i="2"/>
  <c r="L40" i="3"/>
  <c r="P40" i="3" s="1"/>
  <c r="P38" i="3"/>
  <c r="BS31" i="2"/>
  <c r="CU31" i="2" s="1"/>
  <c r="CU23" i="2"/>
  <c r="G54" i="5"/>
  <c r="G52" i="5"/>
  <c r="G55" i="5"/>
  <c r="W55" i="5"/>
  <c r="BS41" i="2"/>
  <c r="CU41" i="2" s="1"/>
  <c r="CU36" i="2"/>
  <c r="BS13" i="2"/>
  <c r="CU13" i="2" s="1"/>
  <c r="CU12" i="2"/>
  <c r="L30" i="3"/>
  <c r="P29" i="3"/>
  <c r="P30" i="3" s="1"/>
  <c r="L27" i="3"/>
  <c r="P17" i="3"/>
  <c r="P27" i="3" s="1"/>
  <c r="K27" i="3"/>
  <c r="K42" i="3" s="1"/>
  <c r="H27" i="3"/>
  <c r="H42" i="3" s="1"/>
  <c r="L14" i="3"/>
  <c r="P14" i="3" s="1"/>
  <c r="P13" i="3"/>
  <c r="V68" i="5"/>
  <c r="B23" i="5" s="1"/>
  <c r="V69" i="5"/>
  <c r="W54" i="5" s="1"/>
  <c r="G50" i="5"/>
  <c r="L16" i="3"/>
  <c r="P16" i="3" s="1"/>
  <c r="P15" i="3"/>
  <c r="W65" i="5"/>
  <c r="G65" i="5"/>
  <c r="G59" i="5"/>
  <c r="W59" i="5"/>
  <c r="CU30" i="2"/>
  <c r="BM13" i="2"/>
  <c r="BM20" i="2"/>
  <c r="H23" i="1"/>
  <c r="BM34" i="2"/>
  <c r="BM26" i="2"/>
  <c r="BM24" i="2"/>
  <c r="BM39" i="2"/>
  <c r="BM27" i="2"/>
  <c r="BM25" i="2"/>
  <c r="BM29" i="2"/>
  <c r="BN36" i="2"/>
  <c r="BN30" i="2"/>
  <c r="H19" i="1"/>
  <c r="G28" i="1"/>
  <c r="H16" i="1"/>
  <c r="F28" i="1"/>
  <c r="B14" i="5" l="1"/>
  <c r="B5" i="5"/>
  <c r="B20" i="5"/>
  <c r="W50" i="5"/>
  <c r="B10" i="5"/>
  <c r="B6" i="5"/>
  <c r="B9" i="5"/>
  <c r="W62" i="5"/>
  <c r="W58" i="5"/>
  <c r="W61" i="5"/>
  <c r="W56" i="5"/>
  <c r="G69" i="5"/>
  <c r="W52" i="5"/>
  <c r="L42" i="3"/>
  <c r="P12" i="3"/>
  <c r="P42" i="3" s="1"/>
  <c r="W51" i="5"/>
  <c r="Y13" i="7"/>
  <c r="AC13" i="7" s="1"/>
  <c r="B12" i="6"/>
  <c r="B16" i="6" s="1"/>
  <c r="BS52" i="2"/>
  <c r="CU52" i="2" s="1"/>
  <c r="U3" i="1"/>
  <c r="S3" i="1"/>
  <c r="X3" i="1"/>
  <c r="Y3" i="1"/>
  <c r="W3" i="1"/>
  <c r="V3" i="1"/>
  <c r="Z3" i="1"/>
  <c r="T3" i="1"/>
  <c r="B7" i="5"/>
  <c r="CU18" i="2"/>
  <c r="B18" i="5"/>
  <c r="H63" i="5"/>
  <c r="CU20" i="2"/>
  <c r="M3" i="1"/>
  <c r="O3" i="1"/>
  <c r="K3" i="1"/>
  <c r="BN52" i="2"/>
  <c r="BM30" i="2"/>
  <c r="BM36" i="2"/>
  <c r="BN41" i="2"/>
  <c r="BN31" i="2"/>
  <c r="H28" i="1"/>
  <c r="H61" i="5" l="1"/>
  <c r="H56" i="5"/>
  <c r="H58" i="5"/>
  <c r="H62" i="5"/>
  <c r="H49" i="5"/>
  <c r="B24" i="5"/>
  <c r="C18" i="5" s="1"/>
  <c r="H67" i="5"/>
  <c r="H54" i="5"/>
  <c r="H51" i="5"/>
  <c r="H52" i="5"/>
  <c r="Y4" i="7"/>
  <c r="T6" i="1"/>
  <c r="T10" i="1"/>
  <c r="T18" i="1"/>
  <c r="T26" i="1"/>
  <c r="T11" i="1"/>
  <c r="T7" i="1"/>
  <c r="T15" i="1"/>
  <c r="T23" i="1"/>
  <c r="T19" i="1"/>
  <c r="T27" i="1"/>
  <c r="T12" i="1"/>
  <c r="T9" i="1"/>
  <c r="T25" i="1"/>
  <c r="T16" i="1"/>
  <c r="T13" i="1"/>
  <c r="T24" i="1"/>
  <c r="T14" i="1"/>
  <c r="T4" i="1"/>
  <c r="T20" i="1"/>
  <c r="T17" i="1"/>
  <c r="T8" i="1"/>
  <c r="T5" i="1"/>
  <c r="T21" i="1"/>
  <c r="T22" i="1"/>
  <c r="Y9" i="7"/>
  <c r="Y20" i="1"/>
  <c r="Y12" i="1"/>
  <c r="Y5" i="1"/>
  <c r="Y6" i="1"/>
  <c r="Y22" i="1"/>
  <c r="Y4" i="1"/>
  <c r="Y8" i="1"/>
  <c r="Y19" i="1"/>
  <c r="Y9" i="1"/>
  <c r="Y10" i="1"/>
  <c r="Y26" i="1"/>
  <c r="Y23" i="1"/>
  <c r="Y7" i="1"/>
  <c r="Y16" i="1"/>
  <c r="Y13" i="1"/>
  <c r="Y14" i="1"/>
  <c r="Y17" i="1"/>
  <c r="Y24" i="1"/>
  <c r="Y27" i="1"/>
  <c r="Y11" i="1"/>
  <c r="Y21" i="1"/>
  <c r="Y18" i="1"/>
  <c r="Y25" i="1"/>
  <c r="Y15" i="1"/>
  <c r="C10" i="5"/>
  <c r="C20" i="5"/>
  <c r="H50" i="5"/>
  <c r="Y5" i="7"/>
  <c r="U8" i="1"/>
  <c r="U11" i="1"/>
  <c r="U16" i="1"/>
  <c r="U19" i="1"/>
  <c r="U24" i="1"/>
  <c r="U27" i="1"/>
  <c r="U12" i="1"/>
  <c r="U20" i="1"/>
  <c r="U17" i="1"/>
  <c r="U10" i="1"/>
  <c r="U26" i="1"/>
  <c r="U15" i="1"/>
  <c r="U5" i="1"/>
  <c r="U25" i="1"/>
  <c r="U14" i="1"/>
  <c r="U21" i="1"/>
  <c r="U9" i="1"/>
  <c r="U4" i="1"/>
  <c r="U18" i="1"/>
  <c r="U23" i="1"/>
  <c r="U7" i="1"/>
  <c r="U13" i="1"/>
  <c r="U6" i="1"/>
  <c r="U22" i="1"/>
  <c r="C5" i="5"/>
  <c r="Y10" i="7"/>
  <c r="Z6" i="1"/>
  <c r="Z11" i="1"/>
  <c r="Z27" i="1"/>
  <c r="Z5" i="1"/>
  <c r="Z17" i="1"/>
  <c r="Z16" i="1"/>
  <c r="Z10" i="1"/>
  <c r="Z15" i="1"/>
  <c r="Z18" i="1"/>
  <c r="Z12" i="1"/>
  <c r="Z25" i="1"/>
  <c r="Z24" i="1"/>
  <c r="Z14" i="1"/>
  <c r="Z19" i="1"/>
  <c r="Z22" i="1"/>
  <c r="Z20" i="1"/>
  <c r="Z4" i="1"/>
  <c r="Z13" i="1"/>
  <c r="Z7" i="1"/>
  <c r="Z23" i="1"/>
  <c r="Z26" i="1"/>
  <c r="Z9" i="1"/>
  <c r="Z8" i="1"/>
  <c r="Z21" i="1"/>
  <c r="Y8" i="7"/>
  <c r="X6" i="1"/>
  <c r="X11" i="1"/>
  <c r="X14" i="1"/>
  <c r="X19" i="1"/>
  <c r="X22" i="1"/>
  <c r="X27" i="1"/>
  <c r="X15" i="1"/>
  <c r="X23" i="1"/>
  <c r="X7" i="1"/>
  <c r="X12" i="1"/>
  <c r="X13" i="1"/>
  <c r="X20" i="1"/>
  <c r="X16" i="1"/>
  <c r="X17" i="1"/>
  <c r="X24" i="1"/>
  <c r="X18" i="1"/>
  <c r="X4" i="1"/>
  <c r="X5" i="1"/>
  <c r="X21" i="1"/>
  <c r="X8" i="1"/>
  <c r="X9" i="1"/>
  <c r="X25" i="1"/>
  <c r="X26" i="1"/>
  <c r="X10" i="1"/>
  <c r="H55" i="5"/>
  <c r="C14" i="5"/>
  <c r="Y7" i="7"/>
  <c r="W13" i="1"/>
  <c r="W21" i="1"/>
  <c r="W5" i="1"/>
  <c r="W10" i="1"/>
  <c r="W18" i="1"/>
  <c r="W26" i="1"/>
  <c r="W15" i="1"/>
  <c r="W4" i="1"/>
  <c r="W20" i="1"/>
  <c r="W25" i="1"/>
  <c r="W9" i="1"/>
  <c r="W23" i="1"/>
  <c r="W8" i="1"/>
  <c r="W24" i="1"/>
  <c r="W7" i="1"/>
  <c r="W27" i="1"/>
  <c r="W12" i="1"/>
  <c r="W19" i="1"/>
  <c r="W14" i="1"/>
  <c r="W17" i="1"/>
  <c r="W11" i="1"/>
  <c r="W6" i="1"/>
  <c r="W16" i="1"/>
  <c r="W22" i="1"/>
  <c r="H65" i="5"/>
  <c r="Y6" i="7"/>
  <c r="V6" i="1"/>
  <c r="V7" i="1"/>
  <c r="V23" i="1"/>
  <c r="V26" i="1"/>
  <c r="V12" i="1"/>
  <c r="V21" i="1"/>
  <c r="V10" i="1"/>
  <c r="V11" i="1"/>
  <c r="V27" i="1"/>
  <c r="V25" i="1"/>
  <c r="V4" i="1"/>
  <c r="V24" i="1"/>
  <c r="V8" i="1"/>
  <c r="V18" i="1"/>
  <c r="V15" i="1"/>
  <c r="V14" i="1"/>
  <c r="V17" i="1"/>
  <c r="V20" i="1"/>
  <c r="V5" i="1"/>
  <c r="V19" i="1"/>
  <c r="V22" i="1"/>
  <c r="V9" i="1"/>
  <c r="V13" i="1"/>
  <c r="V16" i="1"/>
  <c r="Y3" i="7"/>
  <c r="S14" i="1"/>
  <c r="S25" i="1"/>
  <c r="S9" i="1"/>
  <c r="S17" i="1"/>
  <c r="S22" i="1"/>
  <c r="S6" i="1"/>
  <c r="S16" i="1"/>
  <c r="S27" i="1"/>
  <c r="S11" i="1"/>
  <c r="S18" i="1"/>
  <c r="S21" i="1"/>
  <c r="S12" i="1"/>
  <c r="S23" i="1"/>
  <c r="S7" i="1"/>
  <c r="S26" i="1"/>
  <c r="S24" i="1"/>
  <c r="S8" i="1"/>
  <c r="S19" i="1"/>
  <c r="S5" i="1"/>
  <c r="S20" i="1"/>
  <c r="S4" i="1"/>
  <c r="S15" i="1"/>
  <c r="S10" i="1"/>
  <c r="S13" i="1"/>
  <c r="C9" i="5"/>
  <c r="C6" i="5"/>
  <c r="H59" i="5"/>
  <c r="C7" i="5"/>
  <c r="L3" i="1"/>
  <c r="K20" i="1"/>
  <c r="L20" i="1" s="1"/>
  <c r="K16" i="1"/>
  <c r="L16" i="1" s="1"/>
  <c r="K12" i="1"/>
  <c r="L12" i="1" s="1"/>
  <c r="K8" i="1"/>
  <c r="L8" i="1" s="1"/>
  <c r="K4" i="1"/>
  <c r="L4" i="1" s="1"/>
  <c r="K19" i="1"/>
  <c r="L19" i="1" s="1"/>
  <c r="K11" i="1"/>
  <c r="L11" i="1" s="1"/>
  <c r="K18" i="1"/>
  <c r="L18" i="1" s="1"/>
  <c r="K14" i="1"/>
  <c r="L14" i="1" s="1"/>
  <c r="K23" i="1"/>
  <c r="L23" i="1" s="1"/>
  <c r="K15" i="1"/>
  <c r="L15" i="1" s="1"/>
  <c r="K7" i="1"/>
  <c r="L7" i="1" s="1"/>
  <c r="K22" i="1"/>
  <c r="L22" i="1" s="1"/>
  <c r="K10" i="1"/>
  <c r="L10" i="1" s="1"/>
  <c r="K6" i="1"/>
  <c r="L6" i="1" s="1"/>
  <c r="K21" i="1"/>
  <c r="L21" i="1" s="1"/>
  <c r="K17" i="1"/>
  <c r="L17" i="1" s="1"/>
  <c r="K13" i="1"/>
  <c r="L13" i="1" s="1"/>
  <c r="K9" i="1"/>
  <c r="L9" i="1" s="1"/>
  <c r="K5" i="1"/>
  <c r="L5" i="1" s="1"/>
  <c r="O21" i="1"/>
  <c r="P21" i="1" s="1"/>
  <c r="O17" i="1"/>
  <c r="P17" i="1" s="1"/>
  <c r="O13" i="1"/>
  <c r="P13" i="1" s="1"/>
  <c r="O9" i="1"/>
  <c r="P9" i="1" s="1"/>
  <c r="O5" i="1"/>
  <c r="P5" i="1" s="1"/>
  <c r="P3" i="1"/>
  <c r="O20" i="1"/>
  <c r="P20" i="1" s="1"/>
  <c r="O16" i="1"/>
  <c r="P16" i="1" s="1"/>
  <c r="O12" i="1"/>
  <c r="P12" i="1" s="1"/>
  <c r="O8" i="1"/>
  <c r="P8" i="1" s="1"/>
  <c r="O4" i="1"/>
  <c r="P4" i="1" s="1"/>
  <c r="O23" i="1"/>
  <c r="P23" i="1" s="1"/>
  <c r="O19" i="1"/>
  <c r="P19" i="1" s="1"/>
  <c r="O15" i="1"/>
  <c r="P15" i="1" s="1"/>
  <c r="O11" i="1"/>
  <c r="P11" i="1" s="1"/>
  <c r="O7" i="1"/>
  <c r="P7" i="1" s="1"/>
  <c r="O22" i="1"/>
  <c r="P22" i="1" s="1"/>
  <c r="O18" i="1"/>
  <c r="P18" i="1" s="1"/>
  <c r="O14" i="1"/>
  <c r="P14" i="1" s="1"/>
  <c r="O10" i="1"/>
  <c r="P10" i="1" s="1"/>
  <c r="O6" i="1"/>
  <c r="P6" i="1" s="1"/>
  <c r="N3" i="1"/>
  <c r="M20" i="1"/>
  <c r="N20" i="1" s="1"/>
  <c r="M16" i="1"/>
  <c r="N16" i="1" s="1"/>
  <c r="M12" i="1"/>
  <c r="N12" i="1" s="1"/>
  <c r="M8" i="1"/>
  <c r="N8" i="1" s="1"/>
  <c r="M4" i="1"/>
  <c r="N4" i="1" s="1"/>
  <c r="M23" i="1"/>
  <c r="N23" i="1" s="1"/>
  <c r="M19" i="1"/>
  <c r="N19" i="1" s="1"/>
  <c r="M15" i="1"/>
  <c r="N15" i="1" s="1"/>
  <c r="M11" i="1"/>
  <c r="N11" i="1" s="1"/>
  <c r="M7" i="1"/>
  <c r="N7" i="1" s="1"/>
  <c r="M22" i="1"/>
  <c r="N22" i="1" s="1"/>
  <c r="M18" i="1"/>
  <c r="N18" i="1" s="1"/>
  <c r="M14" i="1"/>
  <c r="N14" i="1" s="1"/>
  <c r="M10" i="1"/>
  <c r="N10" i="1" s="1"/>
  <c r="M6" i="1"/>
  <c r="N6" i="1" s="1"/>
  <c r="M21" i="1"/>
  <c r="N21" i="1" s="1"/>
  <c r="M17" i="1"/>
  <c r="N17" i="1" s="1"/>
  <c r="M13" i="1"/>
  <c r="N13" i="1" s="1"/>
  <c r="M9" i="1"/>
  <c r="N9" i="1" s="1"/>
  <c r="M5" i="1"/>
  <c r="N5" i="1" s="1"/>
  <c r="BM31" i="2"/>
  <c r="BM41" i="2"/>
  <c r="BM52" i="2"/>
  <c r="C21" i="5" l="1"/>
  <c r="C13" i="5"/>
  <c r="C22" i="5"/>
  <c r="C8" i="5"/>
  <c r="C15" i="5"/>
  <c r="C16" i="5"/>
  <c r="C11" i="5"/>
  <c r="C4" i="5"/>
  <c r="C17" i="5"/>
  <c r="C12" i="5"/>
  <c r="N28" i="1"/>
  <c r="P28" i="1"/>
  <c r="L28" i="1"/>
  <c r="K28" i="1" s="1"/>
  <c r="F16" i="4"/>
  <c r="F15" i="4"/>
  <c r="C5" i="4" l="1"/>
  <c r="C3" i="4"/>
  <c r="C13" i="4"/>
  <c r="C14" i="4"/>
  <c r="C4" i="4"/>
  <c r="F10" i="4"/>
  <c r="C11" i="4" s="1"/>
  <c r="C7" i="4"/>
  <c r="F7" i="4"/>
  <c r="F9" i="4"/>
  <c r="C10" i="4" s="1"/>
  <c r="C8" i="4"/>
  <c r="C22" i="4" s="1"/>
  <c r="C23" i="4" l="1"/>
  <c r="F3" i="4"/>
  <c r="F14" i="4"/>
  <c r="F21" i="4" s="1"/>
  <c r="C17" i="4"/>
  <c r="C6" i="4"/>
  <c r="I17" i="1"/>
  <c r="Q17" i="1" s="1"/>
  <c r="F13" i="4"/>
  <c r="C18" i="4"/>
  <c r="F4" i="4"/>
  <c r="F8" i="4"/>
  <c r="C19" i="4"/>
  <c r="C21" i="4"/>
  <c r="C15" i="4"/>
  <c r="C16" i="4" s="1"/>
  <c r="F5" i="4"/>
  <c r="F11" i="4"/>
  <c r="C9" i="4"/>
  <c r="C12" i="4" s="1"/>
  <c r="C24" i="4" l="1"/>
  <c r="R17" i="1"/>
  <c r="BU32" i="2" s="1"/>
  <c r="AA17" i="1"/>
  <c r="F12" i="4"/>
  <c r="I7" i="1"/>
  <c r="Q7" i="1" s="1"/>
  <c r="I5" i="1"/>
  <c r="Q5" i="1" s="1"/>
  <c r="I19" i="1"/>
  <c r="I18" i="1"/>
  <c r="J17" i="1"/>
  <c r="C20" i="4"/>
  <c r="F17" i="4"/>
  <c r="F23" i="4" s="1"/>
  <c r="I14" i="1"/>
  <c r="Q14" i="1" s="1"/>
  <c r="F6" i="4"/>
  <c r="F19" i="4"/>
  <c r="F22" i="4" s="1"/>
  <c r="I26" i="1"/>
  <c r="Q26" i="1" s="1"/>
  <c r="I3" i="1"/>
  <c r="Q3" i="1" s="1"/>
  <c r="F25" i="4"/>
  <c r="F18" i="4"/>
  <c r="F24" i="4" s="1"/>
  <c r="I21" i="1"/>
  <c r="Q21" i="1" s="1"/>
  <c r="BT32" i="2" l="1"/>
  <c r="CW32" i="2"/>
  <c r="R14" i="1"/>
  <c r="BU29" i="2" s="1"/>
  <c r="AA14" i="1"/>
  <c r="R21" i="1"/>
  <c r="BU38" i="2" s="1"/>
  <c r="AA21" i="1"/>
  <c r="R26" i="1"/>
  <c r="Y65" i="5" s="1"/>
  <c r="AA26" i="1"/>
  <c r="I24" i="1"/>
  <c r="Q24" i="1" s="1"/>
  <c r="R5" i="1"/>
  <c r="AA5" i="1"/>
  <c r="R7" i="1"/>
  <c r="AA7" i="1"/>
  <c r="R3" i="1"/>
  <c r="AA3" i="1"/>
  <c r="J19" i="1"/>
  <c r="Q19" i="1"/>
  <c r="F26" i="4"/>
  <c r="J18" i="1"/>
  <c r="Q18" i="1"/>
  <c r="I25" i="1"/>
  <c r="I9" i="1"/>
  <c r="Q9" i="1" s="1"/>
  <c r="F20" i="4"/>
  <c r="J3" i="1"/>
  <c r="I4" i="1"/>
  <c r="I6" i="1"/>
  <c r="J5" i="1"/>
  <c r="J26" i="1"/>
  <c r="I27" i="1"/>
  <c r="J21" i="1"/>
  <c r="I22" i="1"/>
  <c r="I15" i="1"/>
  <c r="Q15" i="1" s="1"/>
  <c r="J14" i="1"/>
  <c r="J7" i="1"/>
  <c r="I8" i="1"/>
  <c r="Y55" i="5" l="1"/>
  <c r="BU19" i="2"/>
  <c r="J65" i="5"/>
  <c r="X65" i="5"/>
  <c r="BT29" i="2"/>
  <c r="CW29" i="2"/>
  <c r="BT38" i="2"/>
  <c r="CW38" i="2"/>
  <c r="Y59" i="5"/>
  <c r="BU12" i="2"/>
  <c r="Y54" i="5"/>
  <c r="BU17" i="2"/>
  <c r="R19" i="1"/>
  <c r="Y52" i="5" s="1"/>
  <c r="AA19" i="1"/>
  <c r="R24" i="1"/>
  <c r="AA24" i="1"/>
  <c r="R9" i="1"/>
  <c r="BU23" i="2" s="1"/>
  <c r="AA9" i="1"/>
  <c r="R18" i="1"/>
  <c r="BU33" i="2" s="1"/>
  <c r="AA18" i="1"/>
  <c r="R15" i="1"/>
  <c r="BU30" i="2" s="1"/>
  <c r="AA15" i="1"/>
  <c r="J24" i="1"/>
  <c r="J27" i="1"/>
  <c r="Q27" i="1"/>
  <c r="J4" i="1"/>
  <c r="Q4" i="1"/>
  <c r="J8" i="1"/>
  <c r="Q8" i="1"/>
  <c r="J25" i="1"/>
  <c r="Q25" i="1"/>
  <c r="J22" i="1"/>
  <c r="Q22" i="1"/>
  <c r="J6" i="1"/>
  <c r="Q6" i="1"/>
  <c r="I13" i="1"/>
  <c r="I12" i="1"/>
  <c r="J9" i="1"/>
  <c r="I11" i="1"/>
  <c r="I10" i="1"/>
  <c r="J15" i="1"/>
  <c r="I20" i="1"/>
  <c r="BT23" i="2" l="1"/>
  <c r="CW23" i="2"/>
  <c r="BU18" i="2"/>
  <c r="CW17" i="2"/>
  <c r="BT17" i="2"/>
  <c r="BT33" i="2"/>
  <c r="CW33" i="2"/>
  <c r="BU34" i="2"/>
  <c r="Y63" i="5"/>
  <c r="BU44" i="2"/>
  <c r="X54" i="5"/>
  <c r="J54" i="5"/>
  <c r="BT30" i="2"/>
  <c r="CW30" i="2"/>
  <c r="X52" i="5"/>
  <c r="J52" i="5"/>
  <c r="X59" i="5"/>
  <c r="J59" i="5"/>
  <c r="BU20" i="2"/>
  <c r="CW19" i="2"/>
  <c r="BT19" i="2"/>
  <c r="X55" i="5"/>
  <c r="J55" i="5"/>
  <c r="BU13" i="2"/>
  <c r="BT12" i="2"/>
  <c r="CW12" i="2"/>
  <c r="E20" i="5"/>
  <c r="I65" i="5"/>
  <c r="R22" i="1"/>
  <c r="BU39" i="2" s="1"/>
  <c r="AA22" i="1"/>
  <c r="R8" i="1"/>
  <c r="AA8" i="1"/>
  <c r="R27" i="1"/>
  <c r="BU51" i="2" s="1"/>
  <c r="AA27" i="1"/>
  <c r="R6" i="1"/>
  <c r="AA6" i="1"/>
  <c r="R25" i="1"/>
  <c r="AA25" i="1"/>
  <c r="R4" i="1"/>
  <c r="AA4" i="1"/>
  <c r="J11" i="1"/>
  <c r="Q11" i="1"/>
  <c r="J20" i="1"/>
  <c r="J23" i="1" s="1"/>
  <c r="I23" i="1" s="1"/>
  <c r="Q23" i="1" s="1"/>
  <c r="Q20" i="1"/>
  <c r="J12" i="1"/>
  <c r="Q12" i="1"/>
  <c r="J10" i="1"/>
  <c r="Q10" i="1"/>
  <c r="J13" i="1"/>
  <c r="Q13" i="1"/>
  <c r="BT13" i="2" l="1"/>
  <c r="CW13" i="2"/>
  <c r="E9" i="5"/>
  <c r="I54" i="5"/>
  <c r="D20" i="5"/>
  <c r="I55" i="5"/>
  <c r="E10" i="5"/>
  <c r="CW18" i="2"/>
  <c r="BT18" i="2"/>
  <c r="BT34" i="2"/>
  <c r="CW34" i="2"/>
  <c r="CW51" i="2"/>
  <c r="BT51" i="2"/>
  <c r="BT39" i="2"/>
  <c r="CW39" i="2"/>
  <c r="CW20" i="2"/>
  <c r="BT20" i="2"/>
  <c r="I52" i="5"/>
  <c r="E7" i="5"/>
  <c r="BU46" i="2"/>
  <c r="BT44" i="2"/>
  <c r="CW44" i="2"/>
  <c r="E14" i="5"/>
  <c r="I59" i="5"/>
  <c r="X63" i="5"/>
  <c r="J63" i="5"/>
  <c r="R23" i="1"/>
  <c r="Y50" i="5" s="1"/>
  <c r="AA23" i="1"/>
  <c r="R13" i="1"/>
  <c r="BU28" i="2" s="1"/>
  <c r="AA13" i="1"/>
  <c r="R12" i="1"/>
  <c r="BU27" i="2" s="1"/>
  <c r="AA12" i="1"/>
  <c r="R11" i="1"/>
  <c r="BU26" i="2" s="1"/>
  <c r="AA11" i="1"/>
  <c r="J16" i="1"/>
  <c r="J28" i="1" s="1"/>
  <c r="I28" i="1" s="1"/>
  <c r="R10" i="1"/>
  <c r="BU24" i="2" s="1"/>
  <c r="AA10" i="1"/>
  <c r="R20" i="1"/>
  <c r="BU36" i="2" s="1"/>
  <c r="AA20" i="1"/>
  <c r="I16" i="1"/>
  <c r="Q16" i="1" s="1"/>
  <c r="BT24" i="2" l="1"/>
  <c r="CW24" i="2"/>
  <c r="BU31" i="2"/>
  <c r="X50" i="5"/>
  <c r="J50" i="5"/>
  <c r="D10" i="5"/>
  <c r="I63" i="5"/>
  <c r="E18" i="5"/>
  <c r="BT46" i="2"/>
  <c r="CW46" i="2"/>
  <c r="BT27" i="2"/>
  <c r="CW27" i="2"/>
  <c r="BU41" i="2"/>
  <c r="BT36" i="2"/>
  <c r="CW36" i="2"/>
  <c r="BT26" i="2"/>
  <c r="CW26" i="2"/>
  <c r="BT28" i="2"/>
  <c r="CW28" i="2"/>
  <c r="D14" i="5"/>
  <c r="D9" i="5"/>
  <c r="D7" i="5"/>
  <c r="R16" i="1"/>
  <c r="AA16" i="1"/>
  <c r="BT41" i="2" l="1"/>
  <c r="CW41" i="2"/>
  <c r="D18" i="5"/>
  <c r="E5" i="5"/>
  <c r="I50" i="5"/>
  <c r="R28" i="1"/>
  <c r="BU52" i="2" s="1"/>
  <c r="Y51" i="5"/>
  <c r="BT31" i="2"/>
  <c r="CW31" i="2"/>
  <c r="D12" i="6"/>
  <c r="D16" i="6" s="1"/>
  <c r="AA28" i="1"/>
  <c r="BT52" i="2" l="1"/>
  <c r="CW52" i="2"/>
  <c r="X51" i="5"/>
  <c r="J51" i="5"/>
  <c r="D5" i="5"/>
  <c r="Q28" i="1"/>
  <c r="I51" i="5" l="1"/>
  <c r="E6" i="5"/>
  <c r="C12" i="6"/>
  <c r="C16" i="6" s="1"/>
  <c r="Y2" i="7"/>
  <c r="Z58" i="5"/>
  <c r="Z62" i="5"/>
  <c r="Z61" i="5"/>
  <c r="X69" i="5"/>
  <c r="Z56" i="5"/>
  <c r="J69" i="5"/>
  <c r="K51" i="5" s="1"/>
  <c r="Z65" i="5"/>
  <c r="Z54" i="5"/>
  <c r="Z55" i="5"/>
  <c r="Z52" i="5"/>
  <c r="Z59" i="5"/>
  <c r="Z63" i="5"/>
  <c r="Z50" i="5"/>
  <c r="X68" i="5"/>
  <c r="J68" i="5"/>
  <c r="Z51" i="5"/>
  <c r="I68" i="5" l="1"/>
  <c r="E23" i="5"/>
  <c r="D23" i="5" s="1"/>
  <c r="I69" i="5"/>
  <c r="K56" i="5"/>
  <c r="K49" i="5"/>
  <c r="K67" i="5"/>
  <c r="E24" i="5"/>
  <c r="K61" i="5"/>
  <c r="K58" i="5"/>
  <c r="K62" i="5"/>
  <c r="K65" i="5"/>
  <c r="K55" i="5"/>
  <c r="K52" i="5"/>
  <c r="K54" i="5"/>
  <c r="K59" i="5"/>
  <c r="K63" i="5"/>
  <c r="K50" i="5"/>
  <c r="D6" i="5"/>
  <c r="F6" i="5"/>
  <c r="Y15" i="7"/>
  <c r="Y11" i="7"/>
  <c r="AC11" i="7" s="1"/>
  <c r="F21" i="5" l="1"/>
  <c r="F13" i="5"/>
  <c r="F16" i="5"/>
  <c r="F17" i="5"/>
  <c r="D24" i="5"/>
  <c r="F12" i="5"/>
  <c r="F15" i="5"/>
  <c r="F22" i="5"/>
  <c r="F4" i="5"/>
  <c r="F8" i="5"/>
  <c r="F11" i="5"/>
  <c r="F20" i="5"/>
  <c r="F7" i="5"/>
  <c r="F9" i="5"/>
  <c r="F10" i="5"/>
  <c r="F14" i="5"/>
  <c r="F18" i="5"/>
  <c r="F5" i="5"/>
</calcChain>
</file>

<file path=xl/sharedStrings.xml><?xml version="1.0" encoding="utf-8"?>
<sst xmlns="http://schemas.openxmlformats.org/spreadsheetml/2006/main" count="1033" uniqueCount="261">
  <si>
    <t>行号</t>
  </si>
  <si>
    <t>存货全名</t>
  </si>
  <si>
    <t>任务数量</t>
  </si>
  <si>
    <t>品控</t>
  </si>
  <si>
    <t>完工数量</t>
  </si>
  <si>
    <t>直接材料</t>
  </si>
  <si>
    <t>单盒成本</t>
  </si>
  <si>
    <t>15元辣子肉丁</t>
  </si>
  <si>
    <t>30素烧三鲜</t>
  </si>
  <si>
    <t>30元干炒牛河</t>
  </si>
  <si>
    <t>45元剁椒鱼</t>
  </si>
  <si>
    <t>45元宫保鸡丁</t>
  </si>
  <si>
    <t>45元梅菜扣肉</t>
  </si>
  <si>
    <t>45元土豆炖牛腩</t>
  </si>
  <si>
    <t>45元草菇蒸滑鸡套餐</t>
  </si>
  <si>
    <t>45元椒香水煮鱼套餐</t>
  </si>
  <si>
    <t>45元香菇卤肉饭套餐</t>
  </si>
  <si>
    <t>川香排骨套餐</t>
  </si>
  <si>
    <t>清蒸鱼套餐</t>
  </si>
  <si>
    <t>65元椒香肥牛套餐</t>
  </si>
  <si>
    <t>65元水晶虾仁</t>
  </si>
  <si>
    <t>65元杏鲍菇炖牛肉</t>
  </si>
  <si>
    <t>动卧晚餐（套）</t>
  </si>
  <si>
    <t>高铁配餐【阿里年会专供】</t>
  </si>
  <si>
    <t>单价</t>
  </si>
  <si>
    <t>包材</t>
  </si>
  <si>
    <t>包材合计</t>
  </si>
  <si>
    <t>调料</t>
  </si>
  <si>
    <t>调料合计</t>
  </si>
  <si>
    <t>调整</t>
  </si>
  <si>
    <t>调整合计</t>
  </si>
  <si>
    <t>农产品进项税额抵扣</t>
  </si>
  <si>
    <t>农产品进项税额抵扣合计</t>
  </si>
  <si>
    <t>原材料合计</t>
    <phoneticPr fontId="0" type="noConversion"/>
  </si>
  <si>
    <t>制造费用</t>
  </si>
  <si>
    <t>水</t>
    <phoneticPr fontId="0" type="noConversion"/>
  </si>
  <si>
    <t>电</t>
    <phoneticPr fontId="0" type="noConversion"/>
  </si>
  <si>
    <t>天然气</t>
    <phoneticPr fontId="0" type="noConversion"/>
  </si>
  <si>
    <t>人工</t>
    <phoneticPr fontId="0" type="noConversion"/>
  </si>
  <si>
    <t>折旧</t>
    <phoneticPr fontId="0" type="noConversion"/>
  </si>
  <si>
    <t>分拨配送</t>
    <phoneticPr fontId="0" type="noConversion"/>
  </si>
  <si>
    <t>管理费用</t>
    <phoneticPr fontId="0" type="noConversion"/>
  </si>
  <si>
    <t>合计</t>
    <phoneticPr fontId="0" type="noConversion"/>
  </si>
  <si>
    <t>冷    链    餐</t>
  </si>
  <si>
    <t>1月</t>
  </si>
  <si>
    <t>2月</t>
  </si>
  <si>
    <t>3月</t>
  </si>
  <si>
    <t>4月</t>
  </si>
  <si>
    <t>5月</t>
  </si>
  <si>
    <t>6月</t>
  </si>
  <si>
    <t>4-6月</t>
  </si>
  <si>
    <t>7月</t>
  </si>
  <si>
    <t>8月</t>
  </si>
  <si>
    <t>9月</t>
  </si>
  <si>
    <t>10月</t>
  </si>
  <si>
    <t>11月</t>
  </si>
  <si>
    <t>12月</t>
  </si>
  <si>
    <t>报废</t>
  </si>
  <si>
    <t>非销售领用</t>
  </si>
  <si>
    <t>原材料合计</t>
  </si>
  <si>
    <t>10豆沙包</t>
  </si>
  <si>
    <t>合     计</t>
  </si>
  <si>
    <t>15素三鲜馅饼</t>
  </si>
  <si>
    <t>15元辣子鸡丁面</t>
  </si>
  <si>
    <t>15元雪菜肉丝面</t>
  </si>
  <si>
    <t>25红烧丸子套餐</t>
  </si>
  <si>
    <t>25鱼香鸡丝套餐</t>
  </si>
  <si>
    <t xml:space="preserve"> </t>
  </si>
  <si>
    <t>三鲜虾仁包子</t>
  </si>
  <si>
    <t>45元红烧肉</t>
  </si>
  <si>
    <t>65元素鲍鱼套餐</t>
  </si>
  <si>
    <t>动卧餐</t>
  </si>
  <si>
    <t>动卧晚餐（应急）</t>
  </si>
  <si>
    <t>常温餐</t>
  </si>
  <si>
    <t>15元肉烧海带保鲜餐</t>
  </si>
  <si>
    <t>餐     食    合     计</t>
  </si>
  <si>
    <t>差额说明：直接原材料成本与科目中所列“餐盒原辅料消耗”差额合计为8970.81元，其中：</t>
  </si>
  <si>
    <t>差额说明：直接原材料成本与科目中所列“餐盒原辅料消耗”差额合计为4138.08元，其中：</t>
  </si>
  <si>
    <t>差额说明：直接原材料成本与科目中所列“餐盒原辅料消耗”差额合计为3049.22元，其中：</t>
  </si>
  <si>
    <t>差额说明：直接原材料成本与科目中所列“餐盒原辅料消耗”差额合计为4609.82元，其中：</t>
  </si>
  <si>
    <t>差额说明：直接原材料成本与科目中所列“餐盒原辅料消耗”差额合计为4373.05元，其中：</t>
  </si>
  <si>
    <t>差额说明：直接原材料成本与科目中所列“餐盒原辅料消耗”差额合计为19491.98元，其中：</t>
  </si>
  <si>
    <t>差额说明：直接原材料成本与科目中所列“餐盒原辅料消耗”差额合计为8815.13元，其中：</t>
  </si>
  <si>
    <t xml:space="preserve">  1.报废包材类376.98元；报废调料类72.01元，合计449.02元；</t>
  </si>
  <si>
    <t xml:space="preserve">  1.报废包材类60.58元，合计60.58元；</t>
  </si>
  <si>
    <t xml:space="preserve">  1.报废包材类54.67元，报废桃酥饼干635.16元，合计689.83元；</t>
  </si>
  <si>
    <t xml:space="preserve">  1.报废包材类198.58元；</t>
  </si>
  <si>
    <t xml:space="preserve">  1.报废包材类122.878元；</t>
  </si>
  <si>
    <t xml:space="preserve">  1.报废包材类196.64元,调料类72.92元，米面类224.13元，报废合计493.69元；</t>
  </si>
  <si>
    <t xml:space="preserve">  1.报废原材料1145.64元（其中包材类233.25元,肉类912.39元）；半成品12187.28元（其中肉类7294.12元，熟制类4893.16元）。报废合计13332.92元；</t>
  </si>
  <si>
    <t xml:space="preserve">  1.报废原材料245.75元（均为包材类）；半成品683.9元（均为净海鲜菇）。报废合计929.65元；</t>
  </si>
  <si>
    <t xml:space="preserve">  2.蔬菜前处理领用真空包装袋200型号，286.12元；</t>
  </si>
  <si>
    <t xml:space="preserve">  2.蔬菜前处理领用真空包装袋200型号，365.58元；</t>
  </si>
  <si>
    <t xml:space="preserve">  2.蔬菜前处理领用真空包装袋200型号，239.74元；</t>
  </si>
  <si>
    <t xml:space="preserve">  2.蔬菜前处理领用真空包装袋200型号，247.02元；</t>
  </si>
  <si>
    <t xml:space="preserve">  2.蔬菜前处理领用真空包装袋200型号，487.61元；</t>
  </si>
  <si>
    <t xml:space="preserve">  2.蔬菜前处理领用真空包装袋200型号，755.34元；</t>
  </si>
  <si>
    <t xml:space="preserve">  2.蔬菜前处理领用真空包装袋200型号，596.60元；</t>
  </si>
  <si>
    <t xml:space="preserve">  2.蔬菜前处理领用真空包装袋200型号，675.19元；</t>
  </si>
  <si>
    <t xml:space="preserve">  3.广丰苑食堂领用领用五花肉末，4125.47元；领用精葱，348.14元，合计4473.61元；</t>
  </si>
  <si>
    <t xml:space="preserve">  3.广丰苑食堂领用领用五花肉末，1986.32元；食堂领用雪花粉137.45元，领用鸡蛋96元，领用豆腐干113.15元；领用合计2332.92元；</t>
  </si>
  <si>
    <t xml:space="preserve">  3.广丰苑食堂领用领用炸后五花肉末，3208.51元；</t>
  </si>
  <si>
    <t xml:space="preserve">  3.广丰苑食堂领用领用精葱1453.47元，领用大米312.65，广丰苑食堂领用合计1766.12元；基地食堂领用芥蓝837.5元；领用合计2603.62元；</t>
  </si>
  <si>
    <t xml:space="preserve">  3.广丰苑食堂领用领用精葱1554.41元，领用炸后五花肉末1335.35元，广丰苑食堂领用合计2889.76元；基地食堂领用虾仁1109.58元；领用合计3999.34元；</t>
  </si>
  <si>
    <t xml:space="preserve">  3.广丰苑食堂领用领用精葱3114.61元；</t>
  </si>
  <si>
    <t xml:space="preserve">  3.广丰苑食堂领用领用精葱5330.2元，米饭232.26，合计5562.46元；</t>
  </si>
  <si>
    <t xml:space="preserve">  3.广丰苑食堂领用领用精葱6762.8元，米饭296.61元（机器卡锅造成），合计7059.41元；</t>
  </si>
  <si>
    <t xml:space="preserve">  4.展示餐用米饭9.41元。</t>
  </si>
  <si>
    <t xml:space="preserve">  4.食堂领用领用沙河粉150.88元（减产原因造成）；</t>
  </si>
  <si>
    <t>“5001-3-4-1盒餐原辅料消耗”科目除直接原材料外，本月列账金额还有12月份暂估税金差额转列84.72元；基地成品库领用材料1293.1元；苏州和好制版费3879.31元；收问题餐盒款-1.05元；合计5256.08元。</t>
  </si>
  <si>
    <t>“5001-3-4-1盒餐原辅料消耗”科目除直接原材料外，本月列账金额还有1月份暂估税金差额转列-0.17元。</t>
  </si>
  <si>
    <t>“5001-3-4-1盒餐原辅料消耗”科目除直接原材料外，本月列账金额还有2月份暂估税金差额转列0.02元；苏州和好制版费1508.62元；收问题餐盒赔偿款10.82元。</t>
  </si>
  <si>
    <t>“5001-3-4-1盒餐原辅料消耗”科目除直接原材料外，本月列账金额还有3月份暂估税金差额转列-0.07元。</t>
  </si>
  <si>
    <t>“5001-3-4-1盒餐原辅料消耗”科目除直接原材料外，本月列账金额还有3月份暂估税金发票税款差额5137.07元，4月份暂估税金差额转列-394.24元，收问题餐盒款-2.10元，合计4740.73元。</t>
  </si>
  <si>
    <t>“5001-3-4-1盒餐原辅料消耗”科目除直接原材料外，本月列账金额还有5月份暂估税金差额转列-0.06元，收问题餐盒款-23.77元，合计-23.83元。</t>
  </si>
  <si>
    <t>“5001-3-4-1盒餐原辅料消耗”科目除直接原材料外，本月列账金额还有6月份暂估税金差额转列-1191.09元，汽车队领用小垃圾袋33.1元，收供货商调价差额166950.83元，合计165727.78元。</t>
  </si>
  <si>
    <t>“5001-3-4-1盒餐原辅料消耗”科目除直接原材料外，本月列账金额还有7月份暂估税金差额结转205.68元，收供货商税金补偿款-5137.07元，收问题餐盒赔偿款-9.52元，合计-4940.91元。</t>
  </si>
  <si>
    <t>2019年9月包材明细表</t>
  </si>
  <si>
    <t>品种</t>
  </si>
  <si>
    <t>用材</t>
  </si>
  <si>
    <t xml:space="preserve">45元冷链包材（饭菜一体） </t>
  </si>
  <si>
    <t>餐盒</t>
  </si>
  <si>
    <t>15元辣子肉丁冷链包材</t>
  </si>
  <si>
    <t>菜肴盒</t>
  </si>
  <si>
    <t>膜</t>
  </si>
  <si>
    <t>菜肴膜</t>
  </si>
  <si>
    <t>五合一餐具</t>
  </si>
  <si>
    <t>合计</t>
  </si>
  <si>
    <t xml:space="preserve">65元冷链包材（一菜一饭） </t>
  </si>
  <si>
    <t xml:space="preserve">45、65元椒香系列（一菜一饭） </t>
  </si>
  <si>
    <t>餐盒</t>
    <phoneticPr fontId="0" type="noConversion"/>
  </si>
  <si>
    <t>米饭盒</t>
  </si>
  <si>
    <t>米饭膜</t>
  </si>
  <si>
    <t>动卧晚餐</t>
  </si>
  <si>
    <t>商务套餐包材</t>
  </si>
  <si>
    <t>九佳兴湿巾</t>
  </si>
  <si>
    <t>99元餐盒</t>
  </si>
  <si>
    <t>动卧封口签</t>
  </si>
  <si>
    <t xml:space="preserve">30元冷链包材（饭菜一体） </t>
  </si>
  <si>
    <t>高铁轻食纸盒</t>
  </si>
  <si>
    <t>30元干炒牛河包材</t>
  </si>
  <si>
    <t>餐膜</t>
  </si>
  <si>
    <t>阿里</t>
  </si>
  <si>
    <t>D-711内托</t>
  </si>
  <si>
    <t>高铁轻食纸箱</t>
  </si>
  <si>
    <t>品名</t>
    <phoneticPr fontId="0" type="noConversion"/>
  </si>
  <si>
    <t>1-12月</t>
  </si>
  <si>
    <t>1-3月</t>
    <phoneticPr fontId="0" type="noConversion"/>
  </si>
  <si>
    <t>1月</t>
    <phoneticPr fontId="0" type="noConversion"/>
  </si>
  <si>
    <t>2月</t>
    <phoneticPr fontId="0" type="noConversion"/>
  </si>
  <si>
    <t>3月</t>
    <phoneticPr fontId="0" type="noConversion"/>
  </si>
  <si>
    <t>份数</t>
    <phoneticPr fontId="0" type="noConversion"/>
  </si>
  <si>
    <t>份数占比</t>
    <phoneticPr fontId="0" type="noConversion"/>
  </si>
  <si>
    <t>单价</t>
    <phoneticPr fontId="0" type="noConversion"/>
  </si>
  <si>
    <t>金额</t>
    <phoneticPr fontId="0" type="noConversion"/>
  </si>
  <si>
    <t>金额占比</t>
    <phoneticPr fontId="0" type="noConversion"/>
  </si>
  <si>
    <t>99元冷</t>
  </si>
  <si>
    <t>65冷</t>
    <phoneticPr fontId="0" type="noConversion"/>
  </si>
  <si>
    <t>45冷</t>
    <phoneticPr fontId="0" type="noConversion"/>
  </si>
  <si>
    <t>商务赠送套餐</t>
  </si>
  <si>
    <t>45保鲜</t>
    <phoneticPr fontId="0" type="noConversion"/>
  </si>
  <si>
    <t>30冷</t>
    <phoneticPr fontId="0" type="noConversion"/>
  </si>
  <si>
    <t>三鲜包子套餐</t>
  </si>
  <si>
    <t>25元冷</t>
  </si>
  <si>
    <t>15元面点</t>
  </si>
  <si>
    <t>15冷</t>
    <phoneticPr fontId="0" type="noConversion"/>
  </si>
  <si>
    <t>15保鲜</t>
    <phoneticPr fontId="0" type="noConversion"/>
  </si>
  <si>
    <t>15面条</t>
    <phoneticPr fontId="0" type="noConversion"/>
  </si>
  <si>
    <t>10元面点</t>
  </si>
  <si>
    <t>动卧晚餐</t>
    <phoneticPr fontId="0" type="noConversion"/>
  </si>
  <si>
    <t>特供小菜（任务餐）</t>
  </si>
  <si>
    <t>其中：报废餐</t>
    <phoneticPr fontId="0" type="noConversion"/>
  </si>
  <si>
    <t xml:space="preserve">             非销售领用</t>
  </si>
  <si>
    <t>合计（不含报废餐）</t>
    <phoneticPr fontId="0" type="noConversion"/>
  </si>
  <si>
    <t>合计（含报废餐）</t>
  </si>
  <si>
    <t>4-6月</t>
    <phoneticPr fontId="0" type="noConversion"/>
  </si>
  <si>
    <t>4月</t>
    <phoneticPr fontId="0" type="noConversion"/>
  </si>
  <si>
    <t>合计（含报废餐）</t>
    <phoneticPr fontId="0" type="noConversion"/>
  </si>
  <si>
    <t>7-9月</t>
    <phoneticPr fontId="0" type="noConversion"/>
  </si>
  <si>
    <t>7月</t>
    <phoneticPr fontId="0" type="noConversion"/>
  </si>
  <si>
    <t>10-12月</t>
    <phoneticPr fontId="0" type="noConversion"/>
  </si>
  <si>
    <t>2019年1-9月生产餐食种类汇总表</t>
  </si>
  <si>
    <t>2019年</t>
  </si>
  <si>
    <t>产量</t>
  </si>
  <si>
    <t>原材料成本</t>
  </si>
  <si>
    <t>进项税抵扣</t>
  </si>
  <si>
    <t>人工</t>
  </si>
  <si>
    <t>折旧</t>
  </si>
  <si>
    <t>合计（不含原材料）</t>
  </si>
  <si>
    <t>工资</t>
  </si>
  <si>
    <t>工资附加</t>
  </si>
  <si>
    <t>其他人工</t>
  </si>
  <si>
    <t>劳务费</t>
  </si>
  <si>
    <t>人工合计</t>
  </si>
  <si>
    <t>5001结转</t>
  </si>
  <si>
    <t>水</t>
    <phoneticPr fontId="0" type="noConversion"/>
  </si>
  <si>
    <t>电</t>
    <phoneticPr fontId="0" type="noConversion"/>
  </si>
  <si>
    <t>天然气</t>
    <phoneticPr fontId="0" type="noConversion"/>
  </si>
  <si>
    <t>折旧</t>
    <phoneticPr fontId="0" type="noConversion"/>
  </si>
  <si>
    <t>管理费用</t>
    <phoneticPr fontId="0" type="noConversion"/>
  </si>
  <si>
    <t>月份</t>
    <phoneticPr fontId="0" type="noConversion"/>
  </si>
  <si>
    <t>菜品单价</t>
    <phoneticPr fontId="0" type="noConversion"/>
  </si>
  <si>
    <t>水</t>
    <phoneticPr fontId="0" type="noConversion"/>
  </si>
  <si>
    <t>管理费用</t>
    <phoneticPr fontId="0" type="noConversion"/>
  </si>
  <si>
    <t>合计</t>
    <phoneticPr fontId="0" type="noConversion"/>
  </si>
  <si>
    <t>产量</t>
    <phoneticPr fontId="0" type="noConversion"/>
  </si>
  <si>
    <t>餐食产量单价对比表</t>
    <phoneticPr fontId="0" type="noConversion"/>
  </si>
  <si>
    <t>2018年</t>
  </si>
  <si>
    <t>增减</t>
    <phoneticPr fontId="0" type="noConversion"/>
  </si>
  <si>
    <t>单价增加</t>
    <phoneticPr fontId="0" type="noConversion"/>
  </si>
  <si>
    <t>价差*1月量
增支金额</t>
  </si>
  <si>
    <t>数量差</t>
    <phoneticPr fontId="0" type="noConversion"/>
  </si>
  <si>
    <t>量差*1月单价</t>
  </si>
  <si>
    <t>份数增减</t>
    <phoneticPr fontId="0" type="noConversion"/>
  </si>
  <si>
    <t>单价增减</t>
    <phoneticPr fontId="0" type="noConversion"/>
  </si>
  <si>
    <t>量差</t>
    <phoneticPr fontId="0" type="noConversion"/>
  </si>
  <si>
    <t>价差*2月量
增支金额</t>
  </si>
  <si>
    <t>量差*2月单价</t>
  </si>
  <si>
    <t>1-2月</t>
  </si>
  <si>
    <t>价差*3月量
增支金额</t>
  </si>
  <si>
    <t>量差*3月单价</t>
  </si>
  <si>
    <t>1-3月</t>
  </si>
  <si>
    <t>价差*4月量
增支金额</t>
  </si>
  <si>
    <t>量差*4月单价</t>
  </si>
  <si>
    <t>1-4月</t>
  </si>
  <si>
    <t>价差*5月量
增支金额</t>
  </si>
  <si>
    <t>量差*5月单价</t>
  </si>
  <si>
    <t>1-5月</t>
  </si>
  <si>
    <t>65冷</t>
  </si>
  <si>
    <t>45冷</t>
  </si>
  <si>
    <t>45保鲜</t>
  </si>
  <si>
    <t>30冷</t>
  </si>
  <si>
    <t>15冷</t>
  </si>
  <si>
    <t>15保鲜</t>
  </si>
  <si>
    <t>15面条</t>
  </si>
  <si>
    <t>其中：报废餐</t>
  </si>
  <si>
    <t>合计（不含报废餐）</t>
  </si>
  <si>
    <t>价差*6月量
增支金额</t>
  </si>
  <si>
    <t>量差*6月单价</t>
  </si>
  <si>
    <t>1-6月</t>
  </si>
  <si>
    <t>价差*7月量
增支金额</t>
  </si>
  <si>
    <t>量差*7月单价</t>
  </si>
  <si>
    <t>1-7月</t>
  </si>
  <si>
    <t>1-8月</t>
  </si>
  <si>
    <t>1-9月</t>
  </si>
  <si>
    <t>1-9月合计</t>
  </si>
  <si>
    <t xml:space="preserve">  2.蔬菜前处理领用真空包装袋200型号，543.41元；</t>
  </si>
  <si>
    <t xml:space="preserve">  3.广丰苑食堂领用领用精葱2233.00元，炸后五花肉末5975.62元，合计8208.62元；</t>
  </si>
  <si>
    <t xml:space="preserve">  1.报废原材料197.03元（均为包材类）；</t>
  </si>
  <si>
    <t>“5001-3-4-1盒餐原辅料消耗”科目除直接原材料外，本月列账金额还有8月份暂估税金差额结转68.72元，收供货商税金补偿款-36504.83元，合计-36436.11元。</t>
  </si>
  <si>
    <t>9月完工产品成本汇总表</t>
  </si>
  <si>
    <t>合         计</t>
  </si>
  <si>
    <t>餐     食      合     计</t>
  </si>
  <si>
    <t>2019年1-9月餐品成本明细汇总表</t>
  </si>
  <si>
    <t>完工数量合计</t>
  </si>
  <si>
    <t>10香菇素包</t>
  </si>
  <si>
    <t>10芽菜酱肉包</t>
  </si>
  <si>
    <t>45全素餐黑椒牛排套餐</t>
  </si>
  <si>
    <t>45全素餐茄汁鱼排套餐</t>
  </si>
  <si>
    <t>2019年1-9月餐品产量明细汇总表</t>
  </si>
  <si>
    <t>2019年1-9月其他成本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</si>
</sst>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 "/>
    <numFmt numFmtId="177" formatCode="0_);[Red]\(0\)"/>
    <numFmt numFmtId="178" formatCode="m&quot;月&quot;"/>
    <numFmt numFmtId="179" formatCode="0.00_);[Red]\(0.00\)"/>
    <numFmt numFmtId="180" formatCode="#,##0.00_ ;\-#,##0.00\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indexed="8"/>
      <name val="宋体"/>
      <family val="2"/>
      <scheme val="minor"/>
    </font>
    <font>
      <b/>
      <sz val="16"/>
      <color indexed="8"/>
      <name val="宋体"/>
      <family val="2"/>
      <scheme val="minor"/>
    </font>
    <font>
      <b/>
      <sz val="11"/>
      <color indexed="8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indexed="8"/>
      <name val="宋体"/>
      <family val="2"/>
      <scheme val="minor"/>
    </font>
    <font>
      <sz val="10"/>
      <color indexed="8"/>
      <name val="宋体"/>
      <charset val="134"/>
    </font>
    <font>
      <b/>
      <sz val="14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8"/>
      <name val="宋体"/>
      <family val="2"/>
      <scheme val="minor"/>
    </font>
    <font>
      <sz val="10"/>
      <name val="宋体"/>
      <family val="2"/>
      <scheme val="minor"/>
    </font>
    <font>
      <sz val="9"/>
      <name val="宋体"/>
      <family val="2"/>
      <scheme val="minor"/>
    </font>
    <font>
      <b/>
      <sz val="10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8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53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4" fontId="0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4" fontId="5" fillId="0" borderId="1" xfId="0" applyNumberFormat="1" applyFont="1" applyBorder="1"/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0" fontId="2" fillId="0" borderId="15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4" xfId="0" applyFont="1" applyBorder="1"/>
    <xf numFmtId="0" fontId="0" fillId="3" borderId="15" xfId="0" applyFont="1" applyFill="1" applyBorder="1"/>
    <xf numFmtId="0" fontId="0" fillId="3" borderId="1" xfId="0" applyFont="1" applyFill="1" applyBorder="1"/>
    <xf numFmtId="4" fontId="0" fillId="0" borderId="14" xfId="0" applyNumberFormat="1" applyFont="1" applyBorder="1"/>
    <xf numFmtId="0" fontId="0" fillId="3" borderId="18" xfId="0" applyFont="1" applyFill="1" applyBorder="1"/>
    <xf numFmtId="0" fontId="0" fillId="3" borderId="19" xfId="0" applyFont="1" applyFill="1" applyBorder="1"/>
    <xf numFmtId="4" fontId="0" fillId="0" borderId="2" xfId="0" applyNumberFormat="1" applyFont="1" applyBorder="1"/>
    <xf numFmtId="0" fontId="0" fillId="0" borderId="18" xfId="0" applyNumberFormat="1" applyFont="1" applyBorder="1"/>
    <xf numFmtId="0" fontId="0" fillId="0" borderId="1" xfId="0" applyNumberFormat="1" applyFont="1" applyBorder="1"/>
    <xf numFmtId="0" fontId="0" fillId="0" borderId="19" xfId="0" applyNumberFormat="1" applyFont="1" applyBorder="1"/>
    <xf numFmtId="4" fontId="0" fillId="0" borderId="19" xfId="0" applyNumberFormat="1" applyFont="1" applyBorder="1"/>
    <xf numFmtId="4" fontId="0" fillId="0" borderId="20" xfId="0" applyNumberFormat="1" applyFont="1" applyBorder="1"/>
    <xf numFmtId="1" fontId="0" fillId="0" borderId="15" xfId="0" applyNumberFormat="1" applyFont="1" applyBorder="1"/>
    <xf numFmtId="1" fontId="0" fillId="0" borderId="1" xfId="0" applyNumberFormat="1" applyFont="1" applyBorder="1"/>
    <xf numFmtId="1" fontId="0" fillId="0" borderId="8" xfId="0" applyNumberFormat="1" applyFont="1" applyBorder="1"/>
    <xf numFmtId="1" fontId="0" fillId="0" borderId="6" xfId="0" applyNumberFormat="1" applyFont="1" applyBorder="1"/>
    <xf numFmtId="0" fontId="0" fillId="0" borderId="6" xfId="0" applyNumberFormat="1" applyFont="1" applyBorder="1"/>
    <xf numFmtId="4" fontId="0" fillId="0" borderId="6" xfId="0" applyNumberFormat="1" applyFont="1" applyBorder="1"/>
    <xf numFmtId="4" fontId="0" fillId="0" borderId="7" xfId="0" applyNumberFormat="1" applyFont="1" applyBorder="1"/>
    <xf numFmtId="1" fontId="0" fillId="0" borderId="18" xfId="0" applyNumberFormat="1" applyFont="1" applyBorder="1"/>
    <xf numFmtId="1" fontId="0" fillId="3" borderId="18" xfId="0" applyNumberFormat="1" applyFont="1" applyFill="1" applyBorder="1"/>
    <xf numFmtId="1" fontId="0" fillId="3" borderId="1" xfId="0" applyNumberFormat="1" applyFont="1" applyFill="1" applyBorder="1"/>
    <xf numFmtId="1" fontId="0" fillId="3" borderId="20" xfId="0" applyNumberFormat="1" applyFont="1" applyFill="1" applyBorder="1"/>
    <xf numFmtId="0" fontId="4" fillId="3" borderId="15" xfId="0" applyFont="1" applyFill="1" applyBorder="1"/>
    <xf numFmtId="0" fontId="4" fillId="3" borderId="1" xfId="0" applyFont="1" applyFill="1" applyBorder="1"/>
    <xf numFmtId="4" fontId="7" fillId="0" borderId="1" xfId="0" applyNumberFormat="1" applyFont="1" applyBorder="1"/>
    <xf numFmtId="4" fontId="7" fillId="0" borderId="14" xfId="0" applyNumberFormat="1" applyFont="1" applyBorder="1"/>
    <xf numFmtId="0" fontId="7" fillId="3" borderId="18" xfId="0" applyFont="1" applyFill="1" applyBorder="1"/>
    <xf numFmtId="0" fontId="7" fillId="3" borderId="1" xfId="0" applyFont="1" applyFill="1" applyBorder="1"/>
    <xf numFmtId="0" fontId="7" fillId="3" borderId="20" xfId="0" applyFont="1" applyFill="1" applyBorder="1"/>
    <xf numFmtId="0" fontId="7" fillId="3" borderId="19" xfId="0" applyFont="1" applyFill="1" applyBorder="1"/>
    <xf numFmtId="0" fontId="7" fillId="3" borderId="15" xfId="0" applyFont="1" applyFill="1" applyBorder="1"/>
    <xf numFmtId="4" fontId="7" fillId="0" borderId="2" xfId="0" applyNumberFormat="1" applyFont="1" applyBorder="1"/>
    <xf numFmtId="0" fontId="7" fillId="0" borderId="18" xfId="0" applyNumberFormat="1" applyFont="1" applyBorder="1"/>
    <xf numFmtId="0" fontId="7" fillId="0" borderId="1" xfId="0" applyNumberFormat="1" applyFont="1" applyBorder="1"/>
    <xf numFmtId="0" fontId="7" fillId="0" borderId="19" xfId="0" applyNumberFormat="1" applyFont="1" applyBorder="1"/>
    <xf numFmtId="4" fontId="7" fillId="0" borderId="19" xfId="0" applyNumberFormat="1" applyFont="1" applyBorder="1"/>
    <xf numFmtId="4" fontId="7" fillId="0" borderId="20" xfId="0" applyNumberFormat="1" applyFont="1" applyBorder="1"/>
    <xf numFmtId="1" fontId="7" fillId="0" borderId="15" xfId="0" applyNumberFormat="1" applyFont="1" applyBorder="1"/>
    <xf numFmtId="1" fontId="7" fillId="0" borderId="1" xfId="0" applyNumberFormat="1" applyFont="1" applyBorder="1"/>
    <xf numFmtId="1" fontId="7" fillId="0" borderId="18" xfId="0" applyNumberFormat="1" applyFont="1" applyBorder="1"/>
    <xf numFmtId="1" fontId="7" fillId="3" borderId="15" xfId="0" applyNumberFormat="1" applyFont="1" applyFill="1" applyBorder="1"/>
    <xf numFmtId="0" fontId="7" fillId="3" borderId="1" xfId="0" applyNumberFormat="1" applyFont="1" applyFill="1" applyBorder="1"/>
    <xf numFmtId="0" fontId="7" fillId="0" borderId="0" xfId="0" applyFont="1"/>
    <xf numFmtId="0" fontId="0" fillId="3" borderId="20" xfId="0" applyFont="1" applyFill="1" applyBorder="1"/>
    <xf numFmtId="0" fontId="0" fillId="3" borderId="15" xfId="0" applyNumberFormat="1" applyFont="1" applyFill="1" applyBorder="1"/>
    <xf numFmtId="0" fontId="0" fillId="3" borderId="1" xfId="0" applyNumberFormat="1" applyFont="1" applyFill="1" applyBorder="1"/>
    <xf numFmtId="0" fontId="0" fillId="0" borderId="15" xfId="0" applyNumberFormat="1" applyFont="1" applyBorder="1"/>
    <xf numFmtId="0" fontId="7" fillId="0" borderId="15" xfId="0" applyNumberFormat="1" applyFont="1" applyBorder="1"/>
    <xf numFmtId="0" fontId="7" fillId="3" borderId="15" xfId="0" applyNumberFormat="1" applyFont="1" applyFill="1" applyBorder="1"/>
    <xf numFmtId="1" fontId="0" fillId="3" borderId="15" xfId="0" applyNumberFormat="1" applyFont="1" applyFill="1" applyBorder="1"/>
    <xf numFmtId="0" fontId="7" fillId="3" borderId="2" xfId="0" applyFont="1" applyFill="1" applyBorder="1"/>
    <xf numFmtId="1" fontId="7" fillId="3" borderId="1" xfId="0" applyNumberFormat="1" applyFont="1" applyFill="1" applyBorder="1"/>
    <xf numFmtId="0" fontId="0" fillId="3" borderId="14" xfId="0" applyFont="1" applyFill="1" applyBorder="1"/>
    <xf numFmtId="4" fontId="0" fillId="3" borderId="1" xfId="0" applyNumberFormat="1" applyFont="1" applyFill="1" applyBorder="1"/>
    <xf numFmtId="4" fontId="0" fillId="3" borderId="14" xfId="0" applyNumberFormat="1" applyFont="1" applyFill="1" applyBorder="1"/>
    <xf numFmtId="4" fontId="0" fillId="3" borderId="2" xfId="0" applyNumberFormat="1" applyFont="1" applyFill="1" applyBorder="1"/>
    <xf numFmtId="0" fontId="0" fillId="3" borderId="19" xfId="0" applyNumberFormat="1" applyFont="1" applyFill="1" applyBorder="1"/>
    <xf numFmtId="4" fontId="0" fillId="3" borderId="19" xfId="0" applyNumberFormat="1" applyFont="1" applyFill="1" applyBorder="1"/>
    <xf numFmtId="4" fontId="0" fillId="3" borderId="20" xfId="0" applyNumberFormat="1" applyFont="1" applyFill="1" applyBorder="1"/>
    <xf numFmtId="0" fontId="0" fillId="3" borderId="0" xfId="0" applyFont="1" applyFill="1"/>
    <xf numFmtId="4" fontId="7" fillId="3" borderId="1" xfId="0" applyNumberFormat="1" applyFont="1" applyFill="1" applyBorder="1"/>
    <xf numFmtId="4" fontId="7" fillId="3" borderId="14" xfId="0" applyNumberFormat="1" applyFont="1" applyFill="1" applyBorder="1"/>
    <xf numFmtId="0" fontId="7" fillId="3" borderId="19" xfId="0" applyNumberFormat="1" applyFont="1" applyFill="1" applyBorder="1"/>
    <xf numFmtId="4" fontId="7" fillId="3" borderId="19" xfId="0" applyNumberFormat="1" applyFont="1" applyFill="1" applyBorder="1"/>
    <xf numFmtId="4" fontId="7" fillId="3" borderId="20" xfId="0" applyNumberFormat="1" applyFont="1" applyFill="1" applyBorder="1"/>
    <xf numFmtId="4" fontId="7" fillId="3" borderId="2" xfId="0" applyNumberFormat="1" applyFont="1" applyFill="1" applyBorder="1"/>
    <xf numFmtId="1" fontId="7" fillId="3" borderId="18" xfId="0" applyNumberFormat="1" applyFont="1" applyFill="1" applyBorder="1"/>
    <xf numFmtId="0" fontId="7" fillId="3" borderId="0" xfId="0" applyFont="1" applyFill="1"/>
    <xf numFmtId="0" fontId="0" fillId="3" borderId="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left"/>
    </xf>
    <xf numFmtId="0" fontId="8" fillId="3" borderId="1" xfId="0" applyFont="1" applyFill="1" applyBorder="1"/>
    <xf numFmtId="4" fontId="4" fillId="3" borderId="1" xfId="0" applyNumberFormat="1" applyFont="1" applyFill="1" applyBorder="1"/>
    <xf numFmtId="1" fontId="0" fillId="3" borderId="0" xfId="0" applyNumberFormat="1" applyFont="1" applyFill="1"/>
    <xf numFmtId="4" fontId="0" fillId="3" borderId="0" xfId="0" applyNumberFormat="1" applyFont="1" applyFill="1"/>
    <xf numFmtId="0" fontId="0" fillId="0" borderId="1" xfId="0" applyFont="1" applyBorder="1" applyAlignment="1">
      <alignment horizontal="right"/>
    </xf>
    <xf numFmtId="0" fontId="0" fillId="0" borderId="14" xfId="0" applyFont="1" applyBorder="1" applyAlignment="1">
      <alignment horizontal="left"/>
    </xf>
    <xf numFmtId="0" fontId="7" fillId="0" borderId="27" xfId="0" applyFont="1" applyBorder="1"/>
    <xf numFmtId="4" fontId="7" fillId="0" borderId="28" xfId="0" applyNumberFormat="1" applyFont="1" applyBorder="1"/>
    <xf numFmtId="43" fontId="7" fillId="0" borderId="25" xfId="1" applyFont="1" applyBorder="1"/>
    <xf numFmtId="0" fontId="7" fillId="3" borderId="26" xfId="0" applyFont="1" applyFill="1" applyBorder="1"/>
    <xf numFmtId="0" fontId="7" fillId="0" borderId="28" xfId="0" applyFont="1" applyBorder="1"/>
    <xf numFmtId="4" fontId="7" fillId="0" borderId="29" xfId="0" applyNumberFormat="1" applyFont="1" applyBorder="1"/>
    <xf numFmtId="0" fontId="7" fillId="0" borderId="26" xfId="0" applyNumberFormat="1" applyFont="1" applyBorder="1"/>
    <xf numFmtId="4" fontId="7" fillId="0" borderId="27" xfId="0" applyNumberFormat="1" applyFont="1" applyBorder="1"/>
    <xf numFmtId="4" fontId="7" fillId="0" borderId="24" xfId="0" applyNumberFormat="1" applyFont="1" applyBorder="1"/>
    <xf numFmtId="0" fontId="7" fillId="0" borderId="27" xfId="0" applyNumberFormat="1" applyFont="1" applyBorder="1"/>
    <xf numFmtId="1" fontId="7" fillId="0" borderId="26" xfId="0" applyNumberFormat="1" applyFont="1" applyBorder="1"/>
    <xf numFmtId="1" fontId="7" fillId="0" borderId="28" xfId="0" applyNumberFormat="1" applyFont="1" applyBorder="1"/>
    <xf numFmtId="0" fontId="7" fillId="0" borderId="28" xfId="0" applyNumberFormat="1" applyFont="1" applyBorder="1"/>
    <xf numFmtId="4" fontId="7" fillId="0" borderId="30" xfId="0" applyNumberFormat="1" applyFont="1" applyBorder="1"/>
    <xf numFmtId="1" fontId="7" fillId="3" borderId="26" xfId="0" applyNumberFormat="1" applyFont="1" applyFill="1" applyBorder="1"/>
    <xf numFmtId="1" fontId="7" fillId="3" borderId="28" xfId="0" applyNumberFormat="1" applyFont="1" applyFill="1" applyBorder="1"/>
    <xf numFmtId="1" fontId="0" fillId="0" borderId="0" xfId="0" applyNumberFormat="1" applyFont="1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8" fillId="0" borderId="0" xfId="3" applyFont="1"/>
    <xf numFmtId="0" fontId="8" fillId="0" borderId="0" xfId="0" applyFont="1"/>
    <xf numFmtId="0" fontId="11" fillId="0" borderId="0" xfId="3" applyFont="1"/>
    <xf numFmtId="176" fontId="1" fillId="3" borderId="1" xfId="3" applyNumberFormat="1" applyFont="1" applyFill="1" applyBorder="1"/>
    <xf numFmtId="0" fontId="0" fillId="0" borderId="1" xfId="0" applyBorder="1"/>
    <xf numFmtId="176" fontId="8" fillId="0" borderId="0" xfId="3" applyNumberFormat="1" applyFont="1"/>
    <xf numFmtId="176" fontId="1" fillId="3" borderId="1" xfId="0" applyNumberFormat="1" applyFont="1" applyFill="1" applyBorder="1"/>
    <xf numFmtId="0" fontId="1" fillId="3" borderId="1" xfId="3" applyFont="1" applyFill="1" applyBorder="1" applyAlignment="1">
      <alignment horizontal="center"/>
    </xf>
    <xf numFmtId="176" fontId="1" fillId="3" borderId="1" xfId="3" applyNumberFormat="1" applyFont="1" applyFill="1" applyBorder="1" applyAlignment="1">
      <alignment horizontal="center"/>
    </xf>
    <xf numFmtId="0" fontId="1" fillId="3" borderId="1" xfId="3" applyFont="1" applyFill="1" applyBorder="1"/>
    <xf numFmtId="0" fontId="1" fillId="3" borderId="1" xfId="3" applyFont="1" applyFill="1" applyBorder="1" applyAlignment="1">
      <alignment wrapText="1"/>
    </xf>
    <xf numFmtId="0" fontId="7" fillId="3" borderId="1" xfId="3" applyFont="1" applyFill="1" applyBorder="1"/>
    <xf numFmtId="176" fontId="7" fillId="3" borderId="1" xfId="3" applyNumberFormat="1" applyFont="1" applyFill="1" applyBorder="1"/>
    <xf numFmtId="0" fontId="1" fillId="3" borderId="1" xfId="0" applyFont="1" applyFill="1" applyBorder="1"/>
    <xf numFmtId="0" fontId="1" fillId="3" borderId="0" xfId="0" applyFont="1" applyFill="1"/>
    <xf numFmtId="176" fontId="7" fillId="3" borderId="1" xfId="0" applyNumberFormat="1" applyFont="1" applyFill="1" applyBorder="1"/>
    <xf numFmtId="0" fontId="1" fillId="3" borderId="33" xfId="3" applyFont="1" applyFill="1" applyBorder="1" applyAlignment="1">
      <alignment vertical="center" wrapText="1"/>
    </xf>
    <xf numFmtId="177" fontId="14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177" fontId="5" fillId="0" borderId="1" xfId="0" applyNumberFormat="1" applyFont="1" applyBorder="1"/>
    <xf numFmtId="10" fontId="14" fillId="0" borderId="1" xfId="0" applyNumberFormat="1" applyFont="1" applyBorder="1" applyAlignment="1">
      <alignment horizontal="right" vertical="center"/>
    </xf>
    <xf numFmtId="43" fontId="5" fillId="0" borderId="1" xfId="0" applyNumberFormat="1" applyFont="1" applyBorder="1"/>
    <xf numFmtId="10" fontId="14" fillId="0" borderId="2" xfId="0" applyNumberFormat="1" applyFont="1" applyBorder="1" applyAlignment="1">
      <alignment horizontal="right" vertical="center"/>
    </xf>
    <xf numFmtId="177" fontId="14" fillId="0" borderId="15" xfId="0" applyNumberFormat="1" applyFont="1" applyBorder="1" applyAlignment="1"/>
    <xf numFmtId="10" fontId="14" fillId="0" borderId="1" xfId="0" applyNumberFormat="1" applyFont="1" applyBorder="1" applyAlignment="1">
      <alignment vertical="center"/>
    </xf>
    <xf numFmtId="43" fontId="14" fillId="0" borderId="1" xfId="0" applyNumberFormat="1" applyFont="1" applyBorder="1" applyAlignment="1"/>
    <xf numFmtId="10" fontId="14" fillId="0" borderId="14" xfId="0" applyNumberFormat="1" applyFont="1" applyBorder="1" applyAlignment="1">
      <alignment vertical="center"/>
    </xf>
    <xf numFmtId="177" fontId="14" fillId="0" borderId="15" xfId="0" applyNumberFormat="1" applyFont="1" applyBorder="1" applyAlignment="1">
      <alignment horizontal="right" vertical="center"/>
    </xf>
    <xf numFmtId="43" fontId="14" fillId="0" borderId="1" xfId="0" applyNumberFormat="1" applyFont="1" applyBorder="1" applyAlignment="1">
      <alignment horizontal="right"/>
    </xf>
    <xf numFmtId="43" fontId="14" fillId="0" borderId="1" xfId="0" applyNumberFormat="1" applyFont="1" applyBorder="1" applyAlignment="1">
      <alignment horizontal="right" vertical="center"/>
    </xf>
    <xf numFmtId="10" fontId="14" fillId="0" borderId="14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10" fontId="14" fillId="0" borderId="14" xfId="0" applyNumberFormat="1" applyFont="1" applyBorder="1" applyAlignment="1">
      <alignment horizontal="right"/>
    </xf>
    <xf numFmtId="177" fontId="14" fillId="0" borderId="15" xfId="0" applyNumberFormat="1" applyFont="1" applyBorder="1" applyAlignment="1">
      <alignment vertical="center"/>
    </xf>
    <xf numFmtId="4" fontId="14" fillId="0" borderId="1" xfId="0" applyNumberFormat="1" applyFont="1" applyBorder="1" applyAlignment="1">
      <alignment vertical="center"/>
    </xf>
    <xf numFmtId="0" fontId="14" fillId="0" borderId="15" xfId="0" applyFont="1" applyBorder="1" applyAlignment="1">
      <alignment horizontal="left" vertical="center"/>
    </xf>
    <xf numFmtId="10" fontId="14" fillId="0" borderId="1" xfId="0" applyNumberFormat="1" applyFont="1" applyBorder="1" applyAlignment="1">
      <alignment horizontal="right"/>
    </xf>
    <xf numFmtId="177" fontId="14" fillId="0" borderId="15" xfId="0" applyNumberFormat="1" applyFont="1" applyBorder="1" applyAlignment="1">
      <alignment horizontal="right"/>
    </xf>
    <xf numFmtId="177" fontId="5" fillId="0" borderId="15" xfId="0" applyNumberFormat="1" applyFont="1" applyBorder="1"/>
    <xf numFmtId="4" fontId="14" fillId="0" borderId="1" xfId="0" applyNumberFormat="1" applyFont="1" applyBorder="1" applyAlignment="1">
      <alignment horizontal="right"/>
    </xf>
    <xf numFmtId="0" fontId="14" fillId="0" borderId="15" xfId="0" applyNumberFormat="1" applyFont="1" applyBorder="1" applyAlignment="1">
      <alignment horizontal="right"/>
    </xf>
    <xf numFmtId="0" fontId="14" fillId="3" borderId="15" xfId="0" applyFont="1" applyFill="1" applyBorder="1" applyAlignment="1">
      <alignment horizontal="left" vertical="center" wrapText="1"/>
    </xf>
    <xf numFmtId="10" fontId="14" fillId="3" borderId="17" xfId="0" applyNumberFormat="1" applyFont="1" applyFill="1" applyBorder="1" applyAlignment="1">
      <alignment horizontal="right"/>
    </xf>
    <xf numFmtId="10" fontId="14" fillId="3" borderId="1" xfId="0" applyNumberFormat="1" applyFont="1" applyFill="1" applyBorder="1" applyAlignment="1">
      <alignment horizontal="right"/>
    </xf>
    <xf numFmtId="10" fontId="14" fillId="3" borderId="14" xfId="0" applyNumberFormat="1" applyFont="1" applyFill="1" applyBorder="1" applyAlignment="1">
      <alignment horizontal="right"/>
    </xf>
    <xf numFmtId="0" fontId="14" fillId="3" borderId="15" xfId="0" applyNumberFormat="1" applyFont="1" applyFill="1" applyBorder="1" applyAlignment="1">
      <alignment horizontal="right"/>
    </xf>
    <xf numFmtId="43" fontId="14" fillId="3" borderId="1" xfId="0" applyNumberFormat="1" applyFont="1" applyFill="1" applyBorder="1" applyAlignment="1">
      <alignment horizontal="right"/>
    </xf>
    <xf numFmtId="0" fontId="14" fillId="0" borderId="15" xfId="0" applyFont="1" applyFill="1" applyBorder="1" applyAlignment="1">
      <alignment horizontal="left" vertical="center" wrapText="1"/>
    </xf>
    <xf numFmtId="43" fontId="5" fillId="0" borderId="1" xfId="0" applyNumberFormat="1" applyFont="1" applyFill="1" applyBorder="1"/>
    <xf numFmtId="10" fontId="14" fillId="0" borderId="1" xfId="0" applyNumberFormat="1" applyFont="1" applyFill="1" applyBorder="1" applyAlignment="1">
      <alignment horizontal="right"/>
    </xf>
    <xf numFmtId="10" fontId="14" fillId="0" borderId="14" xfId="0" applyNumberFormat="1" applyFont="1" applyFill="1" applyBorder="1" applyAlignment="1">
      <alignment horizontal="right"/>
    </xf>
    <xf numFmtId="0" fontId="16" fillId="0" borderId="15" xfId="0" applyFont="1" applyFill="1" applyBorder="1" applyAlignment="1">
      <alignment horizontal="right" vertical="center" wrapText="1"/>
    </xf>
    <xf numFmtId="177" fontId="6" fillId="0" borderId="1" xfId="0" applyNumberFormat="1" applyFont="1" applyFill="1" applyBorder="1"/>
    <xf numFmtId="0" fontId="7" fillId="0" borderId="1" xfId="0" applyFont="1" applyFill="1" applyBorder="1"/>
    <xf numFmtId="43" fontId="6" fillId="0" borderId="1" xfId="0" applyNumberFormat="1" applyFont="1" applyFill="1" applyBorder="1"/>
    <xf numFmtId="43" fontId="6" fillId="0" borderId="1" xfId="0" applyNumberFormat="1" applyFont="1" applyBorder="1"/>
    <xf numFmtId="0" fontId="7" fillId="0" borderId="14" xfId="0" applyFont="1" applyFill="1" applyBorder="1"/>
    <xf numFmtId="177" fontId="14" fillId="0" borderId="15" xfId="0" applyNumberFormat="1" applyFont="1" applyFill="1" applyBorder="1" applyAlignment="1">
      <alignment horizontal="right"/>
    </xf>
    <xf numFmtId="43" fontId="14" fillId="0" borderId="1" xfId="0" applyNumberFormat="1" applyFont="1" applyFill="1" applyBorder="1" applyAlignment="1">
      <alignment horizontal="right"/>
    </xf>
    <xf numFmtId="0" fontId="16" fillId="3" borderId="15" xfId="0" applyFont="1" applyFill="1" applyBorder="1" applyAlignment="1">
      <alignment horizontal="right" vertical="center"/>
    </xf>
    <xf numFmtId="177" fontId="5" fillId="3" borderId="1" xfId="0" applyNumberFormat="1" applyFont="1" applyFill="1" applyBorder="1"/>
    <xf numFmtId="43" fontId="5" fillId="3" borderId="1" xfId="0" applyNumberFormat="1" applyFont="1" applyFill="1" applyBorder="1"/>
    <xf numFmtId="177" fontId="14" fillId="0" borderId="26" xfId="0" applyNumberFormat="1" applyFont="1" applyFill="1" applyBorder="1" applyAlignment="1">
      <alignment horizontal="right"/>
    </xf>
    <xf numFmtId="10" fontId="14" fillId="0" borderId="28" xfId="0" applyNumberFormat="1" applyFont="1" applyFill="1" applyBorder="1" applyAlignment="1">
      <alignment horizontal="right"/>
    </xf>
    <xf numFmtId="43" fontId="14" fillId="0" borderId="28" xfId="0" applyNumberFormat="1" applyFont="1" applyFill="1" applyBorder="1" applyAlignment="1">
      <alignment horizontal="right"/>
    </xf>
    <xf numFmtId="10" fontId="14" fillId="0" borderId="29" xfId="0" applyNumberFormat="1" applyFont="1" applyFill="1" applyBorder="1" applyAlignment="1">
      <alignment horizontal="right"/>
    </xf>
    <xf numFmtId="177" fontId="5" fillId="0" borderId="26" xfId="0" applyNumberFormat="1" applyFont="1" applyBorder="1"/>
    <xf numFmtId="10" fontId="14" fillId="0" borderId="28" xfId="0" applyNumberFormat="1" applyFont="1" applyBorder="1" applyAlignment="1">
      <alignment horizontal="right"/>
    </xf>
    <xf numFmtId="43" fontId="14" fillId="0" borderId="28" xfId="0" applyNumberFormat="1" applyFont="1" applyBorder="1" applyAlignment="1">
      <alignment horizontal="right"/>
    </xf>
    <xf numFmtId="10" fontId="14" fillId="0" borderId="29" xfId="0" applyNumberFormat="1" applyFont="1" applyBorder="1" applyAlignment="1">
      <alignment horizontal="right"/>
    </xf>
    <xf numFmtId="177" fontId="14" fillId="0" borderId="26" xfId="0" applyNumberFormat="1" applyFont="1" applyBorder="1" applyAlignment="1">
      <alignment horizontal="right"/>
    </xf>
    <xf numFmtId="176" fontId="14" fillId="0" borderId="28" xfId="0" applyNumberFormat="1" applyFont="1" applyBorder="1" applyAlignment="1">
      <alignment horizontal="center" vertical="center"/>
    </xf>
    <xf numFmtId="4" fontId="14" fillId="0" borderId="28" xfId="0" applyNumberFormat="1" applyFont="1" applyBorder="1" applyAlignment="1">
      <alignment horizontal="right"/>
    </xf>
    <xf numFmtId="177" fontId="14" fillId="0" borderId="15" xfId="0" applyNumberFormat="1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0" fontId="14" fillId="0" borderId="14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0" fontId="14" fillId="0" borderId="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right"/>
    </xf>
    <xf numFmtId="10" fontId="14" fillId="0" borderId="2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14" fillId="0" borderId="1" xfId="0" applyNumberFormat="1" applyFont="1" applyBorder="1" applyAlignment="1">
      <alignment horizontal="right" vertical="center"/>
    </xf>
    <xf numFmtId="0" fontId="14" fillId="0" borderId="18" xfId="0" applyFont="1" applyBorder="1" applyAlignment="1">
      <alignment horizontal="left" vertical="center"/>
    </xf>
    <xf numFmtId="0" fontId="0" fillId="0" borderId="1" xfId="0" applyFont="1" applyFill="1" applyBorder="1"/>
    <xf numFmtId="0" fontId="0" fillId="0" borderId="14" xfId="0" applyFont="1" applyFill="1" applyBorder="1"/>
    <xf numFmtId="0" fontId="5" fillId="0" borderId="15" xfId="0" applyFont="1" applyBorder="1"/>
    <xf numFmtId="176" fontId="5" fillId="0" borderId="1" xfId="0" applyNumberFormat="1" applyFont="1" applyBorder="1"/>
    <xf numFmtId="10" fontId="5" fillId="0" borderId="1" xfId="0" applyNumberFormat="1" applyFont="1" applyBorder="1"/>
    <xf numFmtId="10" fontId="5" fillId="0" borderId="14" xfId="0" applyNumberFormat="1" applyFont="1" applyBorder="1"/>
    <xf numFmtId="0" fontId="14" fillId="3" borderId="18" xfId="0" applyFont="1" applyFill="1" applyBorder="1" applyAlignment="1">
      <alignment horizontal="left" vertical="center" wrapText="1"/>
    </xf>
    <xf numFmtId="10" fontId="14" fillId="3" borderId="3" xfId="0" applyNumberFormat="1" applyFont="1" applyFill="1" applyBorder="1" applyAlignment="1">
      <alignment horizontal="right"/>
    </xf>
    <xf numFmtId="0" fontId="14" fillId="3" borderId="16" xfId="0" applyNumberFormat="1" applyFont="1" applyFill="1" applyBorder="1" applyAlignment="1">
      <alignment horizontal="right"/>
    </xf>
    <xf numFmtId="10" fontId="14" fillId="3" borderId="37" xfId="0" applyNumberFormat="1" applyFont="1" applyFill="1" applyBorder="1" applyAlignment="1">
      <alignment horizontal="right"/>
    </xf>
    <xf numFmtId="176" fontId="5" fillId="3" borderId="1" xfId="0" applyNumberFormat="1" applyFont="1" applyFill="1" applyBorder="1"/>
    <xf numFmtId="176" fontId="14" fillId="3" borderId="1" xfId="0" applyNumberFormat="1" applyFont="1" applyFill="1" applyBorder="1" applyAlignment="1">
      <alignment horizontal="center" vertical="center"/>
    </xf>
    <xf numFmtId="10" fontId="14" fillId="3" borderId="2" xfId="0" applyNumberFormat="1" applyFont="1" applyFill="1" applyBorder="1" applyAlignment="1">
      <alignment horizontal="right"/>
    </xf>
    <xf numFmtId="4" fontId="0" fillId="0" borderId="0" xfId="0" applyNumberFormat="1" applyFont="1"/>
    <xf numFmtId="0" fontId="14" fillId="0" borderId="18" xfId="0" applyFont="1" applyFill="1" applyBorder="1" applyAlignment="1">
      <alignment horizontal="left" vertical="center" wrapText="1"/>
    </xf>
    <xf numFmtId="43" fontId="5" fillId="0" borderId="1" xfId="1" applyFont="1" applyBorder="1"/>
    <xf numFmtId="0" fontId="5" fillId="0" borderId="2" xfId="0" applyFont="1" applyBorder="1"/>
    <xf numFmtId="0" fontId="5" fillId="0" borderId="14" xfId="0" applyFont="1" applyBorder="1"/>
    <xf numFmtId="0" fontId="0" fillId="0" borderId="14" xfId="0" applyFont="1" applyBorder="1" applyAlignment="1">
      <alignment horizontal="right"/>
    </xf>
    <xf numFmtId="0" fontId="14" fillId="3" borderId="26" xfId="0" applyFont="1" applyFill="1" applyBorder="1" applyAlignment="1">
      <alignment horizontal="right" vertical="center"/>
    </xf>
    <xf numFmtId="0" fontId="0" fillId="0" borderId="28" xfId="0" applyFont="1" applyFill="1" applyBorder="1"/>
    <xf numFmtId="0" fontId="0" fillId="0" borderId="29" xfId="0" applyFont="1" applyFill="1" applyBorder="1"/>
    <xf numFmtId="177" fontId="14" fillId="0" borderId="38" xfId="0" applyNumberFormat="1" applyFont="1" applyFill="1" applyBorder="1" applyAlignment="1">
      <alignment horizontal="right"/>
    </xf>
    <xf numFmtId="0" fontId="5" fillId="0" borderId="17" xfId="0" applyFont="1" applyBorder="1"/>
    <xf numFmtId="43" fontId="14" fillId="0" borderId="17" xfId="0" applyNumberFormat="1" applyFont="1" applyFill="1" applyBorder="1" applyAlignment="1">
      <alignment horizontal="right"/>
    </xf>
    <xf numFmtId="0" fontId="5" fillId="0" borderId="3" xfId="0" applyFont="1" applyBorder="1"/>
    <xf numFmtId="0" fontId="5" fillId="0" borderId="28" xfId="0" applyFont="1" applyBorder="1"/>
    <xf numFmtId="176" fontId="5" fillId="0" borderId="28" xfId="0" applyNumberFormat="1" applyFont="1" applyBorder="1"/>
    <xf numFmtId="4" fontId="5" fillId="0" borderId="28" xfId="0" applyNumberFormat="1" applyFont="1" applyBorder="1"/>
    <xf numFmtId="0" fontId="5" fillId="0" borderId="29" xfId="0" applyFont="1" applyBorder="1"/>
    <xf numFmtId="177" fontId="5" fillId="0" borderId="16" xfId="0" applyNumberFormat="1" applyFont="1" applyBorder="1"/>
    <xf numFmtId="10" fontId="5" fillId="0" borderId="17" xfId="0" applyNumberFormat="1" applyFont="1" applyBorder="1"/>
    <xf numFmtId="0" fontId="0" fillId="0" borderId="37" xfId="0" applyFont="1" applyBorder="1" applyAlignment="1">
      <alignment horizontal="right"/>
    </xf>
    <xf numFmtId="0" fontId="5" fillId="0" borderId="37" xfId="0" applyFont="1" applyBorder="1"/>
    <xf numFmtId="0" fontId="14" fillId="0" borderId="18" xfId="0" applyFont="1" applyBorder="1" applyAlignment="1">
      <alignment vertical="center"/>
    </xf>
    <xf numFmtId="10" fontId="14" fillId="0" borderId="1" xfId="0" applyNumberFormat="1" applyFont="1" applyFill="1" applyBorder="1" applyAlignment="1">
      <alignment horizontal="right" vertical="center"/>
    </xf>
    <xf numFmtId="176" fontId="14" fillId="0" borderId="1" xfId="0" applyNumberFormat="1" applyFont="1" applyFill="1" applyBorder="1" applyAlignment="1">
      <alignment horizontal="right" vertical="center"/>
    </xf>
    <xf numFmtId="10" fontId="14" fillId="0" borderId="14" xfId="0" applyNumberFormat="1" applyFont="1" applyFill="1" applyBorder="1" applyAlignment="1">
      <alignment horizontal="right" vertical="center"/>
    </xf>
    <xf numFmtId="176" fontId="14" fillId="0" borderId="1" xfId="0" applyNumberFormat="1" applyFont="1" applyFill="1" applyBorder="1" applyAlignment="1">
      <alignment vertical="center"/>
    </xf>
    <xf numFmtId="0" fontId="14" fillId="3" borderId="38" xfId="0" applyNumberFormat="1" applyFont="1" applyFill="1" applyBorder="1" applyAlignment="1">
      <alignment horizontal="right"/>
    </xf>
    <xf numFmtId="43" fontId="14" fillId="3" borderId="17" xfId="0" applyNumberFormat="1" applyFont="1" applyFill="1" applyBorder="1" applyAlignment="1">
      <alignment horizontal="right"/>
    </xf>
    <xf numFmtId="0" fontId="16" fillId="0" borderId="18" xfId="0" applyFont="1" applyFill="1" applyBorder="1" applyAlignment="1">
      <alignment horizontal="right" vertical="center" wrapText="1"/>
    </xf>
    <xf numFmtId="0" fontId="16" fillId="3" borderId="18" xfId="0" applyFont="1" applyFill="1" applyBorder="1" applyAlignment="1">
      <alignment horizontal="right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14" fillId="0" borderId="1" xfId="0" applyNumberFormat="1" applyFont="1" applyBorder="1" applyAlignment="1">
      <alignment horizontal="right" vertical="center"/>
    </xf>
    <xf numFmtId="177" fontId="14" fillId="3" borderId="15" xfId="0" applyNumberFormat="1" applyFont="1" applyFill="1" applyBorder="1" applyAlignment="1">
      <alignment horizontal="center" vertical="center"/>
    </xf>
    <xf numFmtId="10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0" fontId="14" fillId="3" borderId="14" xfId="0" applyNumberFormat="1" applyFont="1" applyFill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0" fontId="14" fillId="3" borderId="17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10" fontId="14" fillId="3" borderId="37" xfId="0" applyNumberFormat="1" applyFont="1" applyFill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right"/>
    </xf>
    <xf numFmtId="10" fontId="14" fillId="3" borderId="17" xfId="0" applyNumberFormat="1" applyFont="1" applyFill="1" applyBorder="1" applyAlignment="1">
      <alignment horizontal="right" vertical="center"/>
    </xf>
    <xf numFmtId="0" fontId="14" fillId="3" borderId="37" xfId="0" applyNumberFormat="1" applyFont="1" applyFill="1" applyBorder="1" applyAlignment="1">
      <alignment horizontal="right" vertical="center"/>
    </xf>
    <xf numFmtId="0" fontId="14" fillId="0" borderId="14" xfId="0" applyNumberFormat="1" applyFont="1" applyBorder="1" applyAlignment="1">
      <alignment horizontal="right" vertical="center"/>
    </xf>
    <xf numFmtId="43" fontId="14" fillId="3" borderId="1" xfId="0" applyNumberFormat="1" applyFont="1" applyFill="1" applyBorder="1" applyAlignment="1"/>
    <xf numFmtId="176" fontId="14" fillId="0" borderId="1" xfId="0" applyNumberFormat="1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177" fontId="5" fillId="0" borderId="15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177" fontId="14" fillId="3" borderId="26" xfId="0" applyNumberFormat="1" applyFont="1" applyFill="1" applyBorder="1" applyAlignment="1">
      <alignment horizontal="right"/>
    </xf>
    <xf numFmtId="43" fontId="14" fillId="3" borderId="28" xfId="0" applyNumberFormat="1" applyFont="1" applyFill="1" applyBorder="1" applyAlignment="1"/>
    <xf numFmtId="43" fontId="14" fillId="3" borderId="28" xfId="0" applyNumberFormat="1" applyFont="1" applyFill="1" applyBorder="1" applyAlignment="1">
      <alignment horizontal="right"/>
    </xf>
    <xf numFmtId="0" fontId="0" fillId="0" borderId="28" xfId="0" applyFont="1" applyBorder="1"/>
    <xf numFmtId="176" fontId="14" fillId="0" borderId="28" xfId="0" applyNumberFormat="1" applyFont="1" applyBorder="1" applyAlignment="1">
      <alignment vertical="center"/>
    </xf>
    <xf numFmtId="0" fontId="0" fillId="0" borderId="29" xfId="0" applyFont="1" applyBorder="1"/>
    <xf numFmtId="177" fontId="5" fillId="0" borderId="26" xfId="0" applyNumberFormat="1" applyFont="1" applyBorder="1" applyAlignment="1">
      <alignment horizontal="right"/>
    </xf>
    <xf numFmtId="0" fontId="5" fillId="0" borderId="28" xfId="0" applyFont="1" applyBorder="1" applyAlignment="1">
      <alignment horizontal="right"/>
    </xf>
    <xf numFmtId="176" fontId="14" fillId="0" borderId="28" xfId="0" applyNumberFormat="1" applyFont="1" applyBorder="1" applyAlignment="1">
      <alignment horizontal="right" vertical="center"/>
    </xf>
    <xf numFmtId="4" fontId="5" fillId="0" borderId="28" xfId="0" applyNumberFormat="1" applyFont="1" applyBorder="1" applyAlignment="1">
      <alignment horizontal="right"/>
    </xf>
    <xf numFmtId="0" fontId="5" fillId="0" borderId="29" xfId="0" applyFont="1" applyBorder="1" applyAlignment="1">
      <alignment horizontal="right"/>
    </xf>
    <xf numFmtId="177" fontId="14" fillId="0" borderId="26" xfId="0" applyNumberFormat="1" applyFont="1" applyBorder="1" applyAlignment="1">
      <alignment horizontal="center" vertical="center"/>
    </xf>
    <xf numFmtId="10" fontId="14" fillId="0" borderId="28" xfId="0" applyNumberFormat="1" applyFont="1" applyBorder="1" applyAlignment="1">
      <alignment horizontal="center" vertical="center"/>
    </xf>
    <xf numFmtId="10" fontId="14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10" fontId="0" fillId="0" borderId="0" xfId="0" applyNumberFormat="1" applyFont="1" applyAlignment="1">
      <alignment horizontal="right"/>
    </xf>
    <xf numFmtId="177" fontId="0" fillId="0" borderId="0" xfId="0" applyNumberFormat="1" applyFont="1"/>
    <xf numFmtId="10" fontId="0" fillId="0" borderId="0" xfId="0" applyNumberFormat="1" applyFont="1"/>
    <xf numFmtId="176" fontId="0" fillId="0" borderId="0" xfId="0" applyNumberFormat="1" applyFont="1" applyAlignment="1">
      <alignment horizontal="right"/>
    </xf>
    <xf numFmtId="176" fontId="0" fillId="0" borderId="0" xfId="0" applyNumberFormat="1" applyFont="1"/>
    <xf numFmtId="43" fontId="0" fillId="0" borderId="0" xfId="1" applyFont="1" applyAlignment="1"/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4" fontId="0" fillId="0" borderId="0" xfId="0" applyNumberFormat="1"/>
    <xf numFmtId="43" fontId="0" fillId="0" borderId="0" xfId="0" applyNumberFormat="1"/>
    <xf numFmtId="0" fontId="18" fillId="3" borderId="1" xfId="0" applyFont="1" applyFill="1" applyBorder="1"/>
    <xf numFmtId="178" fontId="18" fillId="3" borderId="1" xfId="0" applyNumberFormat="1" applyFont="1" applyFill="1" applyBorder="1"/>
    <xf numFmtId="176" fontId="18" fillId="0" borderId="1" xfId="0" applyNumberFormat="1" applyFont="1" applyBorder="1" applyAlignment="1">
      <alignment vertical="center"/>
    </xf>
    <xf numFmtId="179" fontId="0" fillId="0" borderId="1" xfId="0" applyNumberFormat="1" applyBorder="1" applyAlignment="1"/>
    <xf numFmtId="179" fontId="0" fillId="0" borderId="1" xfId="0" applyNumberFormat="1" applyBorder="1"/>
    <xf numFmtId="2" fontId="0" fillId="0" borderId="1" xfId="0" applyNumberFormat="1" applyBorder="1"/>
    <xf numFmtId="176" fontId="18" fillId="0" borderId="1" xfId="0" applyNumberFormat="1" applyFont="1" applyFill="1" applyBorder="1" applyAlignment="1">
      <alignment vertical="center"/>
    </xf>
    <xf numFmtId="0" fontId="0" fillId="0" borderId="1" xfId="0" applyNumberFormat="1" applyBorder="1"/>
    <xf numFmtId="0" fontId="0" fillId="0" borderId="1" xfId="0" applyBorder="1" applyAlignment="1"/>
    <xf numFmtId="179" fontId="0" fillId="0" borderId="0" xfId="0" applyNumberFormat="1"/>
    <xf numFmtId="10" fontId="14" fillId="0" borderId="2" xfId="0" applyNumberFormat="1" applyFont="1" applyBorder="1" applyAlignment="1">
      <alignment horizontal="center" vertical="center"/>
    </xf>
    <xf numFmtId="43" fontId="14" fillId="0" borderId="1" xfId="0" applyNumberFormat="1" applyFont="1" applyBorder="1" applyAlignment="1">
      <alignment horizontal="center" vertical="center"/>
    </xf>
    <xf numFmtId="177" fontId="0" fillId="0" borderId="1" xfId="0" applyNumberFormat="1" applyBorder="1"/>
    <xf numFmtId="10" fontId="0" fillId="0" borderId="1" xfId="2" applyNumberFormat="1" applyFont="1" applyBorder="1" applyAlignment="1"/>
    <xf numFmtId="43" fontId="0" fillId="4" borderId="1" xfId="0" applyNumberFormat="1" applyFill="1" applyBorder="1"/>
    <xf numFmtId="177" fontId="0" fillId="4" borderId="1" xfId="0" applyNumberFormat="1" applyFill="1" applyBorder="1"/>
    <xf numFmtId="43" fontId="12" fillId="0" borderId="1" xfId="0" applyNumberFormat="1" applyFont="1" applyBorder="1"/>
    <xf numFmtId="177" fontId="5" fillId="0" borderId="15" xfId="0" applyNumberFormat="1" applyFont="1" applyBorder="1" applyAlignment="1">
      <alignment vertical="center"/>
    </xf>
    <xf numFmtId="177" fontId="0" fillId="0" borderId="1" xfId="0" applyNumberFormat="1" applyBorder="1" applyAlignment="1">
      <alignment vertical="center"/>
    </xf>
    <xf numFmtId="43" fontId="12" fillId="0" borderId="1" xfId="0" applyNumberFormat="1" applyFon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16" fillId="2" borderId="15" xfId="0" applyFont="1" applyFill="1" applyBorder="1" applyAlignment="1">
      <alignment horizontal="right" vertical="center" wrapText="1"/>
    </xf>
    <xf numFmtId="177" fontId="5" fillId="2" borderId="15" xfId="0" applyNumberFormat="1" applyFont="1" applyFill="1" applyBorder="1"/>
    <xf numFmtId="10" fontId="14" fillId="2" borderId="1" xfId="0" applyNumberFormat="1" applyFont="1" applyFill="1" applyBorder="1" applyAlignment="1">
      <alignment horizontal="right"/>
    </xf>
    <xf numFmtId="43" fontId="14" fillId="2" borderId="1" xfId="0" applyNumberFormat="1" applyFont="1" applyFill="1" applyBorder="1" applyAlignment="1">
      <alignment horizontal="right"/>
    </xf>
    <xf numFmtId="10" fontId="14" fillId="2" borderId="14" xfId="0" applyNumberFormat="1" applyFont="1" applyFill="1" applyBorder="1" applyAlignment="1">
      <alignment horizontal="right"/>
    </xf>
    <xf numFmtId="177" fontId="0" fillId="2" borderId="1" xfId="0" applyNumberFormat="1" applyFill="1" applyBorder="1"/>
    <xf numFmtId="43" fontId="0" fillId="2" borderId="1" xfId="0" applyNumberFormat="1" applyFill="1" applyBorder="1"/>
    <xf numFmtId="10" fontId="0" fillId="2" borderId="1" xfId="2" applyNumberFormat="1" applyFont="1" applyFill="1" applyBorder="1" applyAlignment="1"/>
    <xf numFmtId="0" fontId="0" fillId="2" borderId="0" xfId="0" applyFill="1"/>
    <xf numFmtId="43" fontId="0" fillId="3" borderId="1" xfId="0" applyNumberFormat="1" applyFill="1" applyBorder="1"/>
    <xf numFmtId="0" fontId="16" fillId="3" borderId="16" xfId="0" applyFont="1" applyFill="1" applyBorder="1" applyAlignment="1">
      <alignment horizontal="right" vertical="center"/>
    </xf>
    <xf numFmtId="177" fontId="0" fillId="0" borderId="17" xfId="0" applyNumberFormat="1" applyBorder="1"/>
    <xf numFmtId="43" fontId="0" fillId="0" borderId="17" xfId="0" applyNumberFormat="1" applyBorder="1"/>
    <xf numFmtId="10" fontId="0" fillId="0" borderId="17" xfId="2" applyNumberFormat="1" applyFont="1" applyBorder="1" applyAlignment="1"/>
    <xf numFmtId="43" fontId="0" fillId="4" borderId="17" xfId="0" applyNumberFormat="1" applyFill="1" applyBorder="1"/>
    <xf numFmtId="43" fontId="0" fillId="3" borderId="17" xfId="0" applyNumberFormat="1" applyFill="1" applyBorder="1"/>
    <xf numFmtId="177" fontId="0" fillId="4" borderId="17" xfId="0" applyNumberFormat="1" applyFill="1" applyBorder="1"/>
    <xf numFmtId="0" fontId="14" fillId="0" borderId="53" xfId="0" applyFont="1" applyBorder="1" applyAlignment="1">
      <alignment vertical="center"/>
    </xf>
    <xf numFmtId="0" fontId="0" fillId="0" borderId="15" xfId="0" applyBorder="1"/>
    <xf numFmtId="0" fontId="0" fillId="0" borderId="2" xfId="0" applyBorder="1"/>
    <xf numFmtId="177" fontId="0" fillId="0" borderId="15" xfId="0" applyNumberFormat="1" applyBorder="1"/>
    <xf numFmtId="43" fontId="0" fillId="4" borderId="14" xfId="0" applyNumberFormat="1" applyFill="1" applyBorder="1"/>
    <xf numFmtId="0" fontId="14" fillId="0" borderId="53" xfId="0" applyFont="1" applyBorder="1" applyAlignment="1">
      <alignment horizontal="left" vertical="center"/>
    </xf>
    <xf numFmtId="177" fontId="0" fillId="0" borderId="15" xfId="0" applyNumberFormat="1" applyBorder="1" applyAlignment="1">
      <alignment vertical="center"/>
    </xf>
    <xf numFmtId="0" fontId="14" fillId="3" borderId="53" xfId="0" applyFont="1" applyFill="1" applyBorder="1" applyAlignment="1">
      <alignment horizontal="left" vertical="center" wrapText="1"/>
    </xf>
    <xf numFmtId="0" fontId="14" fillId="0" borderId="53" xfId="0" applyFont="1" applyFill="1" applyBorder="1" applyAlignment="1">
      <alignment horizontal="left" vertical="center" wrapText="1"/>
    </xf>
    <xf numFmtId="0" fontId="16" fillId="0" borderId="53" xfId="0" applyFont="1" applyFill="1" applyBorder="1" applyAlignment="1">
      <alignment horizontal="right" vertical="center" wrapText="1"/>
    </xf>
    <xf numFmtId="177" fontId="6" fillId="0" borderId="15" xfId="0" applyNumberFormat="1" applyFont="1" applyFill="1" applyBorder="1"/>
    <xf numFmtId="0" fontId="7" fillId="0" borderId="2" xfId="0" applyFont="1" applyFill="1" applyBorder="1"/>
    <xf numFmtId="177" fontId="0" fillId="2" borderId="15" xfId="0" applyNumberFormat="1" applyFill="1" applyBorder="1"/>
    <xf numFmtId="0" fontId="16" fillId="3" borderId="54" xfId="0" applyFont="1" applyFill="1" applyBorder="1" applyAlignment="1">
      <alignment horizontal="right" vertical="center"/>
    </xf>
    <xf numFmtId="177" fontId="5" fillId="3" borderId="26" xfId="0" applyNumberFormat="1" applyFont="1" applyFill="1" applyBorder="1"/>
    <xf numFmtId="43" fontId="5" fillId="3" borderId="28" xfId="0" applyNumberFormat="1" applyFont="1" applyFill="1" applyBorder="1"/>
    <xf numFmtId="43" fontId="5" fillId="0" borderId="28" xfId="0" applyNumberFormat="1" applyFont="1" applyBorder="1"/>
    <xf numFmtId="0" fontId="0" fillId="3" borderId="30" xfId="0" applyFont="1" applyFill="1" applyBorder="1"/>
    <xf numFmtId="177" fontId="0" fillId="0" borderId="26" xfId="0" applyNumberFormat="1" applyBorder="1"/>
    <xf numFmtId="43" fontId="0" fillId="0" borderId="28" xfId="0" applyNumberFormat="1" applyBorder="1"/>
    <xf numFmtId="10" fontId="0" fillId="0" borderId="28" xfId="2" applyNumberFormat="1" applyFont="1" applyBorder="1" applyAlignment="1"/>
    <xf numFmtId="43" fontId="0" fillId="4" borderId="28" xfId="0" applyNumberFormat="1" applyFill="1" applyBorder="1"/>
    <xf numFmtId="43" fontId="0" fillId="3" borderId="28" xfId="0" applyNumberFormat="1" applyFill="1" applyBorder="1"/>
    <xf numFmtId="177" fontId="0" fillId="4" borderId="28" xfId="0" applyNumberFormat="1" applyFill="1" applyBorder="1"/>
    <xf numFmtId="43" fontId="0" fillId="4" borderId="29" xfId="0" applyNumberFormat="1" applyFill="1" applyBorder="1"/>
    <xf numFmtId="0" fontId="0" fillId="0" borderId="0" xfId="0" applyAlignment="1"/>
    <xf numFmtId="180" fontId="0" fillId="0" borderId="0" xfId="0" applyNumberFormat="1" applyAlignment="1"/>
    <xf numFmtId="0" fontId="16" fillId="3" borderId="1" xfId="0" applyFont="1" applyFill="1" applyBorder="1"/>
    <xf numFmtId="4" fontId="16" fillId="3" borderId="1" xfId="0" applyNumberFormat="1" applyFont="1" applyFill="1" applyBorder="1"/>
    <xf numFmtId="0" fontId="16" fillId="3" borderId="0" xfId="0" applyFont="1" applyFill="1"/>
    <xf numFmtId="0" fontId="2" fillId="0" borderId="19" xfId="0" applyFont="1" applyBorder="1" applyAlignment="1">
      <alignment horizontal="center" vertical="center" wrapText="1"/>
    </xf>
    <xf numFmtId="0" fontId="4" fillId="3" borderId="19" xfId="0" applyFont="1" applyFill="1" applyBorder="1"/>
    <xf numFmtId="0" fontId="8" fillId="3" borderId="19" xfId="0" applyFont="1" applyFill="1" applyBorder="1"/>
    <xf numFmtId="0" fontId="0" fillId="0" borderId="55" xfId="0" applyFont="1" applyBorder="1" applyAlignment="1">
      <alignment horizontal="center" vertical="center" textRotation="255"/>
    </xf>
    <xf numFmtId="0" fontId="8" fillId="3" borderId="38" xfId="0" applyFont="1" applyFill="1" applyBorder="1"/>
    <xf numFmtId="0" fontId="0" fillId="3" borderId="38" xfId="0" applyFont="1" applyFill="1" applyBorder="1"/>
    <xf numFmtId="4" fontId="0" fillId="0" borderId="17" xfId="0" applyNumberFormat="1" applyFont="1" applyBorder="1"/>
    <xf numFmtId="4" fontId="0" fillId="0" borderId="56" xfId="0" applyNumberFormat="1" applyFont="1" applyBorder="1"/>
    <xf numFmtId="0" fontId="0" fillId="3" borderId="55" xfId="0" applyFont="1" applyFill="1" applyBorder="1"/>
    <xf numFmtId="0" fontId="0" fillId="3" borderId="17" xfId="0" applyFont="1" applyFill="1" applyBorder="1"/>
    <xf numFmtId="4" fontId="0" fillId="0" borderId="37" xfId="0" applyNumberFormat="1" applyFont="1" applyBorder="1"/>
    <xf numFmtId="0" fontId="0" fillId="3" borderId="16" xfId="0" applyFont="1" applyFill="1" applyBorder="1"/>
    <xf numFmtId="0" fontId="8" fillId="0" borderId="17" xfId="0" applyFont="1" applyBorder="1"/>
    <xf numFmtId="4" fontId="0" fillId="0" borderId="3" xfId="0" applyNumberFormat="1" applyFont="1" applyBorder="1"/>
    <xf numFmtId="0" fontId="0" fillId="0" borderId="16" xfId="0" applyNumberFormat="1" applyFont="1" applyBorder="1"/>
    <xf numFmtId="0" fontId="0" fillId="0" borderId="38" xfId="0" applyNumberFormat="1" applyFont="1" applyBorder="1"/>
    <xf numFmtId="4" fontId="0" fillId="0" borderId="38" xfId="0" applyNumberFormat="1" applyFont="1" applyBorder="1"/>
    <xf numFmtId="4" fontId="0" fillId="0" borderId="41" xfId="0" applyNumberFormat="1" applyFont="1" applyBorder="1"/>
    <xf numFmtId="1" fontId="0" fillId="0" borderId="16" xfId="0" applyNumberFormat="1" applyFont="1" applyBorder="1"/>
    <xf numFmtId="1" fontId="0" fillId="0" borderId="17" xfId="0" applyNumberFormat="1" applyFont="1" applyBorder="1"/>
    <xf numFmtId="0" fontId="0" fillId="0" borderId="17" xfId="0" applyNumberFormat="1" applyFont="1" applyBorder="1"/>
    <xf numFmtId="1" fontId="0" fillId="0" borderId="55" xfId="0" applyNumberFormat="1" applyFont="1" applyBorder="1"/>
    <xf numFmtId="0" fontId="0" fillId="3" borderId="16" xfId="0" applyNumberFormat="1" applyFont="1" applyFill="1" applyBorder="1"/>
    <xf numFmtId="0" fontId="0" fillId="3" borderId="17" xfId="0" applyNumberFormat="1" applyFont="1" applyFill="1" applyBorder="1"/>
    <xf numFmtId="1" fontId="0" fillId="3" borderId="17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" fontId="3" fillId="0" borderId="7" xfId="0" applyNumberFormat="1" applyFont="1" applyBorder="1" applyAlignment="1">
      <alignment horizont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0" fillId="0" borderId="2" xfId="0" applyFont="1" applyBorder="1"/>
    <xf numFmtId="1" fontId="0" fillId="3" borderId="14" xfId="0" applyNumberFormat="1" applyFont="1" applyFill="1" applyBorder="1"/>
    <xf numFmtId="1" fontId="4" fillId="3" borderId="1" xfId="0" applyNumberFormat="1" applyFont="1" applyFill="1" applyBorder="1"/>
    <xf numFmtId="1" fontId="4" fillId="3" borderId="14" xfId="0" applyNumberFormat="1" applyFont="1" applyFill="1" applyBorder="1"/>
    <xf numFmtId="0" fontId="7" fillId="3" borderId="14" xfId="0" applyFont="1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8" fillId="3" borderId="15" xfId="0" applyFont="1" applyFill="1" applyBorder="1"/>
    <xf numFmtId="0" fontId="4" fillId="3" borderId="14" xfId="0" applyFont="1" applyFill="1" applyBorder="1"/>
    <xf numFmtId="1" fontId="7" fillId="0" borderId="29" xfId="0" applyNumberFormat="1" applyFont="1" applyBorder="1"/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6" fillId="0" borderId="55" xfId="0" applyFont="1" applyBorder="1" applyAlignment="1">
      <alignment horizontal="center" vertical="center" textRotation="255"/>
    </xf>
    <xf numFmtId="0" fontId="4" fillId="3" borderId="16" xfId="0" applyFont="1" applyFill="1" applyBorder="1"/>
    <xf numFmtId="0" fontId="4" fillId="3" borderId="17" xfId="0" applyFont="1" applyFill="1" applyBorder="1"/>
    <xf numFmtId="1" fontId="4" fillId="3" borderId="17" xfId="0" applyNumberFormat="1" applyFont="1" applyFill="1" applyBorder="1"/>
    <xf numFmtId="0" fontId="8" fillId="3" borderId="17" xfId="0" applyFont="1" applyFill="1" applyBorder="1"/>
    <xf numFmtId="0" fontId="8" fillId="3" borderId="37" xfId="0" applyFont="1" applyFill="1" applyBorder="1"/>
    <xf numFmtId="177" fontId="15" fillId="0" borderId="10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177" fontId="15" fillId="0" borderId="8" xfId="0" applyNumberFormat="1" applyFont="1" applyFill="1" applyBorder="1" applyAlignment="1">
      <alignment horizontal="center" vertical="center"/>
    </xf>
    <xf numFmtId="177" fontId="15" fillId="0" borderId="6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/>
    </xf>
    <xf numFmtId="177" fontId="15" fillId="0" borderId="7" xfId="0" applyNumberFormat="1" applyFont="1" applyBorder="1" applyAlignment="1">
      <alignment horizontal="center" vertical="center"/>
    </xf>
    <xf numFmtId="177" fontId="15" fillId="3" borderId="8" xfId="0" applyNumberFormat="1" applyFont="1" applyFill="1" applyBorder="1" applyAlignment="1">
      <alignment horizontal="center" vertical="center"/>
    </xf>
    <xf numFmtId="177" fontId="15" fillId="3" borderId="6" xfId="0" applyNumberFormat="1" applyFont="1" applyFill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177" fontId="15" fillId="3" borderId="10" xfId="0" applyNumberFormat="1" applyFont="1" applyFill="1" applyBorder="1" applyAlignment="1">
      <alignment horizontal="center" vertical="center"/>
    </xf>
    <xf numFmtId="177" fontId="15" fillId="3" borderId="11" xfId="0" applyNumberFormat="1" applyFont="1" applyFill="1" applyBorder="1" applyAlignment="1">
      <alignment horizontal="center" vertical="center"/>
    </xf>
    <xf numFmtId="177" fontId="15" fillId="3" borderId="12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255"/>
    </xf>
    <xf numFmtId="0" fontId="16" fillId="3" borderId="2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 textRotation="255"/>
    </xf>
    <xf numFmtId="0" fontId="6" fillId="0" borderId="13" xfId="0" applyFont="1" applyBorder="1" applyAlignment="1">
      <alignment horizontal="center" vertical="center" textRotation="255"/>
    </xf>
    <xf numFmtId="0" fontId="6" fillId="0" borderId="21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 wrapText="1"/>
    </xf>
    <xf numFmtId="0" fontId="3" fillId="0" borderId="11" xfId="0" applyNumberFormat="1" applyFont="1" applyBorder="1" applyAlignment="1">
      <alignment horizontal="center" wrapText="1"/>
    </xf>
    <xf numFmtId="0" fontId="3" fillId="0" borderId="12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10" fillId="0" borderId="31" xfId="3" applyFont="1" applyBorder="1" applyAlignment="1">
      <alignment horizontal="center" vertical="center"/>
    </xf>
    <xf numFmtId="0" fontId="1" fillId="3" borderId="1" xfId="3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7" xfId="3" applyFont="1" applyFill="1" applyBorder="1" applyAlignment="1">
      <alignment horizontal="center" vertical="center" wrapText="1"/>
    </xf>
    <xf numFmtId="0" fontId="1" fillId="3" borderId="32" xfId="3" applyFont="1" applyFill="1" applyBorder="1" applyAlignment="1">
      <alignment horizontal="center" vertical="center" wrapText="1"/>
    </xf>
    <xf numFmtId="0" fontId="1" fillId="3" borderId="33" xfId="3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20" fillId="3" borderId="50" xfId="0" applyNumberFormat="1" applyFont="1" applyFill="1" applyBorder="1" applyAlignment="1">
      <alignment horizontal="center" vertical="center" wrapText="1"/>
    </xf>
    <xf numFmtId="2" fontId="20" fillId="3" borderId="44" xfId="0" applyNumberFormat="1" applyFont="1" applyFill="1" applyBorder="1" applyAlignment="1">
      <alignment horizontal="center" vertical="center" wrapText="1"/>
    </xf>
    <xf numFmtId="2" fontId="20" fillId="3" borderId="46" xfId="0" applyNumberFormat="1" applyFont="1" applyFill="1" applyBorder="1" applyAlignment="1">
      <alignment horizontal="center" vertical="center" wrapText="1"/>
    </xf>
    <xf numFmtId="2" fontId="20" fillId="3" borderId="51" xfId="0" applyNumberFormat="1" applyFont="1" applyFill="1" applyBorder="1" applyAlignment="1">
      <alignment horizontal="center" vertical="center" wrapText="1"/>
    </xf>
    <xf numFmtId="2" fontId="20" fillId="3" borderId="52" xfId="0" applyNumberFormat="1" applyFont="1" applyFill="1" applyBorder="1" applyAlignment="1">
      <alignment horizontal="center" vertical="center" wrapText="1"/>
    </xf>
    <xf numFmtId="2" fontId="20" fillId="3" borderId="3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2" fontId="20" fillId="3" borderId="38" xfId="0" applyNumberFormat="1" applyFont="1" applyFill="1" applyBorder="1" applyAlignment="1">
      <alignment horizontal="center" vertical="center" wrapText="1"/>
    </xf>
    <xf numFmtId="177" fontId="15" fillId="0" borderId="4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8" xfId="0" applyBorder="1" applyAlignment="1">
      <alignment horizontal="center"/>
    </xf>
    <xf numFmtId="0" fontId="19" fillId="0" borderId="0" xfId="0" applyFont="1" applyAlignment="1">
      <alignment horizontal="center"/>
    </xf>
    <xf numFmtId="4" fontId="5" fillId="5" borderId="1" xfId="0" applyNumberFormat="1" applyFont="1" applyFill="1" applyBorder="1"/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externalLink" Target="externalLinks/externalLink3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81472"/>
        <c:axId val="152687360"/>
      </c:lineChart>
      <c:catAx>
        <c:axId val="152681472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52687360"/>
        <c:crosses val="autoZero"/>
        <c:auto val="1"/>
        <c:lblAlgn val="ctr"/>
        <c:lblOffset val="100"/>
        <c:noMultiLvlLbl val="1"/>
      </c:catAx>
      <c:valAx>
        <c:axId val="1526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52681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18944"/>
        <c:axId val="179620480"/>
      </c:lineChart>
      <c:catAx>
        <c:axId val="179618944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9620480"/>
        <c:crosses val="autoZero"/>
        <c:auto val="1"/>
        <c:lblAlgn val="ctr"/>
        <c:lblOffset val="100"/>
        <c:noMultiLvlLbl val="1"/>
      </c:catAx>
      <c:valAx>
        <c:axId val="1796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9618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2784"/>
        <c:axId val="180344320"/>
      </c:lineChart>
      <c:catAx>
        <c:axId val="180342784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80344320"/>
        <c:crosses val="autoZero"/>
        <c:auto val="1"/>
        <c:lblAlgn val="ctr"/>
        <c:lblOffset val="100"/>
        <c:noMultiLvlLbl val="1"/>
      </c:catAx>
      <c:valAx>
        <c:axId val="1803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803427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58095877028822E-2"/>
          <c:y val="6.0173185898932453E-2"/>
          <c:w val="0.80097277638501452"/>
          <c:h val="0.88260019384369404"/>
        </c:manualLayout>
      </c:layout>
      <c:lineChart>
        <c:grouping val="standard"/>
        <c:varyColors val="0"/>
        <c:ser>
          <c:idx val="0"/>
          <c:order val="0"/>
          <c:tx>
            <c:strRef>
              <c:f>'C:\Users\Administrator\Desktop\2017年7月单盒成本\2017.6单盒成本\[2017年6月单盒成本.xlsx]图表'!$P$2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'C:\Users\Administrator\Desktop\2017年7月单盒成本\2017.6单盒成本\[2017年6月单盒成本.xlsx]图表'!$P$3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'C:\Users\Administrator\Desktop\2017年7月单盒成本\2017.6单盒成本\[2017年6月单盒成本.xlsx]图表'!$P$4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'C:\Users\Administrator\Desktop\2017年7月单盒成本\2017.6单盒成本\[2017年6月单盒成本.xlsx]图表'!$P$5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'C:\Users\Administrator\Desktop\2017年7月单盒成本\2017.6单盒成本\[2017年6月单盒成本.xlsx]图表'!$P$6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'C:\Users\Administrator\Desktop\2017年7月单盒成本\2017.6单盒成本\[2017年6月单盒成本.xlsx]图表'!$P$7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'C:\Users\Administrator\Desktop\2017年7月单盒成本\2017.6单盒成本\[2017年6月单盒成本.xlsx]图表'!$P$8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'C:\Users\Administrator\Desktop\2017年7月单盒成本\2017.6单盒成本\[2017年6月单盒成本.xlsx]图表'!$P$9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'C:\Users\Administrator\Desktop\2017年7月单盒成本\2017.6单盒成本\[2017年6月单盒成本.xlsx]图表'!$P$10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'C:\Users\Administrator\Desktop\2017年7月单盒成本\2017.6单盒成本\[2017年6月单盒成本.xlsx]图表'!$P$11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3232"/>
        <c:axId val="180704768"/>
      </c:lineChart>
      <c:catAx>
        <c:axId val="180703232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80704768"/>
        <c:crosses val="autoZero"/>
        <c:auto val="1"/>
        <c:lblAlgn val="ctr"/>
        <c:lblOffset val="100"/>
        <c:noMultiLvlLbl val="1"/>
      </c:catAx>
      <c:valAx>
        <c:axId val="180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80703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5712"/>
        <c:axId val="209813888"/>
      </c:lineChart>
      <c:catAx>
        <c:axId val="209795712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09813888"/>
        <c:crosses val="autoZero"/>
        <c:auto val="1"/>
        <c:lblAlgn val="ctr"/>
        <c:lblOffset val="100"/>
        <c:noMultiLvlLbl val="1"/>
      </c:catAx>
      <c:valAx>
        <c:axId val="2098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09795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15968"/>
        <c:axId val="215317504"/>
      </c:lineChart>
      <c:catAx>
        <c:axId val="215315968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5317504"/>
        <c:crosses val="autoZero"/>
        <c:auto val="1"/>
        <c:lblAlgn val="ctr"/>
        <c:lblOffset val="100"/>
        <c:noMultiLvlLbl val="1"/>
      </c:catAx>
      <c:valAx>
        <c:axId val="2153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5315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18016"/>
        <c:axId val="219719552"/>
      </c:lineChart>
      <c:catAx>
        <c:axId val="219718016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9719552"/>
        <c:crosses val="autoZero"/>
        <c:auto val="1"/>
        <c:lblAlgn val="ctr"/>
        <c:lblOffset val="100"/>
        <c:noMultiLvlLbl val="1"/>
      </c:catAx>
      <c:valAx>
        <c:axId val="219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19718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58095877028822E-2"/>
          <c:y val="6.0173185898932453E-2"/>
          <c:w val="0.80097277638501452"/>
          <c:h val="0.88260019384369404"/>
        </c:manualLayout>
      </c:layout>
      <c:lineChart>
        <c:grouping val="standard"/>
        <c:varyColors val="0"/>
        <c:ser>
          <c:idx val="0"/>
          <c:order val="0"/>
          <c:tx>
            <c:strRef>
              <c:f>[8]图表!$P$2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[8]图表!$Q$2:$AB$2</c:f>
              <c:numCache>
                <c:formatCode>General</c:formatCode>
                <c:ptCount val="12"/>
                <c:pt idx="0">
                  <c:v>10.366357140657971</c:v>
                </c:pt>
                <c:pt idx="1">
                  <c:v>10.516188615181768</c:v>
                </c:pt>
                <c:pt idx="2">
                  <c:v>10.612724071157471</c:v>
                </c:pt>
                <c:pt idx="3">
                  <c:v>11.20614942243224</c:v>
                </c:pt>
                <c:pt idx="4">
                  <c:v>11.484767778962757</c:v>
                </c:pt>
                <c:pt idx="5">
                  <c:v>11.708606950142048</c:v>
                </c:pt>
                <c:pt idx="6">
                  <c:v>11.457315210635556</c:v>
                </c:pt>
                <c:pt idx="7">
                  <c:v>11.589688958009333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[8]图表!$P$3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[8]图表!$Q$3:$AB$3</c:f>
              <c:numCache>
                <c:formatCode>General</c:formatCode>
                <c:ptCount val="12"/>
                <c:pt idx="0">
                  <c:v>1.6435419918197616</c:v>
                </c:pt>
                <c:pt idx="1">
                  <c:v>0.34791518909346608</c:v>
                </c:pt>
                <c:pt idx="2">
                  <c:v>3.322252330174793</c:v>
                </c:pt>
                <c:pt idx="3">
                  <c:v>0.99138071780156956</c:v>
                </c:pt>
                <c:pt idx="4">
                  <c:v>0.80563970807692864</c:v>
                </c:pt>
                <c:pt idx="5">
                  <c:v>2.2614458339501242</c:v>
                </c:pt>
                <c:pt idx="6">
                  <c:v>0.85836312109587209</c:v>
                </c:pt>
                <c:pt idx="7">
                  <c:v>1.2206110183400074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[8]图表!$P$4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[8]图表!$Q$4:$AB$4</c:f>
              <c:numCache>
                <c:formatCode>General</c:formatCode>
                <c:ptCount val="12"/>
                <c:pt idx="0">
                  <c:v>0.19604011491176757</c:v>
                </c:pt>
                <c:pt idx="1">
                  <c:v>0.22521137016817402</c:v>
                </c:pt>
                <c:pt idx="2">
                  <c:v>0.23345400325320803</c:v>
                </c:pt>
                <c:pt idx="3">
                  <c:v>0.18530464140722649</c:v>
                </c:pt>
                <c:pt idx="4">
                  <c:v>0.19197325622731826</c:v>
                </c:pt>
                <c:pt idx="5">
                  <c:v>0.20133767015924453</c:v>
                </c:pt>
                <c:pt idx="6">
                  <c:v>1.1629812436837359</c:v>
                </c:pt>
                <c:pt idx="7">
                  <c:v>0.18353287799843762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[8]图表!$P$5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[8]图表!$Q$5:$AB$5</c:f>
              <c:numCache>
                <c:formatCode>General</c:formatCode>
                <c:ptCount val="12"/>
                <c:pt idx="0">
                  <c:v>1.1410248509723211</c:v>
                </c:pt>
                <c:pt idx="1">
                  <c:v>1.0566967136473904</c:v>
                </c:pt>
                <c:pt idx="2">
                  <c:v>1.173419173272056</c:v>
                </c:pt>
                <c:pt idx="3">
                  <c:v>0.93728611711122722</c:v>
                </c:pt>
                <c:pt idx="4">
                  <c:v>0.97255714038579621</c:v>
                </c:pt>
                <c:pt idx="5">
                  <c:v>1.2208061791657963</c:v>
                </c:pt>
                <c:pt idx="6">
                  <c:v>1.1629812436837359</c:v>
                </c:pt>
                <c:pt idx="7">
                  <c:v>1.0924799220244963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[8]图表!$P$6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[8]图表!$Q$6:$AB$6</c:f>
              <c:numCache>
                <c:formatCode>General</c:formatCode>
                <c:ptCount val="12"/>
                <c:pt idx="0">
                  <c:v>1.3324477248559459</c:v>
                </c:pt>
                <c:pt idx="1">
                  <c:v>0.69789982807726614</c:v>
                </c:pt>
                <c:pt idx="2">
                  <c:v>0.72709522088249723</c:v>
                </c:pt>
                <c:pt idx="3">
                  <c:v>0.3523128344636956</c:v>
                </c:pt>
                <c:pt idx="4">
                  <c:v>0.43785268492801727</c:v>
                </c:pt>
                <c:pt idx="5">
                  <c:v>0.3814683021691565</c:v>
                </c:pt>
                <c:pt idx="6">
                  <c:v>0.35687681038760638</c:v>
                </c:pt>
                <c:pt idx="7">
                  <c:v>0.27921190273129265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[8]图表!$P$7</c:f>
              <c:strCache>
                <c:ptCount val="1"/>
                <c:pt idx="0">
                  <c:v>人工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[8]图表!$Q$7:$AB$7</c:f>
              <c:numCache>
                <c:formatCode>General</c:formatCode>
                <c:ptCount val="12"/>
                <c:pt idx="0">
                  <c:v>5.7372749901121889</c:v>
                </c:pt>
                <c:pt idx="1">
                  <c:v>5.4857334508210487</c:v>
                </c:pt>
                <c:pt idx="2">
                  <c:v>7.6730159303916752</c:v>
                </c:pt>
                <c:pt idx="3">
                  <c:v>4.6592954527841091</c:v>
                </c:pt>
                <c:pt idx="4">
                  <c:v>4.7211791935425609</c:v>
                </c:pt>
                <c:pt idx="5">
                  <c:v>5.0946159617634708</c:v>
                </c:pt>
                <c:pt idx="6">
                  <c:v>3.9380872415174526</c:v>
                </c:pt>
                <c:pt idx="7">
                  <c:v>3.8549460119973338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[8]图表!$P$8</c:f>
              <c:strCache>
                <c:ptCount val="1"/>
                <c:pt idx="0">
                  <c:v>折旧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[8]图表!$Q$8:$AB$8</c:f>
              <c:numCache>
                <c:formatCode>General</c:formatCode>
                <c:ptCount val="12"/>
                <c:pt idx="0">
                  <c:v>1.6509725817491123</c:v>
                </c:pt>
                <c:pt idx="1">
                  <c:v>1.5018511209448424</c:v>
                </c:pt>
                <c:pt idx="2">
                  <c:v>1.799854638403346</c:v>
                </c:pt>
                <c:pt idx="3">
                  <c:v>1.3828843016427843</c:v>
                </c:pt>
                <c:pt idx="4">
                  <c:v>1.320626809548523</c:v>
                </c:pt>
                <c:pt idx="5">
                  <c:v>1.4744075832267038</c:v>
                </c:pt>
                <c:pt idx="6">
                  <c:v>1.198693306120161</c:v>
                </c:pt>
                <c:pt idx="7">
                  <c:v>1.0421926310282303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[8]图表!$P$9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[8]图表!$Q$9:$AB$9</c:f>
              <c:numCache>
                <c:formatCode>General</c:formatCode>
                <c:ptCount val="12"/>
                <c:pt idx="0">
                  <c:v>1.5227313333507011</c:v>
                </c:pt>
                <c:pt idx="1">
                  <c:v>2.9677458516638588</c:v>
                </c:pt>
                <c:pt idx="2">
                  <c:v>3.5706594975600936</c:v>
                </c:pt>
                <c:pt idx="3">
                  <c:v>2.3314886602772882</c:v>
                </c:pt>
                <c:pt idx="4">
                  <c:v>3.3691332036826869</c:v>
                </c:pt>
                <c:pt idx="5">
                  <c:v>2.9751332783118825</c:v>
                </c:pt>
                <c:pt idx="6">
                  <c:v>2.7073557171566631</c:v>
                </c:pt>
                <c:pt idx="7">
                  <c:v>1.8071775734424609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[8]图表!$P$10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[8]图表!$Q$10:$AB$10</c:f>
              <c:numCache>
                <c:formatCode>General</c:formatCode>
                <c:ptCount val="12"/>
                <c:pt idx="0">
                  <c:v>2.0253863114790982</c:v>
                </c:pt>
                <c:pt idx="1">
                  <c:v>2.0758242165450853</c:v>
                </c:pt>
                <c:pt idx="2">
                  <c:v>3.40641984456895</c:v>
                </c:pt>
                <c:pt idx="3">
                  <c:v>0.85836762512516596</c:v>
                </c:pt>
                <c:pt idx="4">
                  <c:v>1.7127136336589805</c:v>
                </c:pt>
                <c:pt idx="5">
                  <c:v>1.4446655824601886</c:v>
                </c:pt>
                <c:pt idx="6">
                  <c:v>1.5608533077028335</c:v>
                </c:pt>
                <c:pt idx="7">
                  <c:v>1.6581504325203718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[8]图表!$P$11</c:f>
              <c:strCache>
                <c:ptCount val="1"/>
                <c:pt idx="0">
                  <c:v>合计</c:v>
                </c:pt>
              </c:strCache>
            </c:strRef>
          </c:tx>
          <c:cat>
            <c:numRef>
              <c:f>[8]图表!$Q$1:$AB$1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[8]图表!$Q$11:$AB$11</c:f>
              <c:numCache>
                <c:formatCode>General</c:formatCode>
                <c:ptCount val="12"/>
                <c:pt idx="0">
                  <c:v>25.61577703990887</c:v>
                </c:pt>
                <c:pt idx="1">
                  <c:v>24.875066356142902</c:v>
                </c:pt>
                <c:pt idx="2">
                  <c:v>32.518894709664089</c:v>
                </c:pt>
                <c:pt idx="3">
                  <c:v>22.904469773045303</c:v>
                </c:pt>
                <c:pt idx="4">
                  <c:v>25.016443409013565</c:v>
                </c:pt>
                <c:pt idx="5">
                  <c:v>26.762487341348617</c:v>
                </c:pt>
                <c:pt idx="6">
                  <c:v>24.403507201983615</c:v>
                </c:pt>
                <c:pt idx="7">
                  <c:v>22.72799132809196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94272"/>
        <c:axId val="224695808"/>
      </c:lineChart>
      <c:catAx>
        <c:axId val="224694272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4695808"/>
        <c:crosses val="autoZero"/>
        <c:auto val="1"/>
        <c:lblAlgn val="ctr"/>
        <c:lblOffset val="100"/>
        <c:noMultiLvlLbl val="1"/>
      </c:catAx>
      <c:valAx>
        <c:axId val="2246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22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9952"/>
        <c:axId val="152751488"/>
      </c:lineChart>
      <c:catAx>
        <c:axId val="152749952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52751488"/>
        <c:crosses val="autoZero"/>
        <c:auto val="1"/>
        <c:lblAlgn val="ctr"/>
        <c:lblOffset val="100"/>
        <c:noMultiLvlLbl val="1"/>
      </c:catAx>
      <c:valAx>
        <c:axId val="1527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52749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15488"/>
        <c:axId val="163617024"/>
      </c:lineChart>
      <c:catAx>
        <c:axId val="163615488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63617024"/>
        <c:crosses val="autoZero"/>
        <c:auto val="1"/>
        <c:lblAlgn val="ctr"/>
        <c:lblOffset val="100"/>
        <c:noMultiLvlLbl val="1"/>
      </c:catAx>
      <c:valAx>
        <c:axId val="163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63615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58095877028822E-2"/>
          <c:y val="6.0173185898932453E-2"/>
          <c:w val="0.80097277638501452"/>
          <c:h val="0.88260019384369404"/>
        </c:manualLayout>
      </c:layout>
      <c:lineChart>
        <c:grouping val="standard"/>
        <c:varyColors val="0"/>
        <c:ser>
          <c:idx val="0"/>
          <c:order val="0"/>
          <c:tx>
            <c:strRef>
              <c:f>'C:\Users\Administrator\Desktop\2017年7月单盒成本\2017.6单盒成本\[2017年6月单盒成本.xlsx]图表'!$P$2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'C:\Users\Administrator\Desktop\2017年7月单盒成本\2017.6单盒成本\[2017年6月单盒成本.xlsx]图表'!$P$3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'C:\Users\Administrator\Desktop\2017年7月单盒成本\2017.6单盒成本\[2017年6月单盒成本.xlsx]图表'!$P$4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'C:\Users\Administrator\Desktop\2017年7月单盒成本\2017.6单盒成本\[2017年6月单盒成本.xlsx]图表'!$P$5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'C:\Users\Administrator\Desktop\2017年7月单盒成本\2017.6单盒成本\[2017年6月单盒成本.xlsx]图表'!$P$6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'C:\Users\Administrator\Desktop\2017年7月单盒成本\2017.6单盒成本\[2017年6月单盒成本.xlsx]图表'!$P$7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'C:\Users\Administrator\Desktop\2017年7月单盒成本\2017.6单盒成本\[2017年6月单盒成本.xlsx]图表'!$P$8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'C:\Users\Administrator\Desktop\2017年7月单盒成本\2017.6单盒成本\[2017年6月单盒成本.xlsx]图表'!$P$9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'C:\Users\Administrator\Desktop\2017年7月单盒成本\2017.6单盒成本\[2017年6月单盒成本.xlsx]图表'!$P$10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'C:\Users\Administrator\Desktop\2017年7月单盒成本\2017.6单盒成本\[2017年6月单盒成本.xlsx]图表'!$P$11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9936"/>
        <c:axId val="176218112"/>
      </c:lineChart>
      <c:catAx>
        <c:axId val="176199936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218112"/>
        <c:crosses val="autoZero"/>
        <c:auto val="1"/>
        <c:lblAlgn val="ctr"/>
        <c:lblOffset val="100"/>
        <c:noMultiLvlLbl val="1"/>
      </c:catAx>
      <c:valAx>
        <c:axId val="1762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199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09376"/>
        <c:axId val="176310912"/>
      </c:lineChart>
      <c:catAx>
        <c:axId val="176309376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310912"/>
        <c:crosses val="autoZero"/>
        <c:auto val="1"/>
        <c:lblAlgn val="ctr"/>
        <c:lblOffset val="100"/>
        <c:noMultiLvlLbl val="1"/>
      </c:catAx>
      <c:valAx>
        <c:axId val="1763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309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58368"/>
        <c:axId val="176484736"/>
      </c:lineChart>
      <c:catAx>
        <c:axId val="176458368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484736"/>
        <c:crosses val="autoZero"/>
        <c:auto val="1"/>
        <c:lblAlgn val="ctr"/>
        <c:lblOffset val="100"/>
        <c:noMultiLvlLbl val="1"/>
      </c:catAx>
      <c:valAx>
        <c:axId val="1764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45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40160"/>
        <c:axId val="176941696"/>
      </c:lineChart>
      <c:catAx>
        <c:axId val="176940160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941696"/>
        <c:crosses val="autoZero"/>
        <c:auto val="1"/>
        <c:lblAlgn val="ctr"/>
        <c:lblOffset val="100"/>
        <c:noMultiLvlLbl val="1"/>
      </c:catAx>
      <c:valAx>
        <c:axId val="1769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69401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58095877028822E-2"/>
          <c:y val="6.0173185898932453E-2"/>
          <c:w val="0.80097277638501452"/>
          <c:h val="0.88260019384369404"/>
        </c:manualLayout>
      </c:layout>
      <c:lineChart>
        <c:grouping val="standard"/>
        <c:varyColors val="0"/>
        <c:ser>
          <c:idx val="0"/>
          <c:order val="0"/>
          <c:tx>
            <c:strRef>
              <c:f>'C:\Users\Administrator\Desktop\2019年5月单盒成本\2019年4月单盒成本\2019年3月单盒成本\[2019年3月单盒成本.xlsx]图表'!$P$2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[21]图表!$Q$2:$AC$2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'C:\Users\Administrator\Desktop\2019年5月单盒成本\2019年4月单盒成本\2019年3月单盒成本\[2019年3月单盒成本.xlsx]图表'!$P$3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[21]图表!$Q$3:$AC$3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2"/>
          <c:order val="2"/>
          <c:tx>
            <c:strRef>
              <c:f>'C:\Users\Administrator\Desktop\2019年5月单盒成本\2019年4月单盒成本\2019年3月单盒成本\[2019年3月单盒成本.xlsx]图表'!$P$4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[21]图表!$Q$4:$AC$4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'C:\Users\Administrator\Desktop\2019年5月单盒成本\2019年4月单盒成本\2019年3月单盒成本\[2019年3月单盒成本.xlsx]图表'!$P$5</c:f>
              <c:strCache>
                <c:ptCount val="1"/>
                <c:pt idx="0">
                  <c:v>#REF!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[21]图表!$Q$5:$AC$5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'C:\Users\Administrator\Desktop\2019年5月单盒成本\2019年4月单盒成本\2019年3月单盒成本\[2019年3月单盒成本.xlsx]图表'!$P$6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[21]图表!$Q$6:$AC$6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5"/>
          <c:order val="5"/>
          <c:tx>
            <c:strRef>
              <c:f>'C:\Users\Administrator\Desktop\2019年5月单盒成本\2019年4月单盒成本\2019年3月单盒成本\[2019年3月单盒成本.xlsx]图表'!$P$7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[21]图表!$Q$7:$AC$7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6"/>
          <c:order val="6"/>
          <c:tx>
            <c:strRef>
              <c:f>'C:\Users\Administrator\Desktop\2019年5月单盒成本\2019年4月单盒成本\2019年3月单盒成本\[2019年3月单盒成本.xlsx]图表'!$P$8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[21]图表!$Q$8:$AC$8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7"/>
          <c:order val="7"/>
          <c:tx>
            <c:strRef>
              <c:f>'C:\Users\Administrator\Desktop\2019年5月单盒成本\2019年4月单盒成本\2019年3月单盒成本\[2019年3月单盒成本.xlsx]图表'!$P$9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[21]图表!$Q$9:$AC$9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8"/>
          <c:order val="8"/>
          <c:tx>
            <c:strRef>
              <c:f>'C:\Users\Administrator\Desktop\2019年5月单盒成本\2019年4月单盒成本\2019年3月单盒成本\[2019年3月单盒成本.xlsx]图表'!$P$10</c:f>
              <c:strCache>
                <c:ptCount val="1"/>
                <c:pt idx="0">
                  <c:v>#REF!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[21]图表!$Q$1:$AC$1</c:f>
              <c:numCache>
                <c:formatCode>General</c:formatCode>
                <c:ptCount val="13"/>
              </c:numCache>
            </c:numRef>
          </c:cat>
          <c:val>
            <c:numRef>
              <c:f>[21]图表!$Q$10:$AC$10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9776"/>
        <c:axId val="177804416"/>
      </c:lineChart>
      <c:catAx>
        <c:axId val="177339776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7804416"/>
        <c:crosses val="autoZero"/>
        <c:auto val="1"/>
        <c:lblAlgn val="ctr"/>
        <c:lblOffset val="100"/>
        <c:noMultiLvlLbl val="1"/>
      </c:catAx>
      <c:valAx>
        <c:axId val="1778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7339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47462817147856"/>
          <c:y val="7.4548702245552628E-2"/>
          <c:w val="0.65896981627296602"/>
          <c:h val="0.77243438320209978"/>
        </c:manualLayout>
      </c:layout>
      <c:lineChart>
        <c:grouping val="standard"/>
        <c:varyColors val="0"/>
        <c:ser>
          <c:idx val="0"/>
          <c:order val="0"/>
          <c:tx>
            <c:strRef>
              <c:f>[32]图表!$P$2</c:f>
              <c:strCache>
                <c:ptCount val="1"/>
                <c:pt idx="0">
                  <c:v>菜品单价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[32]图表!$Q$2:$AB$2</c:f>
              <c:numCache>
                <c:formatCode>General</c:formatCode>
                <c:ptCount val="12"/>
                <c:pt idx="0">
                  <c:v>7.6946366780952387</c:v>
                </c:pt>
                <c:pt idx="1">
                  <c:v>8.1174583904444884</c:v>
                </c:pt>
                <c:pt idx="2">
                  <c:v>7.6400886286648761</c:v>
                </c:pt>
                <c:pt idx="3">
                  <c:v>7.6957063514456703</c:v>
                </c:pt>
                <c:pt idx="4">
                  <c:v>8.3823221221601401</c:v>
                </c:pt>
                <c:pt idx="5">
                  <c:v>8.3640989459477524</c:v>
                </c:pt>
                <c:pt idx="6">
                  <c:v>7.9956763153826387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[32]图表!$P$3</c:f>
              <c:strCache>
                <c:ptCount val="1"/>
                <c:pt idx="0">
                  <c:v>制造费用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[32]图表!$Q$3:$AB$3</c:f>
              <c:numCache>
                <c:formatCode>General</c:formatCode>
                <c:ptCount val="12"/>
                <c:pt idx="0">
                  <c:v>0.93004028952380946</c:v>
                </c:pt>
                <c:pt idx="1">
                  <c:v>0.73109128747370367</c:v>
                </c:pt>
                <c:pt idx="2">
                  <c:v>0.7302300646341926</c:v>
                </c:pt>
                <c:pt idx="3">
                  <c:v>0.53032798601107622</c:v>
                </c:pt>
                <c:pt idx="4">
                  <c:v>0.53032798601107622</c:v>
                </c:pt>
                <c:pt idx="5">
                  <c:v>3.2476334166255207</c:v>
                </c:pt>
                <c:pt idx="6">
                  <c:v>0.51946230027303741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[32]图表!$P$4</c:f>
              <c:strCache>
                <c:ptCount val="1"/>
                <c:pt idx="0">
                  <c:v>水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[32]图表!$Q$4:$AB$4</c:f>
              <c:numCache>
                <c:formatCode>General</c:formatCode>
                <c:ptCount val="12"/>
                <c:pt idx="0">
                  <c:v>0.34662384761904763</c:v>
                </c:pt>
                <c:pt idx="1">
                  <c:v>0</c:v>
                </c:pt>
                <c:pt idx="2">
                  <c:v>0.44602789296421758</c:v>
                </c:pt>
                <c:pt idx="3">
                  <c:v>0.17866967878940881</c:v>
                </c:pt>
                <c:pt idx="4">
                  <c:v>0.16423982248698138</c:v>
                </c:pt>
                <c:pt idx="5">
                  <c:v>0.19229845481847838</c:v>
                </c:pt>
                <c:pt idx="6">
                  <c:v>0.15309892240334749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[32]图表!$P$5</c:f>
              <c:strCache>
                <c:ptCount val="1"/>
                <c:pt idx="0">
                  <c:v>电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[32]图表!$Q$5:$AB$5</c:f>
              <c:numCache>
                <c:formatCode>General</c:formatCode>
                <c:ptCount val="12"/>
                <c:pt idx="0">
                  <c:v>1.4698407923809524</c:v>
                </c:pt>
                <c:pt idx="1">
                  <c:v>1.0905929016483158</c:v>
                </c:pt>
                <c:pt idx="2">
                  <c:v>1.2261015798388037</c:v>
                </c:pt>
                <c:pt idx="3">
                  <c:v>0.84228268536806306</c:v>
                </c:pt>
                <c:pt idx="4">
                  <c:v>1.0100133134763964</c:v>
                </c:pt>
                <c:pt idx="5">
                  <c:v>1.3554892212431735</c:v>
                </c:pt>
                <c:pt idx="6">
                  <c:v>1.1242319821639175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[32]图表!$P$6</c:f>
              <c:strCache>
                <c:ptCount val="1"/>
                <c:pt idx="0">
                  <c:v>天然气</c:v>
                </c:pt>
              </c:strCache>
            </c:strRef>
          </c:tx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[32]图表!$Q$6:$AB$6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2.3652486566989839</c:v>
                </c:pt>
                <c:pt idx="3">
                  <c:v>0</c:v>
                </c:pt>
                <c:pt idx="4">
                  <c:v>0</c:v>
                </c:pt>
                <c:pt idx="5">
                  <c:v>0.90149945346237514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[32]图表!$P$7</c:f>
              <c:strCache>
                <c:ptCount val="1"/>
                <c:pt idx="0">
                  <c:v>人工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[32]图表!$Q$7:$AB$7</c:f>
              <c:numCache>
                <c:formatCode>General</c:formatCode>
                <c:ptCount val="12"/>
                <c:pt idx="0">
                  <c:v>4.2964876495238098</c:v>
                </c:pt>
                <c:pt idx="1">
                  <c:v>4.5253073207713896</c:v>
                </c:pt>
                <c:pt idx="2">
                  <c:v>4.7265884777868621</c:v>
                </c:pt>
                <c:pt idx="3">
                  <c:v>5.9485566313726066</c:v>
                </c:pt>
                <c:pt idx="4">
                  <c:v>4.2047071135143783</c:v>
                </c:pt>
                <c:pt idx="5">
                  <c:v>4.8628662502775812</c:v>
                </c:pt>
                <c:pt idx="6">
                  <c:v>3.7616605328206538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[32]图表!$P$8</c:f>
              <c:strCache>
                <c:ptCount val="1"/>
                <c:pt idx="0">
                  <c:v>折旧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[32]图表!$Q$8:$AB$8</c:f>
              <c:numCache>
                <c:formatCode>General</c:formatCode>
                <c:ptCount val="12"/>
                <c:pt idx="0">
                  <c:v>6.492842788571429</c:v>
                </c:pt>
                <c:pt idx="1">
                  <c:v>5.34827521802654</c:v>
                </c:pt>
                <c:pt idx="2">
                  <c:v>5.1845190398317955</c:v>
                </c:pt>
                <c:pt idx="3">
                  <c:v>3.9547365568244257</c:v>
                </c:pt>
                <c:pt idx="4">
                  <c:v>4.2588412277983787</c:v>
                </c:pt>
                <c:pt idx="5">
                  <c:v>4.5932100623290042</c:v>
                </c:pt>
                <c:pt idx="6">
                  <c:v>3.8920246861721894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[32]图表!$P$9</c:f>
              <c:strCache>
                <c:ptCount val="1"/>
                <c:pt idx="0">
                  <c:v>分拨配送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[32]图表!$Q$9:$AB$9</c:f>
              <c:numCache>
                <c:formatCode>General</c:formatCode>
                <c:ptCount val="12"/>
                <c:pt idx="0">
                  <c:v>2.5640854857142861</c:v>
                </c:pt>
                <c:pt idx="1">
                  <c:v>2.3645935443057042</c:v>
                </c:pt>
                <c:pt idx="2">
                  <c:v>2.563113197445781</c:v>
                </c:pt>
                <c:pt idx="3">
                  <c:v>2.6287797190335467</c:v>
                </c:pt>
                <c:pt idx="4">
                  <c:v>1.7275513398434768</c:v>
                </c:pt>
                <c:pt idx="5">
                  <c:v>2.2252565277289693</c:v>
                </c:pt>
                <c:pt idx="6">
                  <c:v>1.9089190267702798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[32]图表!$P$10</c:f>
              <c:strCache>
                <c:ptCount val="1"/>
                <c:pt idx="0">
                  <c:v>管理费用</c:v>
                </c:pt>
              </c:strCache>
            </c:strRef>
          </c:tx>
          <c:dLbls>
            <c:numFmt formatCode="#,##0.00_);[Red]\(#,##0.00\)" sourceLinked="0"/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[32]图表!$Q$1:$AB$1</c:f>
              <c:numCache>
                <c:formatCode>General</c:formatCode>
                <c:ptCount val="12"/>
                <c:pt idx="0">
                  <c:v>42005</c:v>
                </c:pt>
                <c:pt idx="1">
                  <c:v>42037</c:v>
                </c:pt>
                <c:pt idx="2">
                  <c:v>42066</c:v>
                </c:pt>
                <c:pt idx="3">
                  <c:v>42098</c:v>
                </c:pt>
                <c:pt idx="4">
                  <c:v>42129</c:v>
                </c:pt>
                <c:pt idx="5">
                  <c:v>42161</c:v>
                </c:pt>
                <c:pt idx="6">
                  <c:v>42192</c:v>
                </c:pt>
                <c:pt idx="7">
                  <c:v>42224</c:v>
                </c:pt>
                <c:pt idx="8">
                  <c:v>42256</c:v>
                </c:pt>
                <c:pt idx="9">
                  <c:v>42287</c:v>
                </c:pt>
                <c:pt idx="10">
                  <c:v>42319</c:v>
                </c:pt>
                <c:pt idx="11">
                  <c:v>42350</c:v>
                </c:pt>
              </c:numCache>
            </c:numRef>
          </c:cat>
          <c:val>
            <c:numRef>
              <c:f>[32]图表!$Q$10:$AB$10</c:f>
              <c:numCache>
                <c:formatCode>General</c:formatCode>
                <c:ptCount val="12"/>
                <c:pt idx="0">
                  <c:v>4.4608407771428569</c:v>
                </c:pt>
                <c:pt idx="1">
                  <c:v>4.0770605704588476</c:v>
                </c:pt>
                <c:pt idx="2">
                  <c:v>3.4094146419810767</c:v>
                </c:pt>
                <c:pt idx="3">
                  <c:v>-2.0295250152214912</c:v>
                </c:pt>
                <c:pt idx="4">
                  <c:v>1.4246133394636626</c:v>
                </c:pt>
                <c:pt idx="5">
                  <c:v>1.5346357386019418</c:v>
                </c:pt>
                <c:pt idx="6">
                  <c:v>1.1806753154433978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7728"/>
        <c:axId val="179220480"/>
      </c:lineChart>
      <c:catAx>
        <c:axId val="179177728"/>
        <c:scaling>
          <c:orientation val="minMax"/>
        </c:scaling>
        <c:delete val="0"/>
        <c:axPos val="b"/>
        <c:numFmt formatCode="m&quot;月&quot;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9220480"/>
        <c:crosses val="autoZero"/>
        <c:auto val="1"/>
        <c:lblAlgn val="ctr"/>
        <c:lblOffset val="100"/>
        <c:noMultiLvlLbl val="1"/>
      </c:catAx>
      <c:valAx>
        <c:axId val="1792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791777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123825</xdr:rowOff>
    </xdr:from>
    <xdr:to>
      <xdr:col>14</xdr:col>
      <xdr:colOff>542925</xdr:colOff>
      <xdr:row>41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542925</xdr:colOff>
      <xdr:row>37</xdr:row>
      <xdr:rowOff>95250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</xdr:row>
      <xdr:rowOff>123825</xdr:rowOff>
    </xdr:from>
    <xdr:to>
      <xdr:col>14</xdr:col>
      <xdr:colOff>542925</xdr:colOff>
      <xdr:row>41</xdr:row>
      <xdr:rowOff>28575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542925</xdr:colOff>
      <xdr:row>37</xdr:row>
      <xdr:rowOff>95250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552450</xdr:colOff>
      <xdr:row>0</xdr:row>
      <xdr:rowOff>0</xdr:rowOff>
    </xdr:from>
    <xdr:to>
      <xdr:col>14</xdr:col>
      <xdr:colOff>514350</xdr:colOff>
      <xdr:row>37</xdr:row>
      <xdr:rowOff>19050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19050</xdr:colOff>
      <xdr:row>0</xdr:row>
      <xdr:rowOff>0</xdr:rowOff>
    </xdr:from>
    <xdr:to>
      <xdr:col>14</xdr:col>
      <xdr:colOff>590550</xdr:colOff>
      <xdr:row>37</xdr:row>
      <xdr:rowOff>19050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9&#24180;1&#26376;&#21333;&#30418;&#25104;&#26412;/2019&#24180;1&#26376;&#21333;&#30418;&#25104;&#2641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9&#26376;&#21253;&#26448;&#31867;&#8212;&#20854;&#20182;&#20986;&#24211;&#25253;&#34920;&#25968;&#25454;-2019_10_08-09_05_2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9&#26376;&#35843;&#26009;&#31867;&#8212;&#8212;&#20854;&#20182;&#20986;&#24211;&#25253;&#34920;&#25968;&#25454;-2019_10_08-09_03_4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8&#24180;12&#26376;&#21333;&#30418;&#25104;&#26412;/2018&#24180;11&#26376;&#21333;&#30418;&#25104;&#26412;/2018&#24180;10&#26376;&#21333;&#30418;&#25104;&#26412;/2018&#24180;9&#26376;&#21333;&#30418;&#25104;&#26412;/2018&#24180;8&#26376;&#21333;&#30418;&#25104;&#26412;/2018&#24180;7&#26376;&#21333;&#30418;&#25104;&#26412;/2018&#24180;6&#26376;&#21333;&#30418;&#25104;&#26412;/2018&#24180;5&#26376;&#21333;&#30418;&#25104;&#26412;/2018&#24180;4&#26376;&#21333;&#30418;&#25104;&#26412;/2018&#24180;4&#26376;&#21333;&#30418;&#25104;&#2641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3;&#30418;&#25104;&#26412;&#26680;&#31639;\2017&#24180;&#25104;&#26412;&#32479;&#35745;\2017&#24180;&#21333;&#30418;&#25104;&#26412;\2017&#24180;12&#26376;&#21333;&#30418;&#25104;&#26412;\2017&#24180;11&#26376;&#21333;&#30418;&#25104;&#26412;\2017&#24180;10&#26376;&#21333;&#30418;&#25104;&#26412;\2017&#24180;8&#26376;&#21333;&#30418;&#25104;&#26412;\2017&#24180;7&#26376;&#21333;&#30418;&#25104;&#26412;\2017.6&#21333;&#30418;&#25104;&#26412;\2017.5&#21333;&#30418;&#25104;&#26412;\2017.4&#21333;&#30418;&#25104;&#26412;\2017&#24180;4&#26376;&#21333;&#30418;&#25104;&#26412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8&#24180;12&#26376;&#21333;&#30418;&#25104;&#26412;/2018&#24180;11&#26376;&#21333;&#30418;&#25104;&#26412;/2018&#24180;10&#26376;&#21333;&#30418;&#25104;&#26412;/2018&#24180;10&#26376;&#21333;&#30418;&#25104;&#26412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8&#24180;12&#26376;&#21333;&#30418;&#25104;&#26412;/2018&#24180;11&#26376;&#21333;&#30418;&#25104;&#26412;/2018&#24180;11&#26376;&#21333;&#30418;&#25104;&#26412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8&#24180;12&#26376;&#21333;&#30418;&#25104;&#26412;/2018&#24180;12&#26376;&#21333;&#30418;&#25104;&#2641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3;&#30418;&#25104;&#26412;&#26680;&#31639;\2017&#24180;&#25104;&#26412;&#32479;&#35745;\2017&#24180;&#21333;&#30418;&#25104;&#26412;\2017&#24180;12&#26376;&#21333;&#30418;&#25104;&#26412;\2017&#24180;11&#26376;&#21333;&#30418;&#25104;&#26412;\2017&#24180;10&#26376;&#21333;&#30418;&#25104;&#26412;\2017&#24180;9&#26376;&#21333;&#30418;&#25104;&#26412;\2017&#24180;8&#26376;&#21333;&#30418;&#25104;&#26412;\2017&#24180;7&#26376;&#21333;&#30418;&#25104;&#26412;\2017.6&#21333;&#30418;&#25104;&#26412;\2017.5&#21333;&#30418;&#25104;&#26412;\2017.4&#21333;&#30418;&#25104;&#26412;\2017.3&#21333;&#30418;&#25104;&#26412;\2017.2&#21333;&#30418;&#25104;&#26412;\&#21253;&#26448;&#8212;&#20854;&#20182;&#20986;&#24211;&#25253;&#34920;&#25968;&#25454;-2017_03_03-14_06_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3&#26376;&#21253;&#26448;&#31867;&#8212;&#20854;&#20182;&#20986;&#24211;&#25253;&#34920;&#25968;&#25454;-2019_04_01-14_56_5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9&#24180;1&#26376;&#21333;&#30418;&#25104;&#26412;/2019&#24180;1&#26376;&#21253;&#26448;&#31867;&#8212;&#20854;&#20182;&#20986;&#24211;&#25253;&#34920;&#25968;&#25454;-2019_01_31-10_28_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9&#24180;2&#26376;&#21333;&#30418;&#25104;&#26412;%20(&#33258;&#21160;&#20445;&#23384;&#30340;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9&#24180;2&#26376;&#21253;&#26448;&#31867;&#8212;&#20854;&#20182;&#20986;&#24211;&#25253;&#34920;&#25968;&#25454;-2019_03_06-10_23_2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3;&#30418;&#25104;&#26412;&#26680;&#31639;\2019&#24180;&#25104;&#26412;&#32479;&#35745;\2019&#24180;&#21333;&#30418;&#25104;&#26412;\2019&#24180;1&#26376;&#21333;&#30418;&#25104;&#26412;\2019&#24180;1&#26376;&#21333;&#30418;&#25104;&#26412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3;&#30418;&#25104;&#26412;&#26680;&#31639;\2019&#24180;&#25104;&#26412;&#32479;&#35745;\2019&#24180;&#21333;&#30418;&#25104;&#26412;\2019&#24180;2&#26376;&#21333;&#30418;&#25104;&#26412;\2019&#24180;2&#26376;&#21333;&#30418;&#25104;&#26412;%20(&#33258;&#21160;&#20445;&#23384;&#30340;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3&#26376;&#21333;&#30418;&#25104;&#26412;/2019&#24180;3&#26376;&#21333;&#30418;&#25104;&#26412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4&#26376;&#21333;&#30418;&#25104;&#26412;/2019&#24180;4&#26376;&#21333;&#30418;&#25104;&#2641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5&#26376;&#21333;&#30418;&#25104;&#26412;/2019&#24180;5&#26376;&#21333;&#30418;&#25104;&#26412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9&#24180;1&#26376;&#21333;&#30418;&#25104;&#26412;/2019&#24180;1&#26376;&#21333;&#30418;&#25104;&#26412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6&#26376;&#21333;&#30418;&#25104;&#26412;/2019&#24180;5&#26376;&#21333;&#30418;&#25104;&#26412;/2019&#24180;4&#26376;&#21333;&#30418;&#25104;&#26412;/2019&#24180;3&#26376;&#21333;&#30418;&#25104;&#26412;/2019&#24180;2&#26376;&#21333;&#30418;&#25104;&#26412;/2019&#24180;2&#26376;&#21333;&#30418;&#25104;&#26412;%20(&#33258;&#21160;&#20445;&#23384;&#30340;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6&#26376;&#21333;&#30418;&#25104;&#26412;/2019&#24180;5&#26376;&#21333;&#30418;&#25104;&#26412;/2019&#24180;4&#26376;&#21333;&#30418;&#25104;&#26412;/2019&#24180;3&#26376;&#21333;&#30418;&#25104;&#26412;/2019&#24180;3&#26376;&#21333;&#30418;&#25104;&#2641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6&#26376;&#21333;&#30418;&#25104;&#26412;/2019&#24180;5&#26376;&#21333;&#30418;&#25104;&#26412;/2019&#24180;4&#26376;&#21333;&#30418;&#25104;&#26412;/2019&#24180;4&#26376;&#21333;&#30418;&#25104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3&#26376;&#21333;&#30418;&#25104;&#26412;/2019&#24180;3&#26376;&#21333;&#30418;&#25104;&#26412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6&#26376;&#21333;&#30418;&#25104;&#26412;/2019&#24180;5&#26376;&#21333;&#30418;&#25104;&#26412;/2019&#24180;5&#26376;&#21333;&#30418;&#25104;&#26412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6&#26376;&#21333;&#30418;&#25104;&#26412;/2019&#24180;6&#26376;&#21333;&#30418;&#25104;&#2641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333;&#30418;&#25104;&#26412;&#26680;&#31639;\2015&#24180;&#25104;&#26412;&#32479;&#35745;&#25253;&#34920;\2015.6\2015&#24180;6&#26376;&#21333;&#30418;&#25104;&#26412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17&#24180;7&#26376;&#21333;&#30418;&#25104;&#26412;/2017.6&#21333;&#30418;&#25104;&#26412;/2017&#24180;6&#26376;&#21333;&#30418;&#25104;&#26412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19&#24180;5&#26376;&#21333;&#30418;&#25104;&#26412;/2019&#24180;4&#26376;&#21333;&#30418;&#25104;&#26412;/2019&#24180;3&#26376;&#21333;&#30418;&#25104;&#26412;/2019&#24180;3&#26376;&#21333;&#30418;&#25104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4&#26376;&#21333;&#30418;&#25104;&#26412;/2019&#24180;4&#26376;&#21333;&#30418;&#25104;&#2641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5&#26376;&#21333;&#30418;&#25104;&#26412;/2019&#24180;5&#26376;&#21333;&#30418;&#25104;&#2641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6&#26376;&#21333;&#30418;&#25104;&#26412;/2019&#24180;6&#26376;&#21333;&#30418;&#25104;&#2641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7&#26376;&#21333;&#30418;&#25104;&#26412;/2019&#24180;7&#26376;&#21333;&#30418;&#25104;&#2641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8&#26376;&#21333;&#30418;&#25104;&#26412;/2019&#24180;8&#26376;&#21333;&#30418;&#25104;&#2641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9&#26376;&#8212;&#23436;&#24037;&#20135;&#21697;&#25104;&#26412;&#27719;&#24635;&#34920;&#25968;&#25454;-2019_09_29-11_17_3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对比"/>
    </sheetNames>
    <sheetDataSet>
      <sheetData sheetId="0" refreshError="1">
        <row r="7">
          <cell r="A7" t="str">
            <v>商务赠送套餐</v>
          </cell>
        </row>
      </sheetData>
      <sheetData sheetId="1" refreshError="1">
        <row r="3">
          <cell r="D3">
            <v>1349</v>
          </cell>
          <cell r="E3">
            <v>56</v>
          </cell>
          <cell r="F3">
            <v>1293</v>
          </cell>
          <cell r="R3">
            <v>1925.4441521200131</v>
          </cell>
        </row>
        <row r="5">
          <cell r="D5">
            <v>1999</v>
          </cell>
          <cell r="E5">
            <v>56</v>
          </cell>
          <cell r="R5">
            <v>5920.6409880658812</v>
          </cell>
        </row>
        <row r="6">
          <cell r="C6" t="str">
            <v>15元牛肉馅饼</v>
          </cell>
          <cell r="D6">
            <v>2058</v>
          </cell>
          <cell r="E6">
            <v>56</v>
          </cell>
          <cell r="R6">
            <v>7573.682654713275</v>
          </cell>
        </row>
        <row r="7">
          <cell r="F7">
            <v>3945</v>
          </cell>
          <cell r="R7">
            <v>13494.32364277916</v>
          </cell>
        </row>
        <row r="8">
          <cell r="D8">
            <v>32311</v>
          </cell>
          <cell r="E8">
            <v>62</v>
          </cell>
          <cell r="R8">
            <v>110711.82456733941</v>
          </cell>
        </row>
        <row r="9">
          <cell r="F9">
            <v>32249</v>
          </cell>
          <cell r="R9">
            <v>110711.82456733941</v>
          </cell>
        </row>
        <row r="10">
          <cell r="D10">
            <v>10975</v>
          </cell>
          <cell r="E10">
            <v>62</v>
          </cell>
          <cell r="R10">
            <v>54426.875567563759</v>
          </cell>
        </row>
        <row r="11">
          <cell r="F11">
            <v>10913</v>
          </cell>
          <cell r="R11">
            <v>54426.875567563759</v>
          </cell>
        </row>
        <row r="12">
          <cell r="D12">
            <v>2975</v>
          </cell>
          <cell r="E12">
            <v>62</v>
          </cell>
          <cell r="R12">
            <v>18014.353618229416</v>
          </cell>
        </row>
        <row r="13">
          <cell r="F13">
            <v>2913</v>
          </cell>
          <cell r="R13">
            <v>18014.353618229416</v>
          </cell>
        </row>
        <row r="14">
          <cell r="D14">
            <v>19216</v>
          </cell>
          <cell r="E14">
            <v>62</v>
          </cell>
          <cell r="R14">
            <v>180483.07655100487</v>
          </cell>
        </row>
        <row r="15">
          <cell r="D15">
            <v>53179</v>
          </cell>
          <cell r="E15">
            <v>62</v>
          </cell>
          <cell r="R15">
            <v>375754.2317907344</v>
          </cell>
        </row>
        <row r="16">
          <cell r="D16">
            <v>55371</v>
          </cell>
          <cell r="E16">
            <v>67</v>
          </cell>
          <cell r="R16">
            <v>364771.15167676588</v>
          </cell>
        </row>
        <row r="17">
          <cell r="D17">
            <v>5503</v>
          </cell>
          <cell r="E17">
            <v>62</v>
          </cell>
          <cell r="R17">
            <v>46157.0221078635</v>
          </cell>
        </row>
        <row r="18">
          <cell r="C18" t="str">
            <v>45元香菇卤肉饭套餐</v>
          </cell>
          <cell r="D18">
            <v>39957</v>
          </cell>
          <cell r="E18">
            <v>62</v>
          </cell>
          <cell r="R18">
            <v>258014.42037184606</v>
          </cell>
        </row>
        <row r="19">
          <cell r="C19" t="str">
            <v>45元椒香水煮鱼套餐</v>
          </cell>
          <cell r="D19">
            <v>16757</v>
          </cell>
          <cell r="E19">
            <v>62</v>
          </cell>
          <cell r="R19">
            <v>202113.16913854145</v>
          </cell>
        </row>
        <row r="20">
          <cell r="F20">
            <v>189606</v>
          </cell>
          <cell r="R20">
            <v>1427293.0716367562</v>
          </cell>
        </row>
        <row r="21">
          <cell r="D21">
            <v>15838</v>
          </cell>
          <cell r="E21">
            <v>62</v>
          </cell>
          <cell r="R21">
            <v>173577.07557990763</v>
          </cell>
        </row>
        <row r="22">
          <cell r="D22">
            <v>15158</v>
          </cell>
          <cell r="E22">
            <v>62</v>
          </cell>
          <cell r="R22">
            <v>222508.5118049116</v>
          </cell>
        </row>
        <row r="23">
          <cell r="D23">
            <v>30996</v>
          </cell>
          <cell r="E23">
            <v>124</v>
          </cell>
          <cell r="F23">
            <v>30872</v>
          </cell>
          <cell r="R23">
            <v>396085.58738481923</v>
          </cell>
        </row>
        <row r="24">
          <cell r="C24" t="str">
            <v>65元椒香大虾套餐</v>
          </cell>
          <cell r="D24">
            <v>3426</v>
          </cell>
          <cell r="E24">
            <v>62</v>
          </cell>
          <cell r="R24">
            <v>74941.86492614873</v>
          </cell>
        </row>
        <row r="25">
          <cell r="C25" t="str">
            <v>65元椒香肥牛套餐</v>
          </cell>
          <cell r="D25">
            <v>9163</v>
          </cell>
          <cell r="E25">
            <v>67</v>
          </cell>
          <cell r="R25">
            <v>165657.59933657816</v>
          </cell>
        </row>
        <row r="26">
          <cell r="C26" t="str">
            <v>65元椒香牛蛙套餐</v>
          </cell>
          <cell r="D26">
            <v>1788</v>
          </cell>
          <cell r="E26">
            <v>62</v>
          </cell>
          <cell r="R26">
            <v>50045.415916329584</v>
          </cell>
        </row>
        <row r="27">
          <cell r="C27" t="str">
            <v>65元水晶虾仁</v>
          </cell>
          <cell r="D27">
            <v>16206</v>
          </cell>
          <cell r="E27">
            <v>62</v>
          </cell>
          <cell r="R27">
            <v>303526.04695409711</v>
          </cell>
        </row>
        <row r="28">
          <cell r="C28" t="str">
            <v>65元杏鲍菇炖牛肉</v>
          </cell>
          <cell r="D28">
            <v>36778</v>
          </cell>
          <cell r="E28">
            <v>62</v>
          </cell>
          <cell r="R28">
            <v>743533.1722972393</v>
          </cell>
        </row>
        <row r="29">
          <cell r="F29">
            <v>67046</v>
          </cell>
          <cell r="R29">
            <v>1337704.0994303927</v>
          </cell>
        </row>
        <row r="30">
          <cell r="D30">
            <v>69700</v>
          </cell>
          <cell r="R30">
            <v>869387.3132613909</v>
          </cell>
        </row>
        <row r="31">
          <cell r="D31">
            <v>13700</v>
          </cell>
          <cell r="R31">
            <v>148016.6467386091</v>
          </cell>
        </row>
        <row r="32">
          <cell r="F32">
            <v>83400</v>
          </cell>
          <cell r="R32">
            <v>1017403.9599999997</v>
          </cell>
        </row>
        <row r="33">
          <cell r="F33">
            <v>422237</v>
          </cell>
          <cell r="R33">
            <v>4377059.54</v>
          </cell>
          <cell r="T33">
            <v>82775.39</v>
          </cell>
          <cell r="U33">
            <v>481782.91</v>
          </cell>
          <cell r="V33">
            <v>562608.73</v>
          </cell>
          <cell r="W33">
            <v>2422489.7800000003</v>
          </cell>
          <cell r="X33">
            <v>697101.71</v>
          </cell>
        </row>
      </sheetData>
      <sheetData sheetId="2" refreshError="1"/>
      <sheetData sheetId="3" refreshError="1">
        <row r="4">
          <cell r="H4">
            <v>1293</v>
          </cell>
        </row>
        <row r="6">
          <cell r="H6">
            <v>1943</v>
          </cell>
        </row>
        <row r="7">
          <cell r="C7" t="str">
            <v>15元牛肉馅饼</v>
          </cell>
          <cell r="H7">
            <v>2002</v>
          </cell>
        </row>
        <row r="12">
          <cell r="H12">
            <v>32249</v>
          </cell>
        </row>
        <row r="17">
          <cell r="H17">
            <v>10913</v>
          </cell>
        </row>
        <row r="19">
          <cell r="H19">
            <v>2913</v>
          </cell>
        </row>
        <row r="23">
          <cell r="H23">
            <v>19154</v>
          </cell>
        </row>
        <row r="24">
          <cell r="H24">
            <v>53117</v>
          </cell>
        </row>
        <row r="26">
          <cell r="H26">
            <v>55304</v>
          </cell>
        </row>
        <row r="27">
          <cell r="H27">
            <v>5441</v>
          </cell>
        </row>
        <row r="28">
          <cell r="C28" t="str">
            <v>45元香菇卤肉饭套餐</v>
          </cell>
          <cell r="H28">
            <v>39895</v>
          </cell>
        </row>
        <row r="29">
          <cell r="C29" t="str">
            <v>45元椒香水煮鱼套餐</v>
          </cell>
          <cell r="H29">
            <v>16695</v>
          </cell>
        </row>
        <row r="31">
          <cell r="H31">
            <v>15776</v>
          </cell>
        </row>
        <row r="32">
          <cell r="H32">
            <v>15096</v>
          </cell>
        </row>
        <row r="34">
          <cell r="C34" t="str">
            <v>65元椒香大虾套餐</v>
          </cell>
          <cell r="H34">
            <v>3364</v>
          </cell>
        </row>
        <row r="35">
          <cell r="C35" t="str">
            <v>65元椒香肥牛套餐</v>
          </cell>
          <cell r="H35">
            <v>9096</v>
          </cell>
        </row>
        <row r="36">
          <cell r="C36" t="str">
            <v>65元椒香牛蛙套餐</v>
          </cell>
          <cell r="H36">
            <v>1726</v>
          </cell>
        </row>
        <row r="37">
          <cell r="C37" t="str">
            <v>65元水晶虾仁</v>
          </cell>
          <cell r="H37">
            <v>16144</v>
          </cell>
        </row>
        <row r="38">
          <cell r="C38" t="str">
            <v>65元杏鲍菇炖牛肉</v>
          </cell>
          <cell r="H38">
            <v>36716</v>
          </cell>
        </row>
        <row r="39">
          <cell r="H39">
            <v>67046</v>
          </cell>
        </row>
        <row r="42">
          <cell r="H42">
            <v>69700</v>
          </cell>
        </row>
        <row r="43">
          <cell r="H43">
            <v>13700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Sheet1"/>
      <sheetName val="Sheet2"/>
    </sheetNames>
    <sheetDataSet>
      <sheetData sheetId="0"/>
      <sheetData sheetId="1">
        <row r="14">
          <cell r="I14">
            <v>0.4608972122978563</v>
          </cell>
        </row>
        <row r="16">
          <cell r="I16">
            <v>1.0296769546839211</v>
          </cell>
        </row>
        <row r="17">
          <cell r="I17">
            <v>0.3463848678772995</v>
          </cell>
        </row>
        <row r="19">
          <cell r="I19">
            <v>0.24805537266933189</v>
          </cell>
        </row>
        <row r="20">
          <cell r="I20">
            <v>0.13680782466452632</v>
          </cell>
        </row>
        <row r="22">
          <cell r="I22">
            <v>0.28659452204768826</v>
          </cell>
        </row>
        <row r="23">
          <cell r="I23">
            <v>0.66550415929591678</v>
          </cell>
        </row>
        <row r="25">
          <cell r="I25">
            <v>0.66489862680700307</v>
          </cell>
        </row>
        <row r="27">
          <cell r="I27">
            <v>0.24958817954682516</v>
          </cell>
        </row>
        <row r="30">
          <cell r="I30">
            <v>0.66938270009477041</v>
          </cell>
        </row>
      </sheetData>
      <sheetData sheetId="2">
        <row r="6">
          <cell r="H6">
            <v>1.4123903611525475</v>
          </cell>
        </row>
        <row r="7">
          <cell r="C7">
            <v>1.4129958936414613</v>
          </cell>
        </row>
        <row r="12">
          <cell r="H12">
            <v>1.797253558486406</v>
          </cell>
        </row>
        <row r="14">
          <cell r="C14">
            <v>1.7647312892733102</v>
          </cell>
        </row>
        <row r="15">
          <cell r="H15">
            <v>0.12395210859452452</v>
          </cell>
        </row>
        <row r="16">
          <cell r="H16">
            <v>4.3186303668115614E-2</v>
          </cell>
        </row>
        <row r="17">
          <cell r="H17">
            <v>5.5793666666666665E-2</v>
          </cell>
        </row>
        <row r="18">
          <cell r="C18">
            <v>1.836959034859077</v>
          </cell>
          <cell r="H18">
            <v>4.7787666666666673E-2</v>
          </cell>
        </row>
        <row r="20">
          <cell r="H20">
            <v>0.23969419659879507</v>
          </cell>
        </row>
        <row r="21">
          <cell r="H21">
            <v>0.22578372607336231</v>
          </cell>
        </row>
        <row r="22">
          <cell r="H22">
            <v>0.84070525432776633</v>
          </cell>
        </row>
        <row r="23">
          <cell r="H23">
            <v>1.5769029225958973</v>
          </cell>
        </row>
        <row r="24">
          <cell r="C24">
            <v>1.4129958936414615</v>
          </cell>
        </row>
        <row r="28">
          <cell r="C28">
            <v>1.3798680919394517</v>
          </cell>
        </row>
        <row r="35">
          <cell r="H35">
            <v>1.473321589262564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Sheet1"/>
    </sheetNames>
    <sheetDataSet>
      <sheetData sheetId="0"/>
      <sheetData sheetId="1">
        <row r="74">
          <cell r="N74">
            <v>0.72126144697254591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明细表1"/>
      <sheetName val="明细表2"/>
      <sheetName val="包材"/>
      <sheetName val="图表"/>
      <sheetName val="其他成本"/>
      <sheetName val="对比"/>
      <sheetName val="对比3"/>
    </sheetNames>
    <sheetDataSet>
      <sheetData sheetId="0" refreshError="1"/>
      <sheetData sheetId="1" refreshError="1">
        <row r="3">
          <cell r="D3">
            <v>521</v>
          </cell>
        </row>
        <row r="29">
          <cell r="C29" t="str">
            <v>川香排骨套餐</v>
          </cell>
        </row>
        <row r="30">
          <cell r="C30" t="str">
            <v>清蒸鱼套餐</v>
          </cell>
        </row>
      </sheetData>
      <sheetData sheetId="2" refreshError="1">
        <row r="4">
          <cell r="AC4">
            <v>459</v>
          </cell>
        </row>
        <row r="32">
          <cell r="C32" t="str">
            <v>川香排骨套餐</v>
          </cell>
        </row>
        <row r="33">
          <cell r="C33" t="str">
            <v>清蒸鱼套餐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明细表（2）"/>
      <sheetName val="包材"/>
      <sheetName val="图表"/>
    </sheetNames>
    <sheetDataSet>
      <sheetData sheetId="0" refreshError="1"/>
      <sheetData sheetId="1" refreshError="1">
        <row r="3">
          <cell r="D3">
            <v>484</v>
          </cell>
        </row>
        <row r="34">
          <cell r="C34" t="str">
            <v>99元情侣套餐（B）</v>
          </cell>
        </row>
        <row r="42">
          <cell r="C42" t="str">
            <v>45元土豆牛腩保鲜餐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3">
          <cell r="D3">
            <v>1283</v>
          </cell>
        </row>
        <row r="39">
          <cell r="D39">
            <v>513931</v>
          </cell>
          <cell r="E39">
            <v>1380</v>
          </cell>
          <cell r="F39">
            <v>512551</v>
          </cell>
          <cell r="R39">
            <v>5150662.1500000004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3">
          <cell r="D3">
            <v>1777</v>
          </cell>
        </row>
        <row r="39">
          <cell r="D39">
            <v>465368</v>
          </cell>
          <cell r="E39">
            <v>1284</v>
          </cell>
          <cell r="F39">
            <v>464084</v>
          </cell>
          <cell r="R39">
            <v>4590246.41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图表"/>
      <sheetName val="明细表2"/>
      <sheetName val="其他成本"/>
      <sheetName val="对比3"/>
      <sheetName val="Sheet1"/>
    </sheetNames>
    <sheetDataSet>
      <sheetData sheetId="0" refreshError="1"/>
      <sheetData sheetId="1" refreshError="1">
        <row r="31">
          <cell r="D31">
            <v>378641</v>
          </cell>
          <cell r="E31">
            <v>1004</v>
          </cell>
          <cell r="F31">
            <v>403</v>
          </cell>
          <cell r="G31">
            <v>377234</v>
          </cell>
          <cell r="S31">
            <v>3746811.5199999996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Sheet1"/>
      <sheetName val="Sheet2"/>
      <sheetName val="图表"/>
    </sheetNames>
    <sheetDataSet>
      <sheetData sheetId="0" refreshError="1"/>
      <sheetData sheetId="1" refreshError="1">
        <row r="25">
          <cell r="C25" t="str">
            <v>荞麦饼干膜</v>
          </cell>
        </row>
      </sheetData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Sheet1"/>
      <sheetName val="Sheet2"/>
    </sheetNames>
    <sheetDataSet>
      <sheetData sheetId="0" refreshError="1"/>
      <sheetData sheetId="1" refreshError="1">
        <row r="15">
          <cell r="C15" t="str">
            <v>餐巾纸牙签套餐</v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Sheet1"/>
      <sheetName val="Sheet2"/>
    </sheetNames>
    <sheetDataSet>
      <sheetData sheetId="0" refreshError="1"/>
      <sheetData sheetId="1" refreshError="1">
        <row r="15">
          <cell r="C15" t="str">
            <v>D-711内托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Sheet6"/>
    </sheetNames>
    <sheetDataSet>
      <sheetData sheetId="0" refreshError="1"/>
      <sheetData sheetId="1" refreshError="1">
        <row r="3">
          <cell r="D3">
            <v>1026</v>
          </cell>
          <cell r="E3">
            <v>34</v>
          </cell>
          <cell r="F3">
            <v>992</v>
          </cell>
          <cell r="R3">
            <v>1531.4009245981119</v>
          </cell>
        </row>
        <row r="5">
          <cell r="D5">
            <v>1524</v>
          </cell>
          <cell r="E5">
            <v>34</v>
          </cell>
          <cell r="F5">
            <v>1490</v>
          </cell>
          <cell r="R5">
            <v>4710.9666710193414</v>
          </cell>
        </row>
        <row r="6">
          <cell r="D6">
            <v>1589</v>
          </cell>
          <cell r="E6">
            <v>34</v>
          </cell>
          <cell r="F6">
            <v>1555</v>
          </cell>
          <cell r="R6">
            <v>5926.6134049899829</v>
          </cell>
        </row>
        <row r="7">
          <cell r="F7">
            <v>3045</v>
          </cell>
          <cell r="R7">
            <v>10637.580076009321</v>
          </cell>
        </row>
        <row r="8">
          <cell r="D8">
            <v>35658</v>
          </cell>
          <cell r="E8">
            <v>67</v>
          </cell>
          <cell r="F8">
            <v>35591</v>
          </cell>
          <cell r="R8">
            <v>126702.41744726029</v>
          </cell>
        </row>
        <row r="10">
          <cell r="D10">
            <v>12023</v>
          </cell>
          <cell r="E10">
            <v>62</v>
          </cell>
          <cell r="F10">
            <v>11961</v>
          </cell>
          <cell r="R10">
            <v>60687.406982204877</v>
          </cell>
        </row>
        <row r="12">
          <cell r="D12">
            <v>3526</v>
          </cell>
          <cell r="E12">
            <v>62</v>
          </cell>
          <cell r="F12">
            <v>3464</v>
          </cell>
          <cell r="R12">
            <v>24269.433729863355</v>
          </cell>
        </row>
        <row r="14">
          <cell r="D14">
            <v>18879</v>
          </cell>
          <cell r="E14">
            <v>62</v>
          </cell>
          <cell r="F14">
            <v>18817</v>
          </cell>
          <cell r="R14">
            <v>177828.87029547271</v>
          </cell>
        </row>
        <row r="15">
          <cell r="D15">
            <v>57339</v>
          </cell>
          <cell r="E15">
            <v>62</v>
          </cell>
          <cell r="F15">
            <v>57277</v>
          </cell>
          <cell r="R15">
            <v>420288.55013040284</v>
          </cell>
        </row>
        <row r="16">
          <cell r="D16">
            <v>56800</v>
          </cell>
          <cell r="E16">
            <v>62</v>
          </cell>
          <cell r="F16">
            <v>56738</v>
          </cell>
          <cell r="R16">
            <v>383813.99494576873</v>
          </cell>
        </row>
        <row r="17">
          <cell r="D17">
            <v>6597</v>
          </cell>
          <cell r="E17">
            <v>62</v>
          </cell>
          <cell r="F17">
            <v>6535</v>
          </cell>
          <cell r="R17">
            <v>54483.949260823414</v>
          </cell>
        </row>
        <row r="18">
          <cell r="D18">
            <v>39780</v>
          </cell>
          <cell r="E18">
            <v>67</v>
          </cell>
          <cell r="F18">
            <v>39713</v>
          </cell>
          <cell r="R18">
            <v>256748.37487453409</v>
          </cell>
        </row>
        <row r="19">
          <cell r="D19">
            <v>13898</v>
          </cell>
          <cell r="E19">
            <v>62</v>
          </cell>
          <cell r="F19">
            <v>13836</v>
          </cell>
          <cell r="R19">
            <v>169337.44181133577</v>
          </cell>
        </row>
        <row r="20">
          <cell r="F20">
            <v>192916</v>
          </cell>
          <cell r="R20">
            <v>1462501.1813183376</v>
          </cell>
        </row>
        <row r="21">
          <cell r="D21">
            <v>18235</v>
          </cell>
          <cell r="E21">
            <v>62</v>
          </cell>
          <cell r="F21">
            <v>18173</v>
          </cell>
          <cell r="R21">
            <v>205134.90671293315</v>
          </cell>
        </row>
        <row r="22">
          <cell r="D22">
            <v>18065</v>
          </cell>
          <cell r="E22">
            <v>62</v>
          </cell>
          <cell r="F22">
            <v>18003</v>
          </cell>
          <cell r="R22">
            <v>269159.37373152125</v>
          </cell>
        </row>
        <row r="23">
          <cell r="F23">
            <v>36176</v>
          </cell>
          <cell r="R23">
            <v>474294.28044445446</v>
          </cell>
        </row>
        <row r="24">
          <cell r="D24">
            <v>15312</v>
          </cell>
          <cell r="E24">
            <v>62</v>
          </cell>
          <cell r="F24">
            <v>15250</v>
          </cell>
          <cell r="R24">
            <v>279379.08929073223</v>
          </cell>
        </row>
        <row r="25">
          <cell r="D25">
            <v>38544</v>
          </cell>
          <cell r="E25">
            <v>62</v>
          </cell>
          <cell r="F25">
            <v>38482</v>
          </cell>
          <cell r="R25">
            <v>780393.36864563648</v>
          </cell>
        </row>
        <row r="26">
          <cell r="D26">
            <v>3721</v>
          </cell>
          <cell r="E26">
            <v>67</v>
          </cell>
          <cell r="F26">
            <v>3654</v>
          </cell>
          <cell r="R26">
            <v>83441.102369082189</v>
          </cell>
        </row>
        <row r="27">
          <cell r="D27">
            <v>11224</v>
          </cell>
          <cell r="E27">
            <v>62</v>
          </cell>
          <cell r="F27">
            <v>11162</v>
          </cell>
          <cell r="R27">
            <v>204651.86138032167</v>
          </cell>
        </row>
        <row r="28">
          <cell r="D28">
            <v>2236</v>
          </cell>
          <cell r="E28">
            <v>67</v>
          </cell>
          <cell r="F28">
            <v>2169</v>
          </cell>
          <cell r="R28">
            <v>61439.727391499524</v>
          </cell>
        </row>
        <row r="29">
          <cell r="F29">
            <v>70717</v>
          </cell>
          <cell r="R29">
            <v>1409305.1490772718</v>
          </cell>
        </row>
        <row r="30">
          <cell r="D30">
            <v>93200</v>
          </cell>
          <cell r="F30">
            <v>93200</v>
          </cell>
          <cell r="R30">
            <v>1135692.1207319305</v>
          </cell>
        </row>
        <row r="31">
          <cell r="D31">
            <v>16100</v>
          </cell>
          <cell r="F31">
            <v>16100</v>
          </cell>
          <cell r="R31">
            <v>175594.16926806953</v>
          </cell>
        </row>
        <row r="32">
          <cell r="F32">
            <v>109300</v>
          </cell>
          <cell r="R32">
            <v>1311286.29</v>
          </cell>
        </row>
        <row r="33">
          <cell r="F33">
            <v>464162</v>
          </cell>
          <cell r="Q33">
            <v>10.516188615181768</v>
          </cell>
          <cell r="R33">
            <v>4881215.1399999997</v>
          </cell>
          <cell r="T33">
            <v>104534.56</v>
          </cell>
          <cell r="U33">
            <v>490478.46</v>
          </cell>
          <cell r="V33">
            <v>323938.58</v>
          </cell>
          <cell r="W33">
            <v>2546269.0099999998</v>
          </cell>
          <cell r="X33">
            <v>697102.22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Sheet1"/>
      <sheetName val="Sheet2"/>
    </sheetNames>
    <sheetDataSet>
      <sheetData sheetId="0" refreshError="1"/>
      <sheetData sheetId="1" refreshError="1">
        <row r="15">
          <cell r="C15" t="str">
            <v>高铁轻食纸箱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对比"/>
    </sheetNames>
    <sheetDataSet>
      <sheetData sheetId="0"/>
      <sheetData sheetId="1">
        <row r="33">
          <cell r="O33">
            <v>-403666.75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Sheet6"/>
    </sheetNames>
    <sheetDataSet>
      <sheetData sheetId="0"/>
      <sheetData sheetId="1">
        <row r="33">
          <cell r="O33">
            <v>-398781.94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Sheet6"/>
    </sheetNames>
    <sheetDataSet>
      <sheetData sheetId="0" refreshError="1"/>
      <sheetData sheetId="1" refreshError="1">
        <row r="28">
          <cell r="O28">
            <v>-513523.81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28">
          <cell r="O28">
            <v>-380300.48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27">
          <cell r="P27">
            <v>-401965.11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对比"/>
    </sheetNames>
    <sheetDataSet>
      <sheetData sheetId="0" refreshError="1"/>
      <sheetData sheetId="1" refreshError="1">
        <row r="3">
          <cell r="D3">
            <v>1349</v>
          </cell>
          <cell r="S3">
            <v>1.6435419918197616</v>
          </cell>
          <cell r="T3">
            <v>0.19604011491176757</v>
          </cell>
          <cell r="U3">
            <v>1.1410248509723211</v>
          </cell>
          <cell r="V3">
            <v>1.3324477248559459</v>
          </cell>
          <cell r="W3">
            <v>5.7372749901121889</v>
          </cell>
          <cell r="X3">
            <v>1.6509725817491123</v>
          </cell>
          <cell r="Y3">
            <v>1.5227313333507011</v>
          </cell>
          <cell r="Z3">
            <v>2.0253863114790982</v>
          </cell>
        </row>
        <row r="33">
          <cell r="F33">
            <v>422237</v>
          </cell>
          <cell r="Q33">
            <v>10.366357140657971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Sheet6"/>
    </sheetNames>
    <sheetDataSet>
      <sheetData sheetId="0" refreshError="1"/>
      <sheetData sheetId="1" refreshError="1">
        <row r="3">
          <cell r="D3">
            <v>1026</v>
          </cell>
          <cell r="S3">
            <v>0.34791518909346608</v>
          </cell>
          <cell r="T3">
            <v>0.22521137016817402</v>
          </cell>
          <cell r="U3">
            <v>1.0566967136473904</v>
          </cell>
          <cell r="V3">
            <v>0.69789982807726614</v>
          </cell>
          <cell r="W3">
            <v>5.4857334508210487</v>
          </cell>
          <cell r="X3">
            <v>1.5018511209448424</v>
          </cell>
          <cell r="Y3">
            <v>2.9677458516638588</v>
          </cell>
          <cell r="Z3">
            <v>2.0758242165450853</v>
          </cell>
        </row>
        <row r="33">
          <cell r="F33">
            <v>464162</v>
          </cell>
          <cell r="Q33">
            <v>10.516188615181768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Sheet6"/>
    </sheetNames>
    <sheetDataSet>
      <sheetData sheetId="0" refreshError="1"/>
      <sheetData sheetId="1" refreshError="1">
        <row r="3">
          <cell r="D3">
            <v>25875</v>
          </cell>
          <cell r="S3">
            <v>3.322252330174793</v>
          </cell>
          <cell r="T3">
            <v>0.23345400325320803</v>
          </cell>
          <cell r="U3">
            <v>1.173419173272056</v>
          </cell>
          <cell r="V3">
            <v>0.72709522088249723</v>
          </cell>
          <cell r="W3">
            <v>7.6730159303916752</v>
          </cell>
          <cell r="X3">
            <v>1.799854638403346</v>
          </cell>
          <cell r="Y3">
            <v>3.5706594975600936</v>
          </cell>
          <cell r="Z3">
            <v>3.40641984456895</v>
          </cell>
        </row>
        <row r="28">
          <cell r="F28">
            <v>387310</v>
          </cell>
          <cell r="Q28">
            <v>10.612724071157471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3">
          <cell r="D3">
            <v>27857</v>
          </cell>
          <cell r="S3">
            <v>0.99138071780156956</v>
          </cell>
          <cell r="T3">
            <v>0.18530464140722649</v>
          </cell>
          <cell r="U3">
            <v>0.93728611711122722</v>
          </cell>
          <cell r="V3">
            <v>0.3523128344636956</v>
          </cell>
          <cell r="W3">
            <v>4.6592954527841091</v>
          </cell>
          <cell r="X3">
            <v>1.3828843016427843</v>
          </cell>
          <cell r="Y3">
            <v>2.3314886602772882</v>
          </cell>
          <cell r="Z3">
            <v>0.85836762512516596</v>
          </cell>
        </row>
        <row r="28">
          <cell r="F28">
            <v>503231</v>
          </cell>
          <cell r="Q28">
            <v>11.20614942243224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  <sheetName val="Sheet6"/>
    </sheetNames>
    <sheetDataSet>
      <sheetData sheetId="0" refreshError="1"/>
      <sheetData sheetId="1" refreshError="1">
        <row r="3">
          <cell r="D3">
            <v>25875</v>
          </cell>
          <cell r="E3">
            <v>56</v>
          </cell>
          <cell r="F3">
            <v>25819</v>
          </cell>
          <cell r="R3">
            <v>81109.979697825169</v>
          </cell>
        </row>
        <row r="4">
          <cell r="R4">
            <v>81109.979697825169</v>
          </cell>
        </row>
        <row r="5">
          <cell r="D5">
            <v>9880</v>
          </cell>
          <cell r="E5">
            <v>61</v>
          </cell>
          <cell r="F5">
            <v>9819</v>
          </cell>
          <cell r="R5">
            <v>45385.27442925291</v>
          </cell>
        </row>
        <row r="7">
          <cell r="D7">
            <v>3488</v>
          </cell>
          <cell r="E7">
            <v>61</v>
          </cell>
          <cell r="F7">
            <v>3427</v>
          </cell>
          <cell r="R7">
            <v>23431.486653511383</v>
          </cell>
        </row>
        <row r="9">
          <cell r="D9">
            <v>19243</v>
          </cell>
          <cell r="E9">
            <v>56</v>
          </cell>
          <cell r="F9">
            <v>19187</v>
          </cell>
          <cell r="R9">
            <v>174815.33304451327</v>
          </cell>
        </row>
        <row r="10">
          <cell r="D10">
            <v>51558</v>
          </cell>
          <cell r="E10">
            <v>61</v>
          </cell>
          <cell r="F10">
            <v>51497</v>
          </cell>
          <cell r="R10">
            <v>355034.6045303226</v>
          </cell>
        </row>
        <row r="11">
          <cell r="D11">
            <v>50995</v>
          </cell>
          <cell r="E11">
            <v>56</v>
          </cell>
          <cell r="F11">
            <v>50939</v>
          </cell>
          <cell r="R11">
            <v>320785.73888906348</v>
          </cell>
        </row>
        <row r="12">
          <cell r="D12">
            <v>5599</v>
          </cell>
          <cell r="E12">
            <v>61</v>
          </cell>
          <cell r="F12">
            <v>5538</v>
          </cell>
          <cell r="R12">
            <v>45350.619751420978</v>
          </cell>
        </row>
        <row r="13">
          <cell r="D13">
            <v>39028</v>
          </cell>
          <cell r="E13">
            <v>56</v>
          </cell>
          <cell r="F13">
            <v>38972</v>
          </cell>
          <cell r="R13">
            <v>233965.08521711422</v>
          </cell>
        </row>
        <row r="14">
          <cell r="D14">
            <v>12942</v>
          </cell>
          <cell r="E14">
            <v>56</v>
          </cell>
          <cell r="F14">
            <v>12886</v>
          </cell>
          <cell r="R14">
            <v>157619.7194750167</v>
          </cell>
        </row>
        <row r="15">
          <cell r="F15">
            <v>179019</v>
          </cell>
          <cell r="R15">
            <v>1287571.1009074512</v>
          </cell>
        </row>
        <row r="16">
          <cell r="D16">
            <v>15333</v>
          </cell>
          <cell r="E16">
            <v>56</v>
          </cell>
          <cell r="F16">
            <v>15277</v>
          </cell>
          <cell r="R16">
            <v>165209.16482964277</v>
          </cell>
        </row>
        <row r="17">
          <cell r="D17">
            <v>15219</v>
          </cell>
          <cell r="E17">
            <v>56</v>
          </cell>
          <cell r="F17">
            <v>15163</v>
          </cell>
          <cell r="R17">
            <v>219168.48400483557</v>
          </cell>
        </row>
        <row r="18">
          <cell r="F18">
            <v>30440</v>
          </cell>
          <cell r="R18">
            <v>384377.64883447834</v>
          </cell>
        </row>
        <row r="19">
          <cell r="D19">
            <v>18534</v>
          </cell>
          <cell r="E19">
            <v>56</v>
          </cell>
          <cell r="F19">
            <v>18478</v>
          </cell>
          <cell r="R19">
            <v>337372.58422342344</v>
          </cell>
        </row>
        <row r="20">
          <cell r="D20">
            <v>47621</v>
          </cell>
          <cell r="E20">
            <v>56</v>
          </cell>
          <cell r="F20">
            <v>47565</v>
          </cell>
          <cell r="R20">
            <v>949775.76763162331</v>
          </cell>
        </row>
        <row r="21">
          <cell r="D21">
            <v>3213</v>
          </cell>
          <cell r="E21">
            <v>56</v>
          </cell>
          <cell r="F21">
            <v>3157</v>
          </cell>
          <cell r="R21">
            <v>72733.517464118253</v>
          </cell>
        </row>
        <row r="22">
          <cell r="D22">
            <v>10719</v>
          </cell>
          <cell r="E22">
            <v>61</v>
          </cell>
          <cell r="F22">
            <v>10658</v>
          </cell>
          <cell r="R22">
            <v>191827.82408697254</v>
          </cell>
        </row>
        <row r="23">
          <cell r="D23">
            <v>2084</v>
          </cell>
          <cell r="E23">
            <v>56</v>
          </cell>
          <cell r="F23">
            <v>2028</v>
          </cell>
          <cell r="R23">
            <v>54025.146071343624</v>
          </cell>
        </row>
        <row r="24">
          <cell r="F24">
            <v>81886</v>
          </cell>
          <cell r="R24">
            <v>1605734.8394774813</v>
          </cell>
        </row>
        <row r="25">
          <cell r="D25">
            <v>43100</v>
          </cell>
          <cell r="F25">
            <v>43100</v>
          </cell>
          <cell r="R25">
            <v>531568.08325131808</v>
          </cell>
        </row>
        <row r="26">
          <cell r="D26">
            <v>13800</v>
          </cell>
          <cell r="F26">
            <v>13800</v>
          </cell>
          <cell r="R26">
            <v>151235.74674868191</v>
          </cell>
        </row>
        <row r="27">
          <cell r="F27">
            <v>56900</v>
          </cell>
          <cell r="R27">
            <v>682803.83000000007</v>
          </cell>
        </row>
        <row r="28">
          <cell r="F28">
            <v>387310</v>
          </cell>
          <cell r="Q28">
            <v>10.612724071157471</v>
          </cell>
          <cell r="R28">
            <v>4110414.16</v>
          </cell>
          <cell r="T28">
            <v>90419.07</v>
          </cell>
          <cell r="U28">
            <v>454476.98</v>
          </cell>
          <cell r="V28">
            <v>281611.25</v>
          </cell>
          <cell r="W28">
            <v>2971835.8</v>
          </cell>
          <cell r="X28">
            <v>697101.7</v>
          </cell>
          <cell r="Z28">
            <v>1319340.47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3">
          <cell r="D3">
            <v>27690</v>
          </cell>
          <cell r="T3">
            <v>0.80563970807692864</v>
          </cell>
          <cell r="U3">
            <v>0.19197325622731826</v>
          </cell>
          <cell r="V3">
            <v>0.97255714038579621</v>
          </cell>
          <cell r="W3">
            <v>0.43785268492801727</v>
          </cell>
          <cell r="X3">
            <v>4.7211791935425609</v>
          </cell>
          <cell r="Y3">
            <v>1.320626809548523</v>
          </cell>
          <cell r="Z3">
            <v>3.3691332036826869</v>
          </cell>
          <cell r="AA3">
            <v>1.7127136336589805</v>
          </cell>
        </row>
        <row r="27">
          <cell r="G27">
            <v>526029</v>
          </cell>
          <cell r="R27">
            <v>11.484767778962757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3">
          <cell r="T3">
            <v>2.2614458339501242</v>
          </cell>
          <cell r="U3">
            <v>0.20133767015924453</v>
          </cell>
          <cell r="V3">
            <v>1.2208061791657963</v>
          </cell>
          <cell r="W3">
            <v>0.3814683021691565</v>
          </cell>
          <cell r="X3">
            <v>5.0946159617634708</v>
          </cell>
          <cell r="Y3">
            <v>1.4744075832267038</v>
          </cell>
          <cell r="Z3">
            <v>2.9751332783118825</v>
          </cell>
          <cell r="AA3">
            <v>1.4446655824601886</v>
          </cell>
        </row>
        <row r="27">
          <cell r="G27">
            <v>493141</v>
          </cell>
          <cell r="R27">
            <v>11.708606950142048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6月成本表"/>
      <sheetName val="包材"/>
      <sheetName val="图表"/>
    </sheetNames>
    <sheetDataSet>
      <sheetData sheetId="0">
        <row r="31">
          <cell r="Y31">
            <v>16056.820783910141</v>
          </cell>
        </row>
      </sheetData>
      <sheetData sheetId="1">
        <row r="5">
          <cell r="O5">
            <v>3.2476334166255207</v>
          </cell>
        </row>
      </sheetData>
      <sheetData sheetId="2"/>
      <sheetData sheetId="3">
        <row r="1">
          <cell r="Q1">
            <v>42005</v>
          </cell>
          <cell r="R1">
            <v>42037</v>
          </cell>
          <cell r="S1">
            <v>42066</v>
          </cell>
          <cell r="T1">
            <v>42098</v>
          </cell>
          <cell r="U1">
            <v>42129</v>
          </cell>
          <cell r="V1">
            <v>42161</v>
          </cell>
          <cell r="W1">
            <v>42192</v>
          </cell>
          <cell r="X1">
            <v>42224</v>
          </cell>
          <cell r="Y1">
            <v>42256</v>
          </cell>
          <cell r="Z1">
            <v>42287</v>
          </cell>
          <cell r="AA1">
            <v>42319</v>
          </cell>
          <cell r="AB1">
            <v>42350</v>
          </cell>
        </row>
        <row r="2">
          <cell r="P2" t="str">
            <v>菜品单价</v>
          </cell>
          <cell r="Q2">
            <v>7.6946366780952387</v>
          </cell>
          <cell r="R2">
            <v>8.1174583904444884</v>
          </cell>
          <cell r="S2">
            <v>7.6400886286648761</v>
          </cell>
          <cell r="T2">
            <v>7.6957063514456703</v>
          </cell>
          <cell r="U2">
            <v>8.3823221221601401</v>
          </cell>
          <cell r="V2">
            <v>8.3640989459477524</v>
          </cell>
          <cell r="W2">
            <v>7.9956763153826387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P3" t="str">
            <v>制造费用</v>
          </cell>
          <cell r="Q3">
            <v>0.93004028952380946</v>
          </cell>
          <cell r="R3">
            <v>0.73109128747370367</v>
          </cell>
          <cell r="S3">
            <v>0.7302300646341926</v>
          </cell>
          <cell r="T3">
            <v>0.53032798601107622</v>
          </cell>
          <cell r="U3">
            <v>0.53032798601107622</v>
          </cell>
          <cell r="V3">
            <v>3.2476334166255207</v>
          </cell>
          <cell r="W3">
            <v>0.51946230027303741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P4" t="str">
            <v>水</v>
          </cell>
          <cell r="Q4">
            <v>0.34662384761904763</v>
          </cell>
          <cell r="R4">
            <v>0</v>
          </cell>
          <cell r="S4">
            <v>0.44602789296421758</v>
          </cell>
          <cell r="T4">
            <v>0.17866967878940881</v>
          </cell>
          <cell r="U4">
            <v>0.16423982248698138</v>
          </cell>
          <cell r="V4">
            <v>0.19229845481847838</v>
          </cell>
          <cell r="W4">
            <v>0.15309892240334749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P5" t="str">
            <v>电</v>
          </cell>
          <cell r="Q5">
            <v>1.4698407923809524</v>
          </cell>
          <cell r="R5">
            <v>1.0905929016483158</v>
          </cell>
          <cell r="S5">
            <v>1.2261015798388037</v>
          </cell>
          <cell r="T5">
            <v>0.84228268536806306</v>
          </cell>
          <cell r="U5">
            <v>1.0100133134763964</v>
          </cell>
          <cell r="V5">
            <v>1.3554892212431735</v>
          </cell>
          <cell r="W5">
            <v>1.1242319821639175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</row>
        <row r="6">
          <cell r="P6" t="str">
            <v>天然气</v>
          </cell>
          <cell r="Q6">
            <v>0</v>
          </cell>
          <cell r="R6">
            <v>0</v>
          </cell>
          <cell r="S6">
            <v>2.3652486566989839</v>
          </cell>
          <cell r="T6">
            <v>0</v>
          </cell>
          <cell r="U6">
            <v>0</v>
          </cell>
          <cell r="V6">
            <v>0.90149945346237514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P7" t="str">
            <v>人工</v>
          </cell>
          <cell r="Q7">
            <v>4.2964876495238098</v>
          </cell>
          <cell r="R7">
            <v>4.5253073207713896</v>
          </cell>
          <cell r="S7">
            <v>4.7265884777868621</v>
          </cell>
          <cell r="T7">
            <v>5.9485566313726066</v>
          </cell>
          <cell r="U7">
            <v>4.2047071135143783</v>
          </cell>
          <cell r="V7">
            <v>4.8628662502775812</v>
          </cell>
          <cell r="W7">
            <v>3.7616605328206538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P8" t="str">
            <v>折旧</v>
          </cell>
          <cell r="Q8">
            <v>6.492842788571429</v>
          </cell>
          <cell r="R8">
            <v>5.34827521802654</v>
          </cell>
          <cell r="S8">
            <v>5.1845190398317955</v>
          </cell>
          <cell r="T8">
            <v>3.9547365568244257</v>
          </cell>
          <cell r="U8">
            <v>4.2588412277983787</v>
          </cell>
          <cell r="V8">
            <v>4.5932100623290042</v>
          </cell>
          <cell r="W8">
            <v>3.8920246861721894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P9" t="str">
            <v>分拨配送</v>
          </cell>
          <cell r="Q9">
            <v>2.5640854857142861</v>
          </cell>
          <cell r="R9">
            <v>2.3645935443057042</v>
          </cell>
          <cell r="S9">
            <v>2.563113197445781</v>
          </cell>
          <cell r="T9">
            <v>2.6287797190335467</v>
          </cell>
          <cell r="U9">
            <v>1.7275513398434768</v>
          </cell>
          <cell r="V9">
            <v>2.2252565277289693</v>
          </cell>
          <cell r="W9">
            <v>1.9089190267702798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P10" t="str">
            <v>管理费用</v>
          </cell>
          <cell r="Q10">
            <v>4.4608407771428569</v>
          </cell>
          <cell r="R10">
            <v>4.0770605704588476</v>
          </cell>
          <cell r="S10">
            <v>3.4094146419810767</v>
          </cell>
          <cell r="T10">
            <v>-2.0295250152214912</v>
          </cell>
          <cell r="U10">
            <v>1.4246133394636626</v>
          </cell>
          <cell r="V10">
            <v>1.5346357386019418</v>
          </cell>
          <cell r="W10">
            <v>1.1806753154433978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/>
      <sheetData sheetId="1" refreshError="1">
        <row r="3">
          <cell r="D3">
            <v>27857</v>
          </cell>
          <cell r="E3">
            <v>62</v>
          </cell>
          <cell r="F3">
            <v>27795</v>
          </cell>
          <cell r="R3">
            <v>104932.89242559765</v>
          </cell>
        </row>
        <row r="5">
          <cell r="D5">
            <v>11661</v>
          </cell>
          <cell r="E5">
            <v>62</v>
          </cell>
          <cell r="F5">
            <v>11599</v>
          </cell>
          <cell r="R5">
            <v>61364.49018612886</v>
          </cell>
        </row>
        <row r="6">
          <cell r="F6">
            <v>11599</v>
          </cell>
        </row>
        <row r="7">
          <cell r="D7">
            <v>4210</v>
          </cell>
          <cell r="E7">
            <v>62</v>
          </cell>
          <cell r="F7">
            <v>4148</v>
          </cell>
          <cell r="R7">
            <v>30601.884592135142</v>
          </cell>
        </row>
        <row r="8">
          <cell r="F8">
            <v>4148</v>
          </cell>
          <cell r="R8">
            <v>30601.884592135142</v>
          </cell>
        </row>
        <row r="9">
          <cell r="D9">
            <v>27790</v>
          </cell>
          <cell r="E9">
            <v>62</v>
          </cell>
          <cell r="F9">
            <v>27728</v>
          </cell>
          <cell r="R9">
            <v>266835.19217527204</v>
          </cell>
        </row>
        <row r="10">
          <cell r="D10">
            <v>67537</v>
          </cell>
          <cell r="E10">
            <v>62</v>
          </cell>
          <cell r="F10">
            <v>67475</v>
          </cell>
          <cell r="R10">
            <v>509910.45616079355</v>
          </cell>
        </row>
        <row r="11">
          <cell r="D11">
            <v>67013</v>
          </cell>
          <cell r="E11">
            <v>67</v>
          </cell>
          <cell r="F11">
            <v>66946</v>
          </cell>
          <cell r="R11">
            <v>465225.78163898457</v>
          </cell>
        </row>
        <row r="12">
          <cell r="D12">
            <v>7001</v>
          </cell>
          <cell r="E12">
            <v>62</v>
          </cell>
          <cell r="F12">
            <v>6939</v>
          </cell>
          <cell r="R12">
            <v>61333.217404220028</v>
          </cell>
        </row>
        <row r="13">
          <cell r="D13">
            <v>51048</v>
          </cell>
          <cell r="E13">
            <v>62</v>
          </cell>
          <cell r="F13">
            <v>50986</v>
          </cell>
          <cell r="R13">
            <v>339800.3499224041</v>
          </cell>
        </row>
        <row r="14">
          <cell r="D14">
            <v>15722</v>
          </cell>
          <cell r="E14">
            <v>62</v>
          </cell>
          <cell r="F14">
            <v>15660</v>
          </cell>
          <cell r="R14">
            <v>194718.15113774236</v>
          </cell>
        </row>
        <row r="15">
          <cell r="F15">
            <v>235734</v>
          </cell>
          <cell r="R15">
            <v>1837823.1484394167</v>
          </cell>
        </row>
        <row r="16">
          <cell r="D16">
            <v>19065</v>
          </cell>
          <cell r="E16">
            <v>62</v>
          </cell>
          <cell r="F16">
            <v>19003</v>
          </cell>
          <cell r="R16">
            <v>216757.9664883473</v>
          </cell>
        </row>
        <row r="17">
          <cell r="D17">
            <v>19104</v>
          </cell>
          <cell r="E17">
            <v>62</v>
          </cell>
          <cell r="F17">
            <v>19042</v>
          </cell>
          <cell r="R17">
            <v>288432.9485534447</v>
          </cell>
        </row>
        <row r="18">
          <cell r="F18">
            <v>38045</v>
          </cell>
          <cell r="R18">
            <v>505190.91504179209</v>
          </cell>
        </row>
        <row r="19">
          <cell r="D19">
            <v>24398</v>
          </cell>
          <cell r="E19">
            <v>62</v>
          </cell>
          <cell r="F19">
            <v>24336</v>
          </cell>
          <cell r="R19">
            <v>458615.07161770825</v>
          </cell>
        </row>
        <row r="20">
          <cell r="D20">
            <v>73717</v>
          </cell>
          <cell r="E20">
            <v>62</v>
          </cell>
          <cell r="F20">
            <v>73655</v>
          </cell>
          <cell r="R20">
            <v>1465651.4450161201</v>
          </cell>
        </row>
        <row r="21">
          <cell r="D21">
            <v>764</v>
          </cell>
          <cell r="E21">
            <v>12</v>
          </cell>
          <cell r="F21">
            <v>752</v>
          </cell>
          <cell r="R21">
            <v>16465.919370088264</v>
          </cell>
        </row>
        <row r="22">
          <cell r="D22">
            <v>11666</v>
          </cell>
          <cell r="E22">
            <v>62</v>
          </cell>
          <cell r="F22">
            <v>11604</v>
          </cell>
          <cell r="R22">
            <v>216284.21347141519</v>
          </cell>
        </row>
        <row r="23">
          <cell r="D23">
            <v>785</v>
          </cell>
          <cell r="E23">
            <v>22</v>
          </cell>
          <cell r="F23">
            <v>763</v>
          </cell>
          <cell r="R23">
            <v>21407.079839597536</v>
          </cell>
        </row>
        <row r="24">
          <cell r="F24">
            <v>111110</v>
          </cell>
          <cell r="R24">
            <v>2178423.7293149289</v>
          </cell>
        </row>
        <row r="25">
          <cell r="D25">
            <v>56400</v>
          </cell>
          <cell r="F25">
            <v>56400</v>
          </cell>
          <cell r="R25">
            <v>727198.72074866307</v>
          </cell>
        </row>
        <row r="26">
          <cell r="D26">
            <v>18400</v>
          </cell>
          <cell r="F26">
            <v>18400</v>
          </cell>
          <cell r="R26">
            <v>193745.99925133694</v>
          </cell>
        </row>
        <row r="27">
          <cell r="F27">
            <v>74800</v>
          </cell>
          <cell r="R27">
            <v>920944.72000000009</v>
          </cell>
        </row>
        <row r="28">
          <cell r="F28">
            <v>503231</v>
          </cell>
          <cell r="Q28">
            <v>11.20614942243224</v>
          </cell>
          <cell r="R28">
            <v>5639281.7799999984</v>
          </cell>
          <cell r="T28">
            <v>93251.04</v>
          </cell>
          <cell r="U28">
            <v>471671.43</v>
          </cell>
          <cell r="V28">
            <v>177294.74</v>
          </cell>
          <cell r="W28">
            <v>2344701.91</v>
          </cell>
          <cell r="X28">
            <v>695910.25</v>
          </cell>
          <cell r="Y28">
            <v>1173277.3700000001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>
        <row r="27">
          <cell r="S27">
            <v>20.131904328462085</v>
          </cell>
        </row>
        <row r="28">
          <cell r="S28">
            <v>7.8348311136290274</v>
          </cell>
        </row>
        <row r="29">
          <cell r="S29">
            <v>13.202562262099876</v>
          </cell>
        </row>
      </sheetData>
      <sheetData sheetId="1" refreshError="1">
        <row r="3">
          <cell r="D3">
            <v>27690</v>
          </cell>
          <cell r="E3">
            <v>60</v>
          </cell>
          <cell r="G3">
            <v>27630</v>
          </cell>
          <cell r="S3">
            <v>102556.96960864578</v>
          </cell>
        </row>
        <row r="4">
          <cell r="S4">
            <v>102556.96960864578</v>
          </cell>
        </row>
        <row r="5">
          <cell r="D5">
            <v>10992</v>
          </cell>
          <cell r="G5">
            <v>10932</v>
          </cell>
          <cell r="S5">
            <v>57011.722010147736</v>
          </cell>
        </row>
        <row r="6">
          <cell r="E6">
            <v>60</v>
          </cell>
          <cell r="G6">
            <v>10932</v>
          </cell>
          <cell r="S6">
            <v>57011.722010147736</v>
          </cell>
        </row>
        <row r="7">
          <cell r="D7">
            <v>4679</v>
          </cell>
          <cell r="E7">
            <v>60</v>
          </cell>
          <cell r="G7">
            <v>4619</v>
          </cell>
          <cell r="S7">
            <v>34502.457146016743</v>
          </cell>
        </row>
        <row r="8">
          <cell r="G8">
            <v>4619</v>
          </cell>
          <cell r="S8">
            <v>34502.457146016743</v>
          </cell>
        </row>
        <row r="9">
          <cell r="D9">
            <v>27966</v>
          </cell>
          <cell r="E9">
            <v>65</v>
          </cell>
          <cell r="G9">
            <v>27901</v>
          </cell>
          <cell r="S9">
            <v>264273.03809048049</v>
          </cell>
        </row>
        <row r="10">
          <cell r="D10">
            <v>72278</v>
          </cell>
          <cell r="E10">
            <v>60</v>
          </cell>
          <cell r="G10">
            <v>72218</v>
          </cell>
          <cell r="S10">
            <v>542708.62121925084</v>
          </cell>
        </row>
        <row r="11">
          <cell r="D11">
            <v>65068</v>
          </cell>
          <cell r="E11">
            <v>60</v>
          </cell>
          <cell r="F11">
            <v>2</v>
          </cell>
          <cell r="G11">
            <v>65006</v>
          </cell>
          <cell r="S11">
            <v>460769.58397655177</v>
          </cell>
        </row>
        <row r="12">
          <cell r="D12">
            <v>6217</v>
          </cell>
          <cell r="E12">
            <v>60</v>
          </cell>
          <cell r="G12">
            <v>6157</v>
          </cell>
          <cell r="S12">
            <v>55975.784223973635</v>
          </cell>
        </row>
        <row r="13">
          <cell r="D13">
            <v>48527</v>
          </cell>
          <cell r="E13">
            <v>60</v>
          </cell>
          <cell r="G13">
            <v>48467</v>
          </cell>
          <cell r="S13">
            <v>328598.49178062851</v>
          </cell>
        </row>
        <row r="14">
          <cell r="D14">
            <v>13747</v>
          </cell>
          <cell r="E14">
            <v>65</v>
          </cell>
          <cell r="F14">
            <v>2</v>
          </cell>
          <cell r="G14">
            <v>13680</v>
          </cell>
          <cell r="S14">
            <v>167671.11260178528</v>
          </cell>
        </row>
        <row r="15">
          <cell r="C15" t="str">
            <v>45元草菇蒸滑鸡套餐</v>
          </cell>
          <cell r="D15">
            <v>1846</v>
          </cell>
          <cell r="E15">
            <v>36</v>
          </cell>
          <cell r="F15">
            <v>2</v>
          </cell>
          <cell r="G15">
            <v>1808</v>
          </cell>
          <cell r="S15">
            <v>23092.543770762266</v>
          </cell>
        </row>
        <row r="16">
          <cell r="F16">
            <v>6</v>
          </cell>
          <cell r="G16">
            <v>235237</v>
          </cell>
          <cell r="S16">
            <v>1843089.1756634333</v>
          </cell>
        </row>
        <row r="17">
          <cell r="D17">
            <v>19543</v>
          </cell>
          <cell r="E17">
            <v>60</v>
          </cell>
          <cell r="F17">
            <v>2</v>
          </cell>
          <cell r="G17">
            <v>19481</v>
          </cell>
          <cell r="S17">
            <v>227076.01129999594</v>
          </cell>
        </row>
        <row r="18">
          <cell r="D18">
            <v>19670</v>
          </cell>
          <cell r="E18">
            <v>60</v>
          </cell>
          <cell r="F18">
            <v>2</v>
          </cell>
          <cell r="G18">
            <v>19608</v>
          </cell>
          <cell r="S18">
            <v>289051.75521227455</v>
          </cell>
        </row>
        <row r="19">
          <cell r="F19">
            <v>4</v>
          </cell>
          <cell r="G19">
            <v>39089</v>
          </cell>
          <cell r="S19">
            <v>516127.76651227049</v>
          </cell>
        </row>
        <row r="20">
          <cell r="D20">
            <v>26187</v>
          </cell>
          <cell r="E20">
            <v>60</v>
          </cell>
          <cell r="G20">
            <v>26127</v>
          </cell>
          <cell r="S20">
            <v>502120.65196688392</v>
          </cell>
        </row>
        <row r="21">
          <cell r="D21">
            <v>82874</v>
          </cell>
          <cell r="E21">
            <v>60</v>
          </cell>
          <cell r="G21">
            <v>82814</v>
          </cell>
          <cell r="S21">
            <v>1705466.7901154177</v>
          </cell>
        </row>
        <row r="22">
          <cell r="D22">
            <v>9743</v>
          </cell>
          <cell r="E22">
            <v>60</v>
          </cell>
          <cell r="F22">
            <v>2</v>
          </cell>
          <cell r="G22">
            <v>9681</v>
          </cell>
          <cell r="S22">
            <v>180539.57697718439</v>
          </cell>
        </row>
        <row r="23">
          <cell r="F23">
            <v>2</v>
          </cell>
          <cell r="G23">
            <v>118622</v>
          </cell>
          <cell r="S23">
            <v>2388127.0190594862</v>
          </cell>
        </row>
        <row r="24">
          <cell r="D24">
            <v>73800</v>
          </cell>
          <cell r="G24">
            <v>73800</v>
          </cell>
          <cell r="S24">
            <v>911831.14778642927</v>
          </cell>
        </row>
        <row r="25">
          <cell r="D25">
            <v>16100</v>
          </cell>
          <cell r="G25">
            <v>16100</v>
          </cell>
          <cell r="S25">
            <v>188074.65221357063</v>
          </cell>
        </row>
        <row r="26">
          <cell r="G26">
            <v>89900</v>
          </cell>
          <cell r="S26">
            <v>1099905.7999999998</v>
          </cell>
        </row>
        <row r="27">
          <cell r="F27">
            <v>12</v>
          </cell>
          <cell r="G27">
            <v>526029</v>
          </cell>
          <cell r="R27">
            <v>11.484767778962757</v>
          </cell>
          <cell r="S27">
            <v>6041320.9100000001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图表"/>
      <sheetName val="其他成本"/>
      <sheetName val="对比3"/>
    </sheetNames>
    <sheetDataSet>
      <sheetData sheetId="0" refreshError="1">
        <row r="27">
          <cell r="X27">
            <v>20.535052168771045</v>
          </cell>
        </row>
        <row r="28">
          <cell r="X28">
            <v>7.8703126680977809</v>
          </cell>
        </row>
        <row r="29">
          <cell r="X29">
            <v>13.298198695239311</v>
          </cell>
        </row>
        <row r="31">
          <cell r="X31">
            <v>5.2442400379718785</v>
          </cell>
        </row>
        <row r="32">
          <cell r="X32">
            <v>7.4732551886213816</v>
          </cell>
        </row>
        <row r="36">
          <cell r="X36">
            <v>3.6540199388049297</v>
          </cell>
        </row>
      </sheetData>
      <sheetData sheetId="1" refreshError="1">
        <row r="3">
          <cell r="D3">
            <v>28138</v>
          </cell>
          <cell r="E3">
            <v>79</v>
          </cell>
          <cell r="F3">
            <v>2</v>
          </cell>
          <cell r="G3">
            <v>28057</v>
          </cell>
          <cell r="S3">
            <v>102528.14546292752</v>
          </cell>
        </row>
        <row r="5">
          <cell r="D5">
            <v>10996</v>
          </cell>
          <cell r="E5">
            <v>81</v>
          </cell>
          <cell r="F5">
            <v>2</v>
          </cell>
          <cell r="G5">
            <v>10913</v>
          </cell>
          <cell r="S5">
            <v>57240.880014463059</v>
          </cell>
        </row>
        <row r="6">
          <cell r="S6">
            <v>57240.880014463059</v>
          </cell>
        </row>
        <row r="7">
          <cell r="D7">
            <v>5406</v>
          </cell>
          <cell r="E7">
            <v>62</v>
          </cell>
          <cell r="F7">
            <v>2</v>
          </cell>
          <cell r="G7">
            <v>5342</v>
          </cell>
          <cell r="S7">
            <v>39937.075727992662</v>
          </cell>
        </row>
        <row r="9">
          <cell r="D9">
            <v>24437</v>
          </cell>
          <cell r="E9">
            <v>62</v>
          </cell>
          <cell r="F9">
            <v>2</v>
          </cell>
          <cell r="G9">
            <v>24373</v>
          </cell>
          <cell r="S9">
            <v>235593.07716507913</v>
          </cell>
        </row>
        <row r="10">
          <cell r="D10">
            <v>69086</v>
          </cell>
          <cell r="E10">
            <v>81</v>
          </cell>
          <cell r="F10">
            <v>2</v>
          </cell>
          <cell r="G10">
            <v>69003</v>
          </cell>
          <cell r="S10">
            <v>519958.35068157193</v>
          </cell>
        </row>
        <row r="11">
          <cell r="D11">
            <v>61885</v>
          </cell>
          <cell r="E11">
            <v>70</v>
          </cell>
          <cell r="F11">
            <v>2</v>
          </cell>
          <cell r="G11">
            <v>61813</v>
          </cell>
          <cell r="S11">
            <v>437575.36803573766</v>
          </cell>
        </row>
        <row r="12">
          <cell r="D12">
            <v>7099</v>
          </cell>
          <cell r="E12">
            <v>64</v>
          </cell>
          <cell r="F12">
            <v>2</v>
          </cell>
          <cell r="G12">
            <v>7033</v>
          </cell>
          <cell r="S12">
            <v>63168.903941328579</v>
          </cell>
        </row>
        <row r="13">
          <cell r="D13">
            <v>47713</v>
          </cell>
          <cell r="E13">
            <v>62</v>
          </cell>
          <cell r="F13">
            <v>2</v>
          </cell>
          <cell r="G13">
            <v>47649</v>
          </cell>
          <cell r="S13">
            <v>319544.69013370748</v>
          </cell>
        </row>
        <row r="14">
          <cell r="D14">
            <v>13467</v>
          </cell>
          <cell r="E14">
            <v>64</v>
          </cell>
          <cell r="F14">
            <v>2</v>
          </cell>
          <cell r="G14">
            <v>13401</v>
          </cell>
          <cell r="S14">
            <v>167141.44737972904</v>
          </cell>
        </row>
        <row r="15">
          <cell r="D15">
            <v>3282</v>
          </cell>
          <cell r="E15">
            <v>62</v>
          </cell>
          <cell r="F15">
            <v>2</v>
          </cell>
          <cell r="G15">
            <v>3218</v>
          </cell>
          <cell r="S15">
            <v>39675.463237666438</v>
          </cell>
        </row>
        <row r="16">
          <cell r="F16">
            <v>14</v>
          </cell>
          <cell r="G16">
            <v>226490</v>
          </cell>
          <cell r="S16">
            <v>1782657.3005748198</v>
          </cell>
        </row>
        <row r="17">
          <cell r="D17">
            <v>19973</v>
          </cell>
          <cell r="E17">
            <v>62</v>
          </cell>
          <cell r="F17">
            <v>2</v>
          </cell>
          <cell r="G17">
            <v>19909</v>
          </cell>
          <cell r="S17">
            <v>233506.69518386226</v>
          </cell>
        </row>
        <row r="18">
          <cell r="D18">
            <v>19868</v>
          </cell>
          <cell r="E18">
            <v>62</v>
          </cell>
          <cell r="F18">
            <v>2</v>
          </cell>
          <cell r="G18">
            <v>19804</v>
          </cell>
          <cell r="S18">
            <v>294657.86239495745</v>
          </cell>
        </row>
        <row r="19">
          <cell r="F19">
            <v>4</v>
          </cell>
          <cell r="G19">
            <v>39713</v>
          </cell>
          <cell r="S19">
            <v>528164.55757881969</v>
          </cell>
        </row>
        <row r="20">
          <cell r="D20">
            <v>29160</v>
          </cell>
          <cell r="E20">
            <v>62</v>
          </cell>
          <cell r="F20">
            <v>2</v>
          </cell>
          <cell r="G20">
            <v>29096</v>
          </cell>
          <cell r="S20">
            <v>593373.43542274227</v>
          </cell>
        </row>
        <row r="21">
          <cell r="D21">
            <v>86226</v>
          </cell>
          <cell r="E21">
            <v>70</v>
          </cell>
          <cell r="F21">
            <v>2</v>
          </cell>
          <cell r="G21">
            <v>86154</v>
          </cell>
          <cell r="S21">
            <v>1789683.2367937493</v>
          </cell>
        </row>
        <row r="22">
          <cell r="D22">
            <v>8747</v>
          </cell>
          <cell r="E22">
            <v>64</v>
          </cell>
          <cell r="F22">
            <v>7</v>
          </cell>
          <cell r="G22">
            <v>8676</v>
          </cell>
          <cell r="S22">
            <v>161996.08842448538</v>
          </cell>
        </row>
        <row r="23">
          <cell r="F23">
            <v>11</v>
          </cell>
          <cell r="G23">
            <v>123926</v>
          </cell>
          <cell r="S23">
            <v>2545052.760640977</v>
          </cell>
        </row>
        <row r="24">
          <cell r="D24">
            <v>45800</v>
          </cell>
          <cell r="G24">
            <v>45800</v>
          </cell>
          <cell r="S24">
            <v>573067.17844974448</v>
          </cell>
        </row>
        <row r="25">
          <cell r="D25">
            <v>12900</v>
          </cell>
          <cell r="G25">
            <v>12900</v>
          </cell>
          <cell r="S25">
            <v>145346.24155025554</v>
          </cell>
        </row>
        <row r="26">
          <cell r="G26">
            <v>58700</v>
          </cell>
          <cell r="S26">
            <v>718413.41999999993</v>
          </cell>
        </row>
        <row r="27">
          <cell r="F27">
            <v>35</v>
          </cell>
          <cell r="G27">
            <v>493141</v>
          </cell>
          <cell r="P27">
            <v>-402723.19</v>
          </cell>
          <cell r="R27">
            <v>11.708606950142048</v>
          </cell>
          <cell r="S27">
            <v>5773994.1399999997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其他成本"/>
      <sheetName val="图表"/>
      <sheetName val="对比"/>
    </sheetNames>
    <sheetDataSet>
      <sheetData sheetId="0" refreshError="1"/>
      <sheetData sheetId="1" refreshError="1">
        <row r="3">
          <cell r="D3">
            <v>32431</v>
          </cell>
          <cell r="E3">
            <v>65</v>
          </cell>
          <cell r="F3">
            <v>32366</v>
          </cell>
          <cell r="R3">
            <v>115369.96572389941</v>
          </cell>
          <cell r="S3">
            <v>0.85836312109587209</v>
          </cell>
          <cell r="T3">
            <v>1.1629812436837359</v>
          </cell>
          <cell r="U3">
            <v>1.1629812436837359</v>
          </cell>
          <cell r="V3">
            <v>0.35687681038760638</v>
          </cell>
          <cell r="W3">
            <v>3.9380872415174526</v>
          </cell>
          <cell r="X3">
            <v>1.198693306120161</v>
          </cell>
          <cell r="Y3">
            <v>2.7073557171566631</v>
          </cell>
          <cell r="Z3">
            <v>1.5608533077028335</v>
          </cell>
        </row>
        <row r="5">
          <cell r="D5">
            <v>13315</v>
          </cell>
          <cell r="E5">
            <v>60</v>
          </cell>
          <cell r="F5">
            <v>13255</v>
          </cell>
          <cell r="R5">
            <v>69178.038013772704</v>
          </cell>
        </row>
        <row r="7">
          <cell r="D7">
            <v>7131</v>
          </cell>
          <cell r="E7">
            <v>60</v>
          </cell>
          <cell r="F7">
            <v>7071</v>
          </cell>
          <cell r="R7">
            <v>49044.031422910288</v>
          </cell>
        </row>
        <row r="8">
          <cell r="F8">
            <v>7071</v>
          </cell>
        </row>
        <row r="9">
          <cell r="D9">
            <v>32664</v>
          </cell>
          <cell r="E9">
            <v>60</v>
          </cell>
          <cell r="F9">
            <v>32604</v>
          </cell>
          <cell r="R9">
            <v>323137.94437578612</v>
          </cell>
        </row>
        <row r="10">
          <cell r="D10">
            <v>83715</v>
          </cell>
          <cell r="E10">
            <v>60</v>
          </cell>
          <cell r="F10">
            <v>83655</v>
          </cell>
          <cell r="R10">
            <v>621535.79070103017</v>
          </cell>
        </row>
        <row r="11">
          <cell r="D11">
            <v>76831</v>
          </cell>
          <cell r="E11">
            <v>60</v>
          </cell>
          <cell r="F11">
            <v>76771</v>
          </cell>
          <cell r="R11">
            <v>567050.99141496362</v>
          </cell>
        </row>
        <row r="12">
          <cell r="D12">
            <v>7357</v>
          </cell>
          <cell r="E12">
            <v>60</v>
          </cell>
          <cell r="F12">
            <v>7297</v>
          </cell>
          <cell r="R12">
            <v>65134.809599132364</v>
          </cell>
        </row>
        <row r="13">
          <cell r="D13">
            <v>55953</v>
          </cell>
          <cell r="E13">
            <v>60</v>
          </cell>
          <cell r="F13">
            <v>55893</v>
          </cell>
          <cell r="R13">
            <v>368419.69440239895</v>
          </cell>
        </row>
        <row r="14">
          <cell r="D14">
            <v>13064</v>
          </cell>
          <cell r="E14">
            <v>60</v>
          </cell>
          <cell r="F14">
            <v>13004</v>
          </cell>
          <cell r="R14">
            <v>173032.2591163778</v>
          </cell>
        </row>
        <row r="15">
          <cell r="D15">
            <v>4276</v>
          </cell>
          <cell r="E15">
            <v>60</v>
          </cell>
          <cell r="F15">
            <v>4216</v>
          </cell>
          <cell r="R15">
            <v>52204.498864553127</v>
          </cell>
        </row>
        <row r="16">
          <cell r="F16">
            <v>273440</v>
          </cell>
          <cell r="R16">
            <v>2170515.9884742419</v>
          </cell>
        </row>
        <row r="17">
          <cell r="D17">
            <v>25447</v>
          </cell>
          <cell r="E17">
            <v>60</v>
          </cell>
          <cell r="F17">
            <v>25387</v>
          </cell>
          <cell r="R17">
            <v>276321.47937894077</v>
          </cell>
        </row>
        <row r="18">
          <cell r="D18">
            <v>25083</v>
          </cell>
          <cell r="E18">
            <v>60</v>
          </cell>
          <cell r="F18">
            <v>25023</v>
          </cell>
          <cell r="R18">
            <v>366771.62413870223</v>
          </cell>
        </row>
        <row r="19">
          <cell r="F19">
            <v>50410</v>
          </cell>
          <cell r="R19">
            <v>643093.10351764294</v>
          </cell>
        </row>
        <row r="20">
          <cell r="D20">
            <v>9256</v>
          </cell>
          <cell r="E20">
            <v>60</v>
          </cell>
          <cell r="F20">
            <v>9196</v>
          </cell>
          <cell r="R20">
            <v>171934.6733677492</v>
          </cell>
        </row>
        <row r="21">
          <cell r="D21">
            <v>35420</v>
          </cell>
          <cell r="E21">
            <v>65</v>
          </cell>
          <cell r="F21">
            <v>35355</v>
          </cell>
          <cell r="R21">
            <v>655485.65095586947</v>
          </cell>
        </row>
        <row r="22">
          <cell r="D22">
            <v>4</v>
          </cell>
          <cell r="R22">
            <v>28.6787071676351</v>
          </cell>
        </row>
        <row r="23">
          <cell r="D23">
            <v>107790</v>
          </cell>
          <cell r="E23">
            <v>65</v>
          </cell>
          <cell r="F23">
            <v>107725</v>
          </cell>
          <cell r="R23">
            <v>2129511.3598167454</v>
          </cell>
        </row>
        <row r="24">
          <cell r="F24">
            <v>152278</v>
          </cell>
          <cell r="R24">
            <v>2956960.3628475317</v>
          </cell>
        </row>
        <row r="25">
          <cell r="D25">
            <v>62349</v>
          </cell>
          <cell r="F25">
            <v>62349</v>
          </cell>
          <cell r="R25">
            <v>771437.37477691076</v>
          </cell>
        </row>
        <row r="26">
          <cell r="D26">
            <v>15400</v>
          </cell>
          <cell r="F26">
            <v>15400</v>
          </cell>
          <cell r="R26">
            <v>174053.36522308929</v>
          </cell>
        </row>
        <row r="27">
          <cell r="F27">
            <v>77749</v>
          </cell>
          <cell r="R27">
            <v>945490.74</v>
          </cell>
        </row>
        <row r="28">
          <cell r="D28">
            <v>607486</v>
          </cell>
          <cell r="E28">
            <v>917</v>
          </cell>
          <cell r="F28">
            <v>606569</v>
          </cell>
          <cell r="O28">
            <v>-464507.88</v>
          </cell>
          <cell r="Q28">
            <v>11.457315210635556</v>
          </cell>
          <cell r="R28">
            <v>6949652.2299999986</v>
          </cell>
          <cell r="X28">
            <v>727090.2</v>
          </cell>
          <cell r="Y28">
            <v>1642198.05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表"/>
      <sheetName val="明细表"/>
      <sheetName val="包材"/>
      <sheetName val="明细表1"/>
      <sheetName val="明细表2"/>
      <sheetName val="其他成本"/>
      <sheetName val="图表"/>
      <sheetName val="对比"/>
    </sheetNames>
    <sheetDataSet>
      <sheetData sheetId="0">
        <row r="49">
          <cell r="S49">
            <v>19.097227863603319</v>
          </cell>
        </row>
        <row r="50">
          <cell r="S50">
            <v>7.7680865254397098</v>
          </cell>
        </row>
        <row r="51">
          <cell r="S51">
            <v>12.695195344214484</v>
          </cell>
        </row>
      </sheetData>
      <sheetData sheetId="1">
        <row r="3">
          <cell r="D3">
            <v>34053</v>
          </cell>
          <cell r="E3">
            <v>62</v>
          </cell>
          <cell r="G3">
            <v>33991</v>
          </cell>
          <cell r="T3">
            <v>1.2206110183400074</v>
          </cell>
          <cell r="U3">
            <v>0.18353287799843762</v>
          </cell>
          <cell r="V3">
            <v>1.0924799220244963</v>
          </cell>
          <cell r="W3">
            <v>0.27921190273129265</v>
          </cell>
          <cell r="X3">
            <v>3.8549460119973338</v>
          </cell>
          <cell r="Y3">
            <v>1.0421926310282303</v>
          </cell>
          <cell r="Z3">
            <v>1.8071775734424609</v>
          </cell>
          <cell r="AA3">
            <v>1.6581504325203718</v>
          </cell>
        </row>
        <row r="4">
          <cell r="G4">
            <v>33991</v>
          </cell>
          <cell r="S4">
            <v>115479.92265221299</v>
          </cell>
        </row>
        <row r="5">
          <cell r="D5">
            <v>13749</v>
          </cell>
          <cell r="E5">
            <v>62</v>
          </cell>
          <cell r="G5">
            <v>13687</v>
          </cell>
          <cell r="S5">
            <v>72469.885384011373</v>
          </cell>
        </row>
        <row r="6">
          <cell r="G6">
            <v>13687</v>
          </cell>
          <cell r="S6">
            <v>72469.885384011373</v>
          </cell>
        </row>
        <row r="7">
          <cell r="D7">
            <v>6867</v>
          </cell>
          <cell r="E7">
            <v>62</v>
          </cell>
          <cell r="G7">
            <v>6805</v>
          </cell>
          <cell r="S7">
            <v>50630.98692287469</v>
          </cell>
        </row>
        <row r="8">
          <cell r="G8">
            <v>6805</v>
          </cell>
          <cell r="S8">
            <v>50630.98692287469</v>
          </cell>
        </row>
        <row r="9">
          <cell r="D9">
            <v>38282</v>
          </cell>
          <cell r="E9">
            <v>62</v>
          </cell>
          <cell r="G9">
            <v>38220</v>
          </cell>
          <cell r="S9">
            <v>360044.85692021</v>
          </cell>
        </row>
        <row r="10">
          <cell r="D10">
            <v>93798</v>
          </cell>
          <cell r="E10">
            <v>62</v>
          </cell>
          <cell r="G10">
            <v>93736</v>
          </cell>
          <cell r="S10">
            <v>689678.46145873389</v>
          </cell>
        </row>
        <row r="11">
          <cell r="D11">
            <v>80283</v>
          </cell>
          <cell r="E11">
            <v>67</v>
          </cell>
          <cell r="G11">
            <v>80214</v>
          </cell>
          <cell r="S11">
            <v>573954.03234478633</v>
          </cell>
        </row>
        <row r="12">
          <cell r="D12">
            <v>5601</v>
          </cell>
          <cell r="E12">
            <v>62</v>
          </cell>
          <cell r="G12">
            <v>5539</v>
          </cell>
          <cell r="S12">
            <v>50989.791029592976</v>
          </cell>
        </row>
        <row r="13">
          <cell r="D13">
            <v>61889</v>
          </cell>
          <cell r="E13">
            <v>62</v>
          </cell>
          <cell r="G13">
            <v>61827</v>
          </cell>
          <cell r="S13">
            <v>413776.14108623302</v>
          </cell>
        </row>
        <row r="14">
          <cell r="D14">
            <v>12132</v>
          </cell>
          <cell r="E14">
            <v>62</v>
          </cell>
          <cell r="G14">
            <v>12068</v>
          </cell>
          <cell r="S14">
            <v>153083.47503739857</v>
          </cell>
        </row>
        <row r="15">
          <cell r="D15">
            <v>4996</v>
          </cell>
          <cell r="E15">
            <v>67</v>
          </cell>
          <cell r="G15">
            <v>4928</v>
          </cell>
          <cell r="S15">
            <v>61998.316117359973</v>
          </cell>
        </row>
        <row r="16">
          <cell r="D16">
            <v>296981</v>
          </cell>
          <cell r="E16">
            <v>444</v>
          </cell>
          <cell r="F16">
            <v>5</v>
          </cell>
          <cell r="G16">
            <v>296532</v>
          </cell>
          <cell r="S16">
            <v>2303525.0739943152</v>
          </cell>
        </row>
        <row r="17">
          <cell r="D17">
            <v>26836</v>
          </cell>
          <cell r="E17">
            <v>62</v>
          </cell>
          <cell r="G17">
            <v>26772</v>
          </cell>
          <cell r="S17">
            <v>294088.17037880019</v>
          </cell>
        </row>
        <row r="18">
          <cell r="D18">
            <v>26507</v>
          </cell>
          <cell r="E18">
            <v>62</v>
          </cell>
          <cell r="G18">
            <v>26443</v>
          </cell>
          <cell r="S18">
            <v>381537.43064495048</v>
          </cell>
        </row>
        <row r="19">
          <cell r="F19">
            <v>4</v>
          </cell>
          <cell r="G19">
            <v>53215</v>
          </cell>
          <cell r="S19">
            <v>675625.60102375061</v>
          </cell>
        </row>
        <row r="20">
          <cell r="D20">
            <v>9010</v>
          </cell>
          <cell r="E20">
            <v>62</v>
          </cell>
          <cell r="F20">
            <v>2</v>
          </cell>
          <cell r="G20">
            <v>8946</v>
          </cell>
          <cell r="S20">
            <v>170610.01658804834</v>
          </cell>
        </row>
        <row r="21">
          <cell r="D21">
            <v>43773</v>
          </cell>
          <cell r="E21">
            <v>62</v>
          </cell>
          <cell r="F21">
            <v>2</v>
          </cell>
          <cell r="G21">
            <v>43709</v>
          </cell>
          <cell r="S21">
            <v>818992.31432928389</v>
          </cell>
        </row>
        <row r="22">
          <cell r="D22">
            <v>136683</v>
          </cell>
          <cell r="E22">
            <v>62</v>
          </cell>
          <cell r="F22">
            <v>2</v>
          </cell>
          <cell r="G22">
            <v>136619</v>
          </cell>
          <cell r="S22">
            <v>2625120.9591055037</v>
          </cell>
        </row>
        <row r="23">
          <cell r="F23">
            <v>6</v>
          </cell>
          <cell r="G23">
            <v>189274</v>
          </cell>
          <cell r="S23">
            <v>3614723.2900228361</v>
          </cell>
        </row>
        <row r="24">
          <cell r="D24">
            <v>88151</v>
          </cell>
          <cell r="G24">
            <v>88151</v>
          </cell>
          <cell r="S24">
            <v>1074226.4951904523</v>
          </cell>
        </row>
        <row r="25">
          <cell r="D25">
            <v>16000</v>
          </cell>
          <cell r="G25">
            <v>16000</v>
          </cell>
          <cell r="S25">
            <v>178923.1948095478</v>
          </cell>
        </row>
        <row r="26">
          <cell r="G26">
            <v>104151</v>
          </cell>
          <cell r="S26">
            <v>1253149.69</v>
          </cell>
        </row>
        <row r="27">
          <cell r="D27">
            <v>698610</v>
          </cell>
          <cell r="E27">
            <v>940</v>
          </cell>
          <cell r="F27">
            <v>15</v>
          </cell>
          <cell r="G27">
            <v>697655</v>
          </cell>
          <cell r="P27">
            <v>-515143.55</v>
          </cell>
          <cell r="R27">
            <v>11.589688958009333</v>
          </cell>
          <cell r="S27">
            <v>8085604.4500000011</v>
          </cell>
          <cell r="Y27">
            <v>727090.9</v>
          </cell>
        </row>
      </sheetData>
      <sheetData sheetId="2"/>
      <sheetData sheetId="3"/>
      <sheetData sheetId="4"/>
      <sheetData sheetId="5"/>
      <sheetData sheetId="6">
        <row r="1">
          <cell r="Q1">
            <v>42005</v>
          </cell>
          <cell r="R1">
            <v>42037</v>
          </cell>
          <cell r="S1">
            <v>42066</v>
          </cell>
          <cell r="T1">
            <v>42098</v>
          </cell>
          <cell r="U1">
            <v>42129</v>
          </cell>
          <cell r="V1">
            <v>42161</v>
          </cell>
          <cell r="W1">
            <v>42192</v>
          </cell>
          <cell r="X1">
            <v>42224</v>
          </cell>
          <cell r="Y1">
            <v>42256</v>
          </cell>
          <cell r="Z1">
            <v>42287</v>
          </cell>
          <cell r="AA1">
            <v>42319</v>
          </cell>
          <cell r="AB1">
            <v>42350</v>
          </cell>
        </row>
        <row r="2">
          <cell r="P2" t="str">
            <v>菜品单价</v>
          </cell>
          <cell r="Q2">
            <v>10.366357140657971</v>
          </cell>
          <cell r="R2">
            <v>10.516188615181768</v>
          </cell>
          <cell r="S2">
            <v>10.612724071157471</v>
          </cell>
          <cell r="T2">
            <v>11.20614942243224</v>
          </cell>
          <cell r="U2">
            <v>11.484767778962757</v>
          </cell>
          <cell r="V2">
            <v>11.708606950142048</v>
          </cell>
          <cell r="W2">
            <v>11.457315210635556</v>
          </cell>
          <cell r="X2">
            <v>11.589688958009333</v>
          </cell>
        </row>
        <row r="3">
          <cell r="P3" t="str">
            <v>制造费用</v>
          </cell>
          <cell r="Q3">
            <v>1.6435419918197616</v>
          </cell>
          <cell r="R3">
            <v>0.34791518909346608</v>
          </cell>
          <cell r="S3">
            <v>3.322252330174793</v>
          </cell>
          <cell r="T3">
            <v>0.99138071780156956</v>
          </cell>
          <cell r="U3">
            <v>0.80563970807692864</v>
          </cell>
          <cell r="V3">
            <v>2.2614458339501242</v>
          </cell>
          <cell r="W3">
            <v>0.85836312109587209</v>
          </cell>
          <cell r="X3">
            <v>1.2206110183400074</v>
          </cell>
        </row>
        <row r="4">
          <cell r="P4" t="str">
            <v>水</v>
          </cell>
          <cell r="Q4">
            <v>0.19604011491176757</v>
          </cell>
          <cell r="R4">
            <v>0.22521137016817402</v>
          </cell>
          <cell r="S4">
            <v>0.23345400325320803</v>
          </cell>
          <cell r="T4">
            <v>0.18530464140722649</v>
          </cell>
          <cell r="U4">
            <v>0.19197325622731826</v>
          </cell>
          <cell r="V4">
            <v>0.20133767015924453</v>
          </cell>
          <cell r="W4">
            <v>1.1629812436837359</v>
          </cell>
          <cell r="X4">
            <v>0.18353287799843762</v>
          </cell>
        </row>
        <row r="5">
          <cell r="P5" t="str">
            <v>电</v>
          </cell>
          <cell r="Q5">
            <v>1.1410248509723211</v>
          </cell>
          <cell r="R5">
            <v>1.0566967136473904</v>
          </cell>
          <cell r="S5">
            <v>1.173419173272056</v>
          </cell>
          <cell r="T5">
            <v>0.93728611711122722</v>
          </cell>
          <cell r="U5">
            <v>0.97255714038579621</v>
          </cell>
          <cell r="V5">
            <v>1.2208061791657963</v>
          </cell>
          <cell r="W5">
            <v>1.1629812436837359</v>
          </cell>
          <cell r="X5">
            <v>1.0924799220244963</v>
          </cell>
        </row>
        <row r="6">
          <cell r="P6" t="str">
            <v>天然气</v>
          </cell>
          <cell r="Q6">
            <v>1.3324477248559459</v>
          </cell>
          <cell r="R6">
            <v>0.69789982807726614</v>
          </cell>
          <cell r="S6">
            <v>0.72709522088249723</v>
          </cell>
          <cell r="T6">
            <v>0.3523128344636956</v>
          </cell>
          <cell r="U6">
            <v>0.43785268492801727</v>
          </cell>
          <cell r="V6">
            <v>0.3814683021691565</v>
          </cell>
          <cell r="W6">
            <v>0.35687681038760638</v>
          </cell>
          <cell r="X6">
            <v>0.27921190273129265</v>
          </cell>
        </row>
        <row r="7">
          <cell r="P7" t="str">
            <v>人工</v>
          </cell>
          <cell r="Q7">
            <v>5.7372749901121889</v>
          </cell>
          <cell r="R7">
            <v>5.4857334508210487</v>
          </cell>
          <cell r="S7">
            <v>7.6730159303916752</v>
          </cell>
          <cell r="T7">
            <v>4.6592954527841091</v>
          </cell>
          <cell r="U7">
            <v>4.7211791935425609</v>
          </cell>
          <cell r="V7">
            <v>5.0946159617634708</v>
          </cell>
          <cell r="W7">
            <v>3.9380872415174526</v>
          </cell>
          <cell r="X7">
            <v>3.8549460119973338</v>
          </cell>
        </row>
        <row r="8">
          <cell r="P8" t="str">
            <v>折旧</v>
          </cell>
          <cell r="Q8">
            <v>1.6509725817491123</v>
          </cell>
          <cell r="R8">
            <v>1.5018511209448424</v>
          </cell>
          <cell r="S8">
            <v>1.799854638403346</v>
          </cell>
          <cell r="T8">
            <v>1.3828843016427843</v>
          </cell>
          <cell r="U8">
            <v>1.320626809548523</v>
          </cell>
          <cell r="V8">
            <v>1.4744075832267038</v>
          </cell>
          <cell r="W8">
            <v>1.198693306120161</v>
          </cell>
          <cell r="X8">
            <v>1.0421926310282303</v>
          </cell>
        </row>
        <row r="9">
          <cell r="P9" t="str">
            <v>分拨配送</v>
          </cell>
          <cell r="Q9">
            <v>1.5227313333507011</v>
          </cell>
          <cell r="R9">
            <v>2.9677458516638588</v>
          </cell>
          <cell r="S9">
            <v>3.5706594975600936</v>
          </cell>
          <cell r="T9">
            <v>2.3314886602772882</v>
          </cell>
          <cell r="U9">
            <v>3.3691332036826869</v>
          </cell>
          <cell r="V9">
            <v>2.9751332783118825</v>
          </cell>
          <cell r="W9">
            <v>2.7073557171566631</v>
          </cell>
          <cell r="X9">
            <v>1.8071775734424609</v>
          </cell>
        </row>
        <row r="10">
          <cell r="P10" t="str">
            <v>管理费用</v>
          </cell>
          <cell r="Q10">
            <v>2.0253863114790982</v>
          </cell>
          <cell r="R10">
            <v>2.0758242165450853</v>
          </cell>
          <cell r="S10">
            <v>3.40641984456895</v>
          </cell>
          <cell r="T10">
            <v>0.85836762512516596</v>
          </cell>
          <cell r="U10">
            <v>1.7127136336589805</v>
          </cell>
          <cell r="V10">
            <v>1.4446655824601886</v>
          </cell>
          <cell r="W10">
            <v>1.5608533077028335</v>
          </cell>
          <cell r="X10">
            <v>1.6581504325203718</v>
          </cell>
        </row>
        <row r="11">
          <cell r="P11" t="str">
            <v>合计</v>
          </cell>
          <cell r="Q11">
            <v>25.61577703990887</v>
          </cell>
          <cell r="R11">
            <v>24.875066356142902</v>
          </cell>
          <cell r="S11">
            <v>32.518894709664089</v>
          </cell>
          <cell r="T11">
            <v>22.904469773045303</v>
          </cell>
          <cell r="U11">
            <v>25.016443409013565</v>
          </cell>
          <cell r="V11">
            <v>26.762487341348617</v>
          </cell>
          <cell r="W11">
            <v>24.403507201983615</v>
          </cell>
          <cell r="X11">
            <v>22.72799132809196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</sheetData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</sheetNames>
    <sheetDataSet>
      <sheetData sheetId="0">
        <row r="3">
          <cell r="L3">
            <v>55276.361469643583</v>
          </cell>
        </row>
        <row r="5">
          <cell r="L5">
            <v>41081.015190058934</v>
          </cell>
        </row>
        <row r="7">
          <cell r="L7">
            <v>31795.89</v>
          </cell>
        </row>
        <row r="9">
          <cell r="L9">
            <v>208497.35095575167</v>
          </cell>
        </row>
        <row r="10">
          <cell r="L10">
            <v>414549.82876609813</v>
          </cell>
        </row>
        <row r="11">
          <cell r="L11">
            <v>393009.71945648442</v>
          </cell>
        </row>
        <row r="12">
          <cell r="L12">
            <v>31066.805055037577</v>
          </cell>
        </row>
        <row r="13">
          <cell r="L13">
            <v>41628.102589104747</v>
          </cell>
        </row>
        <row r="14">
          <cell r="L14">
            <v>94692.077692340681</v>
          </cell>
        </row>
        <row r="15">
          <cell r="L15">
            <v>280561.08955087443</v>
          </cell>
        </row>
        <row r="17">
          <cell r="L17">
            <v>220711.02</v>
          </cell>
        </row>
        <row r="18">
          <cell r="L18">
            <v>275740.82</v>
          </cell>
        </row>
        <row r="20">
          <cell r="L20">
            <v>106488.56015456954</v>
          </cell>
        </row>
        <row r="21">
          <cell r="L21">
            <v>537294.37792533962</v>
          </cell>
        </row>
        <row r="22">
          <cell r="L22">
            <v>1732062.1811946966</v>
          </cell>
        </row>
        <row r="24">
          <cell r="L24">
            <v>622318.24</v>
          </cell>
        </row>
        <row r="26">
          <cell r="L26">
            <v>90395.14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workbookViewId="0">
      <selection activeCell="J30" sqref="J30"/>
    </sheetView>
  </sheetViews>
  <sheetFormatPr defaultColWidth="8.375" defaultRowHeight="13.5" x14ac:dyDescent="0.15"/>
  <cols>
    <col min="1" max="1" width="23.75" style="4" bestFit="1" customWidth="1"/>
    <col min="2" max="2" width="8.625" style="295" customWidth="1"/>
    <col min="3" max="3" width="9.125" style="296" customWidth="1"/>
    <col min="4" max="4" width="7.625" style="297" bestFit="1" customWidth="1"/>
    <col min="5" max="5" width="14.25" style="293" customWidth="1"/>
    <col min="6" max="6" width="8.875" style="294" bestFit="1" customWidth="1"/>
    <col min="7" max="7" width="8.625" style="295" bestFit="1" customWidth="1"/>
    <col min="8" max="8" width="11.75" style="296" bestFit="1" customWidth="1"/>
    <col min="9" max="9" width="7.25" style="297" bestFit="1" customWidth="1"/>
    <col min="10" max="10" width="14.125" style="293" customWidth="1"/>
    <col min="11" max="11" width="8.75" style="294" bestFit="1" customWidth="1"/>
    <col min="12" max="12" width="7.625" style="295" bestFit="1" customWidth="1"/>
    <col min="13" max="13" width="9.75" style="298" bestFit="1" customWidth="1"/>
    <col min="14" max="14" width="6.875" style="299" bestFit="1" customWidth="1"/>
    <col min="15" max="15" width="13.25" style="295" bestFit="1" customWidth="1"/>
    <col min="16" max="16" width="10.75" style="298" bestFit="1" customWidth="1"/>
    <col min="17" max="17" width="8.75" style="4" bestFit="1" customWidth="1"/>
    <col min="18" max="18" width="9.125" style="4" bestFit="1" customWidth="1"/>
    <col min="19" max="19" width="6.875" style="4" bestFit="1" customWidth="1"/>
    <col min="20" max="20" width="12.125" style="4" bestFit="1" customWidth="1"/>
    <col min="21" max="21" width="9.125" style="4" bestFit="1" customWidth="1"/>
    <col min="22" max="23" width="8.75" style="4" bestFit="1" customWidth="1"/>
    <col min="24" max="24" width="6.875" style="4" bestFit="1" customWidth="1"/>
    <col min="25" max="25" width="12" style="4" customWidth="1"/>
    <col min="26" max="26" width="8.375" style="4" bestFit="1" customWidth="1"/>
    <col min="27" max="29" width="8" style="4" customWidth="1"/>
    <col min="30" max="30" width="8.875" style="4" bestFit="1" customWidth="1"/>
    <col min="31" max="242" width="8" style="4" customWidth="1"/>
    <col min="243" max="243" width="11.375" style="4" bestFit="1" customWidth="1"/>
    <col min="244" max="244" width="9.25" style="4" customWidth="1"/>
    <col min="245" max="245" width="8.75" style="4" bestFit="1" customWidth="1"/>
    <col min="246" max="246" width="7.375" style="4" bestFit="1" customWidth="1"/>
    <col min="247" max="247" width="16.375" style="4" bestFit="1" customWidth="1"/>
    <col min="248" max="248" width="8.75" style="4" bestFit="1" customWidth="1"/>
    <col min="249" max="249" width="9.25" style="4" customWidth="1"/>
    <col min="250" max="250" width="8.75" style="4" bestFit="1" customWidth="1"/>
    <col min="251" max="256" width="8.375" style="4"/>
    <col min="257" max="257" width="19.375" style="4" customWidth="1"/>
    <col min="258" max="258" width="9.25" style="4" customWidth="1"/>
    <col min="259" max="259" width="8.75" style="4" bestFit="1" customWidth="1"/>
    <col min="260" max="260" width="8.375" style="4" bestFit="1" customWidth="1"/>
    <col min="261" max="261" width="13" style="4" customWidth="1"/>
    <col min="262" max="262" width="8.75" style="4" bestFit="1" customWidth="1"/>
    <col min="263" max="263" width="12.375" style="4" bestFit="1" customWidth="1"/>
    <col min="264" max="264" width="8.75" style="4" bestFit="1" customWidth="1"/>
    <col min="265" max="265" width="8.375" style="4" bestFit="1" customWidth="1"/>
    <col min="266" max="266" width="13" style="4" customWidth="1"/>
    <col min="267" max="267" width="8.75" style="4" bestFit="1" customWidth="1"/>
    <col min="268" max="268" width="12.375" style="4" bestFit="1" customWidth="1"/>
    <col min="269" max="269" width="8" style="4" bestFit="1" customWidth="1"/>
    <col min="270" max="270" width="10" style="4" customWidth="1"/>
    <col min="271" max="271" width="14.375" style="4" bestFit="1" customWidth="1"/>
    <col min="272" max="272" width="8" style="4" bestFit="1" customWidth="1"/>
    <col min="273" max="498" width="8" style="4" customWidth="1"/>
    <col min="499" max="499" width="11.375" style="4" bestFit="1" customWidth="1"/>
    <col min="500" max="500" width="9.25" style="4" customWidth="1"/>
    <col min="501" max="501" width="8.75" style="4" bestFit="1" customWidth="1"/>
    <col min="502" max="502" width="7.375" style="4" bestFit="1" customWidth="1"/>
    <col min="503" max="503" width="16.375" style="4" bestFit="1" customWidth="1"/>
    <col min="504" max="504" width="8.75" style="4" bestFit="1" customWidth="1"/>
    <col min="505" max="505" width="9.25" style="4" customWidth="1"/>
    <col min="506" max="506" width="8.75" style="4" bestFit="1" customWidth="1"/>
    <col min="507" max="512" width="8.375" style="4"/>
    <col min="513" max="513" width="19.375" style="4" customWidth="1"/>
    <col min="514" max="514" width="9.25" style="4" customWidth="1"/>
    <col min="515" max="515" width="8.75" style="4" bestFit="1" customWidth="1"/>
    <col min="516" max="516" width="8.375" style="4" bestFit="1" customWidth="1"/>
    <col min="517" max="517" width="13" style="4" customWidth="1"/>
    <col min="518" max="518" width="8.75" style="4" bestFit="1" customWidth="1"/>
    <col min="519" max="519" width="12.375" style="4" bestFit="1" customWidth="1"/>
    <col min="520" max="520" width="8.75" style="4" bestFit="1" customWidth="1"/>
    <col min="521" max="521" width="8.375" style="4" bestFit="1" customWidth="1"/>
    <col min="522" max="522" width="13" style="4" customWidth="1"/>
    <col min="523" max="523" width="8.75" style="4" bestFit="1" customWidth="1"/>
    <col min="524" max="524" width="12.375" style="4" bestFit="1" customWidth="1"/>
    <col min="525" max="525" width="8" style="4" bestFit="1" customWidth="1"/>
    <col min="526" max="526" width="10" style="4" customWidth="1"/>
    <col min="527" max="527" width="14.375" style="4" bestFit="1" customWidth="1"/>
    <col min="528" max="528" width="8" style="4" bestFit="1" customWidth="1"/>
    <col min="529" max="754" width="8" style="4" customWidth="1"/>
    <col min="755" max="755" width="11.375" style="4" bestFit="1" customWidth="1"/>
    <col min="756" max="756" width="9.25" style="4" customWidth="1"/>
    <col min="757" max="757" width="8.75" style="4" bestFit="1" customWidth="1"/>
    <col min="758" max="758" width="7.375" style="4" bestFit="1" customWidth="1"/>
    <col min="759" max="759" width="16.375" style="4" bestFit="1" customWidth="1"/>
    <col min="760" max="760" width="8.75" style="4" bestFit="1" customWidth="1"/>
    <col min="761" max="761" width="9.25" style="4" customWidth="1"/>
    <col min="762" max="762" width="8.75" style="4" bestFit="1" customWidth="1"/>
    <col min="763" max="768" width="8.375" style="4"/>
    <col min="769" max="769" width="19.375" style="4" customWidth="1"/>
    <col min="770" max="770" width="9.25" style="4" customWidth="1"/>
    <col min="771" max="771" width="8.75" style="4" bestFit="1" customWidth="1"/>
    <col min="772" max="772" width="8.375" style="4" bestFit="1" customWidth="1"/>
    <col min="773" max="773" width="13" style="4" customWidth="1"/>
    <col min="774" max="774" width="8.75" style="4" bestFit="1" customWidth="1"/>
    <col min="775" max="775" width="12.375" style="4" bestFit="1" customWidth="1"/>
    <col min="776" max="776" width="8.75" style="4" bestFit="1" customWidth="1"/>
    <col min="777" max="777" width="8.375" style="4" bestFit="1" customWidth="1"/>
    <col min="778" max="778" width="13" style="4" customWidth="1"/>
    <col min="779" max="779" width="8.75" style="4" bestFit="1" customWidth="1"/>
    <col min="780" max="780" width="12.375" style="4" bestFit="1" customWidth="1"/>
    <col min="781" max="781" width="8" style="4" bestFit="1" customWidth="1"/>
    <col min="782" max="782" width="10" style="4" customWidth="1"/>
    <col min="783" max="783" width="14.375" style="4" bestFit="1" customWidth="1"/>
    <col min="784" max="784" width="8" style="4" bestFit="1" customWidth="1"/>
    <col min="785" max="1010" width="8" style="4" customWidth="1"/>
    <col min="1011" max="1011" width="11.375" style="4" bestFit="1" customWidth="1"/>
    <col min="1012" max="1012" width="9.25" style="4" customWidth="1"/>
    <col min="1013" max="1013" width="8.75" style="4" bestFit="1" customWidth="1"/>
    <col min="1014" max="1014" width="7.375" style="4" bestFit="1" customWidth="1"/>
    <col min="1015" max="1015" width="16.375" style="4" bestFit="1" customWidth="1"/>
    <col min="1016" max="1016" width="8.75" style="4" bestFit="1" customWidth="1"/>
    <col min="1017" max="1017" width="9.25" style="4" customWidth="1"/>
    <col min="1018" max="1018" width="8.75" style="4" bestFit="1" customWidth="1"/>
    <col min="1019" max="1024" width="8.375" style="4"/>
    <col min="1025" max="1025" width="19.375" style="4" customWidth="1"/>
    <col min="1026" max="1026" width="9.25" style="4" customWidth="1"/>
    <col min="1027" max="1027" width="8.75" style="4" bestFit="1" customWidth="1"/>
    <col min="1028" max="1028" width="8.375" style="4" bestFit="1" customWidth="1"/>
    <col min="1029" max="1029" width="13" style="4" customWidth="1"/>
    <col min="1030" max="1030" width="8.75" style="4" bestFit="1" customWidth="1"/>
    <col min="1031" max="1031" width="12.375" style="4" bestFit="1" customWidth="1"/>
    <col min="1032" max="1032" width="8.75" style="4" bestFit="1" customWidth="1"/>
    <col min="1033" max="1033" width="8.375" style="4" bestFit="1" customWidth="1"/>
    <col min="1034" max="1034" width="13" style="4" customWidth="1"/>
    <col min="1035" max="1035" width="8.75" style="4" bestFit="1" customWidth="1"/>
    <col min="1036" max="1036" width="12.375" style="4" bestFit="1" customWidth="1"/>
    <col min="1037" max="1037" width="8" style="4" bestFit="1" customWidth="1"/>
    <col min="1038" max="1038" width="10" style="4" customWidth="1"/>
    <col min="1039" max="1039" width="14.375" style="4" bestFit="1" customWidth="1"/>
    <col min="1040" max="1040" width="8" style="4" bestFit="1" customWidth="1"/>
    <col min="1041" max="1266" width="8" style="4" customWidth="1"/>
    <col min="1267" max="1267" width="11.375" style="4" bestFit="1" customWidth="1"/>
    <col min="1268" max="1268" width="9.25" style="4" customWidth="1"/>
    <col min="1269" max="1269" width="8.75" style="4" bestFit="1" customWidth="1"/>
    <col min="1270" max="1270" width="7.375" style="4" bestFit="1" customWidth="1"/>
    <col min="1271" max="1271" width="16.375" style="4" bestFit="1" customWidth="1"/>
    <col min="1272" max="1272" width="8.75" style="4" bestFit="1" customWidth="1"/>
    <col min="1273" max="1273" width="9.25" style="4" customWidth="1"/>
    <col min="1274" max="1274" width="8.75" style="4" bestFit="1" customWidth="1"/>
    <col min="1275" max="1280" width="8.375" style="4"/>
    <col min="1281" max="1281" width="19.375" style="4" customWidth="1"/>
    <col min="1282" max="1282" width="9.25" style="4" customWidth="1"/>
    <col min="1283" max="1283" width="8.75" style="4" bestFit="1" customWidth="1"/>
    <col min="1284" max="1284" width="8.375" style="4" bestFit="1" customWidth="1"/>
    <col min="1285" max="1285" width="13" style="4" customWidth="1"/>
    <col min="1286" max="1286" width="8.75" style="4" bestFit="1" customWidth="1"/>
    <col min="1287" max="1287" width="12.375" style="4" bestFit="1" customWidth="1"/>
    <col min="1288" max="1288" width="8.75" style="4" bestFit="1" customWidth="1"/>
    <col min="1289" max="1289" width="8.375" style="4" bestFit="1" customWidth="1"/>
    <col min="1290" max="1290" width="13" style="4" customWidth="1"/>
    <col min="1291" max="1291" width="8.75" style="4" bestFit="1" customWidth="1"/>
    <col min="1292" max="1292" width="12.375" style="4" bestFit="1" customWidth="1"/>
    <col min="1293" max="1293" width="8" style="4" bestFit="1" customWidth="1"/>
    <col min="1294" max="1294" width="10" style="4" customWidth="1"/>
    <col min="1295" max="1295" width="14.375" style="4" bestFit="1" customWidth="1"/>
    <col min="1296" max="1296" width="8" style="4" bestFit="1" customWidth="1"/>
    <col min="1297" max="1522" width="8" style="4" customWidth="1"/>
    <col min="1523" max="1523" width="11.375" style="4" bestFit="1" customWidth="1"/>
    <col min="1524" max="1524" width="9.25" style="4" customWidth="1"/>
    <col min="1525" max="1525" width="8.75" style="4" bestFit="1" customWidth="1"/>
    <col min="1526" max="1526" width="7.375" style="4" bestFit="1" customWidth="1"/>
    <col min="1527" max="1527" width="16.375" style="4" bestFit="1" customWidth="1"/>
    <col min="1528" max="1528" width="8.75" style="4" bestFit="1" customWidth="1"/>
    <col min="1529" max="1529" width="9.25" style="4" customWidth="1"/>
    <col min="1530" max="1530" width="8.75" style="4" bestFit="1" customWidth="1"/>
    <col min="1531" max="1536" width="8.375" style="4"/>
    <col min="1537" max="1537" width="19.375" style="4" customWidth="1"/>
    <col min="1538" max="1538" width="9.25" style="4" customWidth="1"/>
    <col min="1539" max="1539" width="8.75" style="4" bestFit="1" customWidth="1"/>
    <col min="1540" max="1540" width="8.375" style="4" bestFit="1" customWidth="1"/>
    <col min="1541" max="1541" width="13" style="4" customWidth="1"/>
    <col min="1542" max="1542" width="8.75" style="4" bestFit="1" customWidth="1"/>
    <col min="1543" max="1543" width="12.375" style="4" bestFit="1" customWidth="1"/>
    <col min="1544" max="1544" width="8.75" style="4" bestFit="1" customWidth="1"/>
    <col min="1545" max="1545" width="8.375" style="4" bestFit="1" customWidth="1"/>
    <col min="1546" max="1546" width="13" style="4" customWidth="1"/>
    <col min="1547" max="1547" width="8.75" style="4" bestFit="1" customWidth="1"/>
    <col min="1548" max="1548" width="12.375" style="4" bestFit="1" customWidth="1"/>
    <col min="1549" max="1549" width="8" style="4" bestFit="1" customWidth="1"/>
    <col min="1550" max="1550" width="10" style="4" customWidth="1"/>
    <col min="1551" max="1551" width="14.375" style="4" bestFit="1" customWidth="1"/>
    <col min="1552" max="1552" width="8" style="4" bestFit="1" customWidth="1"/>
    <col min="1553" max="1778" width="8" style="4" customWidth="1"/>
    <col min="1779" max="1779" width="11.375" style="4" bestFit="1" customWidth="1"/>
    <col min="1780" max="1780" width="9.25" style="4" customWidth="1"/>
    <col min="1781" max="1781" width="8.75" style="4" bestFit="1" customWidth="1"/>
    <col min="1782" max="1782" width="7.375" style="4" bestFit="1" customWidth="1"/>
    <col min="1783" max="1783" width="16.375" style="4" bestFit="1" customWidth="1"/>
    <col min="1784" max="1784" width="8.75" style="4" bestFit="1" customWidth="1"/>
    <col min="1785" max="1785" width="9.25" style="4" customWidth="1"/>
    <col min="1786" max="1786" width="8.75" style="4" bestFit="1" customWidth="1"/>
    <col min="1787" max="1792" width="8.375" style="4"/>
    <col min="1793" max="1793" width="19.375" style="4" customWidth="1"/>
    <col min="1794" max="1794" width="9.25" style="4" customWidth="1"/>
    <col min="1795" max="1795" width="8.75" style="4" bestFit="1" customWidth="1"/>
    <col min="1796" max="1796" width="8.375" style="4" bestFit="1" customWidth="1"/>
    <col min="1797" max="1797" width="13" style="4" customWidth="1"/>
    <col min="1798" max="1798" width="8.75" style="4" bestFit="1" customWidth="1"/>
    <col min="1799" max="1799" width="12.375" style="4" bestFit="1" customWidth="1"/>
    <col min="1800" max="1800" width="8.75" style="4" bestFit="1" customWidth="1"/>
    <col min="1801" max="1801" width="8.375" style="4" bestFit="1" customWidth="1"/>
    <col min="1802" max="1802" width="13" style="4" customWidth="1"/>
    <col min="1803" max="1803" width="8.75" style="4" bestFit="1" customWidth="1"/>
    <col min="1804" max="1804" width="12.375" style="4" bestFit="1" customWidth="1"/>
    <col min="1805" max="1805" width="8" style="4" bestFit="1" customWidth="1"/>
    <col min="1806" max="1806" width="10" style="4" customWidth="1"/>
    <col min="1807" max="1807" width="14.375" style="4" bestFit="1" customWidth="1"/>
    <col min="1808" max="1808" width="8" style="4" bestFit="1" customWidth="1"/>
    <col min="1809" max="2034" width="8" style="4" customWidth="1"/>
    <col min="2035" max="2035" width="11.375" style="4" bestFit="1" customWidth="1"/>
    <col min="2036" max="2036" width="9.25" style="4" customWidth="1"/>
    <col min="2037" max="2037" width="8.75" style="4" bestFit="1" customWidth="1"/>
    <col min="2038" max="2038" width="7.375" style="4" bestFit="1" customWidth="1"/>
    <col min="2039" max="2039" width="16.375" style="4" bestFit="1" customWidth="1"/>
    <col min="2040" max="2040" width="8.75" style="4" bestFit="1" customWidth="1"/>
    <col min="2041" max="2041" width="9.25" style="4" customWidth="1"/>
    <col min="2042" max="2042" width="8.75" style="4" bestFit="1" customWidth="1"/>
    <col min="2043" max="2048" width="8.375" style="4"/>
    <col min="2049" max="2049" width="19.375" style="4" customWidth="1"/>
    <col min="2050" max="2050" width="9.25" style="4" customWidth="1"/>
    <col min="2051" max="2051" width="8.75" style="4" bestFit="1" customWidth="1"/>
    <col min="2052" max="2052" width="8.375" style="4" bestFit="1" customWidth="1"/>
    <col min="2053" max="2053" width="13" style="4" customWidth="1"/>
    <col min="2054" max="2054" width="8.75" style="4" bestFit="1" customWidth="1"/>
    <col min="2055" max="2055" width="12.375" style="4" bestFit="1" customWidth="1"/>
    <col min="2056" max="2056" width="8.75" style="4" bestFit="1" customWidth="1"/>
    <col min="2057" max="2057" width="8.375" style="4" bestFit="1" customWidth="1"/>
    <col min="2058" max="2058" width="13" style="4" customWidth="1"/>
    <col min="2059" max="2059" width="8.75" style="4" bestFit="1" customWidth="1"/>
    <col min="2060" max="2060" width="12.375" style="4" bestFit="1" customWidth="1"/>
    <col min="2061" max="2061" width="8" style="4" bestFit="1" customWidth="1"/>
    <col min="2062" max="2062" width="10" style="4" customWidth="1"/>
    <col min="2063" max="2063" width="14.375" style="4" bestFit="1" customWidth="1"/>
    <col min="2064" max="2064" width="8" style="4" bestFit="1" customWidth="1"/>
    <col min="2065" max="2290" width="8" style="4" customWidth="1"/>
    <col min="2291" max="2291" width="11.375" style="4" bestFit="1" customWidth="1"/>
    <col min="2292" max="2292" width="9.25" style="4" customWidth="1"/>
    <col min="2293" max="2293" width="8.75" style="4" bestFit="1" customWidth="1"/>
    <col min="2294" max="2294" width="7.375" style="4" bestFit="1" customWidth="1"/>
    <col min="2295" max="2295" width="16.375" style="4" bestFit="1" customWidth="1"/>
    <col min="2296" max="2296" width="8.75" style="4" bestFit="1" customWidth="1"/>
    <col min="2297" max="2297" width="9.25" style="4" customWidth="1"/>
    <col min="2298" max="2298" width="8.75" style="4" bestFit="1" customWidth="1"/>
    <col min="2299" max="2304" width="8.375" style="4"/>
    <col min="2305" max="2305" width="19.375" style="4" customWidth="1"/>
    <col min="2306" max="2306" width="9.25" style="4" customWidth="1"/>
    <col min="2307" max="2307" width="8.75" style="4" bestFit="1" customWidth="1"/>
    <col min="2308" max="2308" width="8.375" style="4" bestFit="1" customWidth="1"/>
    <col min="2309" max="2309" width="13" style="4" customWidth="1"/>
    <col min="2310" max="2310" width="8.75" style="4" bestFit="1" customWidth="1"/>
    <col min="2311" max="2311" width="12.375" style="4" bestFit="1" customWidth="1"/>
    <col min="2312" max="2312" width="8.75" style="4" bestFit="1" customWidth="1"/>
    <col min="2313" max="2313" width="8.375" style="4" bestFit="1" customWidth="1"/>
    <col min="2314" max="2314" width="13" style="4" customWidth="1"/>
    <col min="2315" max="2315" width="8.75" style="4" bestFit="1" customWidth="1"/>
    <col min="2316" max="2316" width="12.375" style="4" bestFit="1" customWidth="1"/>
    <col min="2317" max="2317" width="8" style="4" bestFit="1" customWidth="1"/>
    <col min="2318" max="2318" width="10" style="4" customWidth="1"/>
    <col min="2319" max="2319" width="14.375" style="4" bestFit="1" customWidth="1"/>
    <col min="2320" max="2320" width="8" style="4" bestFit="1" customWidth="1"/>
    <col min="2321" max="2546" width="8" style="4" customWidth="1"/>
    <col min="2547" max="2547" width="11.375" style="4" bestFit="1" customWidth="1"/>
    <col min="2548" max="2548" width="9.25" style="4" customWidth="1"/>
    <col min="2549" max="2549" width="8.75" style="4" bestFit="1" customWidth="1"/>
    <col min="2550" max="2550" width="7.375" style="4" bestFit="1" customWidth="1"/>
    <col min="2551" max="2551" width="16.375" style="4" bestFit="1" customWidth="1"/>
    <col min="2552" max="2552" width="8.75" style="4" bestFit="1" customWidth="1"/>
    <col min="2553" max="2553" width="9.25" style="4" customWidth="1"/>
    <col min="2554" max="2554" width="8.75" style="4" bestFit="1" customWidth="1"/>
    <col min="2555" max="2560" width="8.375" style="4"/>
    <col min="2561" max="2561" width="19.375" style="4" customWidth="1"/>
    <col min="2562" max="2562" width="9.25" style="4" customWidth="1"/>
    <col min="2563" max="2563" width="8.75" style="4" bestFit="1" customWidth="1"/>
    <col min="2564" max="2564" width="8.375" style="4" bestFit="1" customWidth="1"/>
    <col min="2565" max="2565" width="13" style="4" customWidth="1"/>
    <col min="2566" max="2566" width="8.75" style="4" bestFit="1" customWidth="1"/>
    <col min="2567" max="2567" width="12.375" style="4" bestFit="1" customWidth="1"/>
    <col min="2568" max="2568" width="8.75" style="4" bestFit="1" customWidth="1"/>
    <col min="2569" max="2569" width="8.375" style="4" bestFit="1" customWidth="1"/>
    <col min="2570" max="2570" width="13" style="4" customWidth="1"/>
    <col min="2571" max="2571" width="8.75" style="4" bestFit="1" customWidth="1"/>
    <col min="2572" max="2572" width="12.375" style="4" bestFit="1" customWidth="1"/>
    <col min="2573" max="2573" width="8" style="4" bestFit="1" customWidth="1"/>
    <col min="2574" max="2574" width="10" style="4" customWidth="1"/>
    <col min="2575" max="2575" width="14.375" style="4" bestFit="1" customWidth="1"/>
    <col min="2576" max="2576" width="8" style="4" bestFit="1" customWidth="1"/>
    <col min="2577" max="2802" width="8" style="4" customWidth="1"/>
    <col min="2803" max="2803" width="11.375" style="4" bestFit="1" customWidth="1"/>
    <col min="2804" max="2804" width="9.25" style="4" customWidth="1"/>
    <col min="2805" max="2805" width="8.75" style="4" bestFit="1" customWidth="1"/>
    <col min="2806" max="2806" width="7.375" style="4" bestFit="1" customWidth="1"/>
    <col min="2807" max="2807" width="16.375" style="4" bestFit="1" customWidth="1"/>
    <col min="2808" max="2808" width="8.75" style="4" bestFit="1" customWidth="1"/>
    <col min="2809" max="2809" width="9.25" style="4" customWidth="1"/>
    <col min="2810" max="2810" width="8.75" style="4" bestFit="1" customWidth="1"/>
    <col min="2811" max="2816" width="8.375" style="4"/>
    <col min="2817" max="2817" width="19.375" style="4" customWidth="1"/>
    <col min="2818" max="2818" width="9.25" style="4" customWidth="1"/>
    <col min="2819" max="2819" width="8.75" style="4" bestFit="1" customWidth="1"/>
    <col min="2820" max="2820" width="8.375" style="4" bestFit="1" customWidth="1"/>
    <col min="2821" max="2821" width="13" style="4" customWidth="1"/>
    <col min="2822" max="2822" width="8.75" style="4" bestFit="1" customWidth="1"/>
    <col min="2823" max="2823" width="12.375" style="4" bestFit="1" customWidth="1"/>
    <col min="2824" max="2824" width="8.75" style="4" bestFit="1" customWidth="1"/>
    <col min="2825" max="2825" width="8.375" style="4" bestFit="1" customWidth="1"/>
    <col min="2826" max="2826" width="13" style="4" customWidth="1"/>
    <col min="2827" max="2827" width="8.75" style="4" bestFit="1" customWidth="1"/>
    <col min="2828" max="2828" width="12.375" style="4" bestFit="1" customWidth="1"/>
    <col min="2829" max="2829" width="8" style="4" bestFit="1" customWidth="1"/>
    <col min="2830" max="2830" width="10" style="4" customWidth="1"/>
    <col min="2831" max="2831" width="14.375" style="4" bestFit="1" customWidth="1"/>
    <col min="2832" max="2832" width="8" style="4" bestFit="1" customWidth="1"/>
    <col min="2833" max="3058" width="8" style="4" customWidth="1"/>
    <col min="3059" max="3059" width="11.375" style="4" bestFit="1" customWidth="1"/>
    <col min="3060" max="3060" width="9.25" style="4" customWidth="1"/>
    <col min="3061" max="3061" width="8.75" style="4" bestFit="1" customWidth="1"/>
    <col min="3062" max="3062" width="7.375" style="4" bestFit="1" customWidth="1"/>
    <col min="3063" max="3063" width="16.375" style="4" bestFit="1" customWidth="1"/>
    <col min="3064" max="3064" width="8.75" style="4" bestFit="1" customWidth="1"/>
    <col min="3065" max="3065" width="9.25" style="4" customWidth="1"/>
    <col min="3066" max="3066" width="8.75" style="4" bestFit="1" customWidth="1"/>
    <col min="3067" max="3072" width="8.375" style="4"/>
    <col min="3073" max="3073" width="19.375" style="4" customWidth="1"/>
    <col min="3074" max="3074" width="9.25" style="4" customWidth="1"/>
    <col min="3075" max="3075" width="8.75" style="4" bestFit="1" customWidth="1"/>
    <col min="3076" max="3076" width="8.375" style="4" bestFit="1" customWidth="1"/>
    <col min="3077" max="3077" width="13" style="4" customWidth="1"/>
    <col min="3078" max="3078" width="8.75" style="4" bestFit="1" customWidth="1"/>
    <col min="3079" max="3079" width="12.375" style="4" bestFit="1" customWidth="1"/>
    <col min="3080" max="3080" width="8.75" style="4" bestFit="1" customWidth="1"/>
    <col min="3081" max="3081" width="8.375" style="4" bestFit="1" customWidth="1"/>
    <col min="3082" max="3082" width="13" style="4" customWidth="1"/>
    <col min="3083" max="3083" width="8.75" style="4" bestFit="1" customWidth="1"/>
    <col min="3084" max="3084" width="12.375" style="4" bestFit="1" customWidth="1"/>
    <col min="3085" max="3085" width="8" style="4" bestFit="1" customWidth="1"/>
    <col min="3086" max="3086" width="10" style="4" customWidth="1"/>
    <col min="3087" max="3087" width="14.375" style="4" bestFit="1" customWidth="1"/>
    <col min="3088" max="3088" width="8" style="4" bestFit="1" customWidth="1"/>
    <col min="3089" max="3314" width="8" style="4" customWidth="1"/>
    <col min="3315" max="3315" width="11.375" style="4" bestFit="1" customWidth="1"/>
    <col min="3316" max="3316" width="9.25" style="4" customWidth="1"/>
    <col min="3317" max="3317" width="8.75" style="4" bestFit="1" customWidth="1"/>
    <col min="3318" max="3318" width="7.375" style="4" bestFit="1" customWidth="1"/>
    <col min="3319" max="3319" width="16.375" style="4" bestFit="1" customWidth="1"/>
    <col min="3320" max="3320" width="8.75" style="4" bestFit="1" customWidth="1"/>
    <col min="3321" max="3321" width="9.25" style="4" customWidth="1"/>
    <col min="3322" max="3322" width="8.75" style="4" bestFit="1" customWidth="1"/>
    <col min="3323" max="3328" width="8.375" style="4"/>
    <col min="3329" max="3329" width="19.375" style="4" customWidth="1"/>
    <col min="3330" max="3330" width="9.25" style="4" customWidth="1"/>
    <col min="3331" max="3331" width="8.75" style="4" bestFit="1" customWidth="1"/>
    <col min="3332" max="3332" width="8.375" style="4" bestFit="1" customWidth="1"/>
    <col min="3333" max="3333" width="13" style="4" customWidth="1"/>
    <col min="3334" max="3334" width="8.75" style="4" bestFit="1" customWidth="1"/>
    <col min="3335" max="3335" width="12.375" style="4" bestFit="1" customWidth="1"/>
    <col min="3336" max="3336" width="8.75" style="4" bestFit="1" customWidth="1"/>
    <col min="3337" max="3337" width="8.375" style="4" bestFit="1" customWidth="1"/>
    <col min="3338" max="3338" width="13" style="4" customWidth="1"/>
    <col min="3339" max="3339" width="8.75" style="4" bestFit="1" customWidth="1"/>
    <col min="3340" max="3340" width="12.375" style="4" bestFit="1" customWidth="1"/>
    <col min="3341" max="3341" width="8" style="4" bestFit="1" customWidth="1"/>
    <col min="3342" max="3342" width="10" style="4" customWidth="1"/>
    <col min="3343" max="3343" width="14.375" style="4" bestFit="1" customWidth="1"/>
    <col min="3344" max="3344" width="8" style="4" bestFit="1" customWidth="1"/>
    <col min="3345" max="3570" width="8" style="4" customWidth="1"/>
    <col min="3571" max="3571" width="11.375" style="4" bestFit="1" customWidth="1"/>
    <col min="3572" max="3572" width="9.25" style="4" customWidth="1"/>
    <col min="3573" max="3573" width="8.75" style="4" bestFit="1" customWidth="1"/>
    <col min="3574" max="3574" width="7.375" style="4" bestFit="1" customWidth="1"/>
    <col min="3575" max="3575" width="16.375" style="4" bestFit="1" customWidth="1"/>
    <col min="3576" max="3576" width="8.75" style="4" bestFit="1" customWidth="1"/>
    <col min="3577" max="3577" width="9.25" style="4" customWidth="1"/>
    <col min="3578" max="3578" width="8.75" style="4" bestFit="1" customWidth="1"/>
    <col min="3579" max="3584" width="8.375" style="4"/>
    <col min="3585" max="3585" width="19.375" style="4" customWidth="1"/>
    <col min="3586" max="3586" width="9.25" style="4" customWidth="1"/>
    <col min="3587" max="3587" width="8.75" style="4" bestFit="1" customWidth="1"/>
    <col min="3588" max="3588" width="8.375" style="4" bestFit="1" customWidth="1"/>
    <col min="3589" max="3589" width="13" style="4" customWidth="1"/>
    <col min="3590" max="3590" width="8.75" style="4" bestFit="1" customWidth="1"/>
    <col min="3591" max="3591" width="12.375" style="4" bestFit="1" customWidth="1"/>
    <col min="3592" max="3592" width="8.75" style="4" bestFit="1" customWidth="1"/>
    <col min="3593" max="3593" width="8.375" style="4" bestFit="1" customWidth="1"/>
    <col min="3594" max="3594" width="13" style="4" customWidth="1"/>
    <col min="3595" max="3595" width="8.75" style="4" bestFit="1" customWidth="1"/>
    <col min="3596" max="3596" width="12.375" style="4" bestFit="1" customWidth="1"/>
    <col min="3597" max="3597" width="8" style="4" bestFit="1" customWidth="1"/>
    <col min="3598" max="3598" width="10" style="4" customWidth="1"/>
    <col min="3599" max="3599" width="14.375" style="4" bestFit="1" customWidth="1"/>
    <col min="3600" max="3600" width="8" style="4" bestFit="1" customWidth="1"/>
    <col min="3601" max="3826" width="8" style="4" customWidth="1"/>
    <col min="3827" max="3827" width="11.375" style="4" bestFit="1" customWidth="1"/>
    <col min="3828" max="3828" width="9.25" style="4" customWidth="1"/>
    <col min="3829" max="3829" width="8.75" style="4" bestFit="1" customWidth="1"/>
    <col min="3830" max="3830" width="7.375" style="4" bestFit="1" customWidth="1"/>
    <col min="3831" max="3831" width="16.375" style="4" bestFit="1" customWidth="1"/>
    <col min="3832" max="3832" width="8.75" style="4" bestFit="1" customWidth="1"/>
    <col min="3833" max="3833" width="9.25" style="4" customWidth="1"/>
    <col min="3834" max="3834" width="8.75" style="4" bestFit="1" customWidth="1"/>
    <col min="3835" max="3840" width="8.375" style="4"/>
    <col min="3841" max="3841" width="19.375" style="4" customWidth="1"/>
    <col min="3842" max="3842" width="9.25" style="4" customWidth="1"/>
    <col min="3843" max="3843" width="8.75" style="4" bestFit="1" customWidth="1"/>
    <col min="3844" max="3844" width="8.375" style="4" bestFit="1" customWidth="1"/>
    <col min="3845" max="3845" width="13" style="4" customWidth="1"/>
    <col min="3846" max="3846" width="8.75" style="4" bestFit="1" customWidth="1"/>
    <col min="3847" max="3847" width="12.375" style="4" bestFit="1" customWidth="1"/>
    <col min="3848" max="3848" width="8.75" style="4" bestFit="1" customWidth="1"/>
    <col min="3849" max="3849" width="8.375" style="4" bestFit="1" customWidth="1"/>
    <col min="3850" max="3850" width="13" style="4" customWidth="1"/>
    <col min="3851" max="3851" width="8.75" style="4" bestFit="1" customWidth="1"/>
    <col min="3852" max="3852" width="12.375" style="4" bestFit="1" customWidth="1"/>
    <col min="3853" max="3853" width="8" style="4" bestFit="1" customWidth="1"/>
    <col min="3854" max="3854" width="10" style="4" customWidth="1"/>
    <col min="3855" max="3855" width="14.375" style="4" bestFit="1" customWidth="1"/>
    <col min="3856" max="3856" width="8" style="4" bestFit="1" customWidth="1"/>
    <col min="3857" max="4082" width="8" style="4" customWidth="1"/>
    <col min="4083" max="4083" width="11.375" style="4" bestFit="1" customWidth="1"/>
    <col min="4084" max="4084" width="9.25" style="4" customWidth="1"/>
    <col min="4085" max="4085" width="8.75" style="4" bestFit="1" customWidth="1"/>
    <col min="4086" max="4086" width="7.375" style="4" bestFit="1" customWidth="1"/>
    <col min="4087" max="4087" width="16.375" style="4" bestFit="1" customWidth="1"/>
    <col min="4088" max="4088" width="8.75" style="4" bestFit="1" customWidth="1"/>
    <col min="4089" max="4089" width="9.25" style="4" customWidth="1"/>
    <col min="4090" max="4090" width="8.75" style="4" bestFit="1" customWidth="1"/>
    <col min="4091" max="4096" width="8.375" style="4"/>
    <col min="4097" max="4097" width="19.375" style="4" customWidth="1"/>
    <col min="4098" max="4098" width="9.25" style="4" customWidth="1"/>
    <col min="4099" max="4099" width="8.75" style="4" bestFit="1" customWidth="1"/>
    <col min="4100" max="4100" width="8.375" style="4" bestFit="1" customWidth="1"/>
    <col min="4101" max="4101" width="13" style="4" customWidth="1"/>
    <col min="4102" max="4102" width="8.75" style="4" bestFit="1" customWidth="1"/>
    <col min="4103" max="4103" width="12.375" style="4" bestFit="1" customWidth="1"/>
    <col min="4104" max="4104" width="8.75" style="4" bestFit="1" customWidth="1"/>
    <col min="4105" max="4105" width="8.375" style="4" bestFit="1" customWidth="1"/>
    <col min="4106" max="4106" width="13" style="4" customWidth="1"/>
    <col min="4107" max="4107" width="8.75" style="4" bestFit="1" customWidth="1"/>
    <col min="4108" max="4108" width="12.375" style="4" bestFit="1" customWidth="1"/>
    <col min="4109" max="4109" width="8" style="4" bestFit="1" customWidth="1"/>
    <col min="4110" max="4110" width="10" style="4" customWidth="1"/>
    <col min="4111" max="4111" width="14.375" style="4" bestFit="1" customWidth="1"/>
    <col min="4112" max="4112" width="8" style="4" bestFit="1" customWidth="1"/>
    <col min="4113" max="4338" width="8" style="4" customWidth="1"/>
    <col min="4339" max="4339" width="11.375" style="4" bestFit="1" customWidth="1"/>
    <col min="4340" max="4340" width="9.25" style="4" customWidth="1"/>
    <col min="4341" max="4341" width="8.75" style="4" bestFit="1" customWidth="1"/>
    <col min="4342" max="4342" width="7.375" style="4" bestFit="1" customWidth="1"/>
    <col min="4343" max="4343" width="16.375" style="4" bestFit="1" customWidth="1"/>
    <col min="4344" max="4344" width="8.75" style="4" bestFit="1" customWidth="1"/>
    <col min="4345" max="4345" width="9.25" style="4" customWidth="1"/>
    <col min="4346" max="4346" width="8.75" style="4" bestFit="1" customWidth="1"/>
    <col min="4347" max="4352" width="8.375" style="4"/>
    <col min="4353" max="4353" width="19.375" style="4" customWidth="1"/>
    <col min="4354" max="4354" width="9.25" style="4" customWidth="1"/>
    <col min="4355" max="4355" width="8.75" style="4" bestFit="1" customWidth="1"/>
    <col min="4356" max="4356" width="8.375" style="4" bestFit="1" customWidth="1"/>
    <col min="4357" max="4357" width="13" style="4" customWidth="1"/>
    <col min="4358" max="4358" width="8.75" style="4" bestFit="1" customWidth="1"/>
    <col min="4359" max="4359" width="12.375" style="4" bestFit="1" customWidth="1"/>
    <col min="4360" max="4360" width="8.75" style="4" bestFit="1" customWidth="1"/>
    <col min="4361" max="4361" width="8.375" style="4" bestFit="1" customWidth="1"/>
    <col min="4362" max="4362" width="13" style="4" customWidth="1"/>
    <col min="4363" max="4363" width="8.75" style="4" bestFit="1" customWidth="1"/>
    <col min="4364" max="4364" width="12.375" style="4" bestFit="1" customWidth="1"/>
    <col min="4365" max="4365" width="8" style="4" bestFit="1" customWidth="1"/>
    <col min="4366" max="4366" width="10" style="4" customWidth="1"/>
    <col min="4367" max="4367" width="14.375" style="4" bestFit="1" customWidth="1"/>
    <col min="4368" max="4368" width="8" style="4" bestFit="1" customWidth="1"/>
    <col min="4369" max="4594" width="8" style="4" customWidth="1"/>
    <col min="4595" max="4595" width="11.375" style="4" bestFit="1" customWidth="1"/>
    <col min="4596" max="4596" width="9.25" style="4" customWidth="1"/>
    <col min="4597" max="4597" width="8.75" style="4" bestFit="1" customWidth="1"/>
    <col min="4598" max="4598" width="7.375" style="4" bestFit="1" customWidth="1"/>
    <col min="4599" max="4599" width="16.375" style="4" bestFit="1" customWidth="1"/>
    <col min="4600" max="4600" width="8.75" style="4" bestFit="1" customWidth="1"/>
    <col min="4601" max="4601" width="9.25" style="4" customWidth="1"/>
    <col min="4602" max="4602" width="8.75" style="4" bestFit="1" customWidth="1"/>
    <col min="4603" max="4608" width="8.375" style="4"/>
    <col min="4609" max="4609" width="19.375" style="4" customWidth="1"/>
    <col min="4610" max="4610" width="9.25" style="4" customWidth="1"/>
    <col min="4611" max="4611" width="8.75" style="4" bestFit="1" customWidth="1"/>
    <col min="4612" max="4612" width="8.375" style="4" bestFit="1" customWidth="1"/>
    <col min="4613" max="4613" width="13" style="4" customWidth="1"/>
    <col min="4614" max="4614" width="8.75" style="4" bestFit="1" customWidth="1"/>
    <col min="4615" max="4615" width="12.375" style="4" bestFit="1" customWidth="1"/>
    <col min="4616" max="4616" width="8.75" style="4" bestFit="1" customWidth="1"/>
    <col min="4617" max="4617" width="8.375" style="4" bestFit="1" customWidth="1"/>
    <col min="4618" max="4618" width="13" style="4" customWidth="1"/>
    <col min="4619" max="4619" width="8.75" style="4" bestFit="1" customWidth="1"/>
    <col min="4620" max="4620" width="12.375" style="4" bestFit="1" customWidth="1"/>
    <col min="4621" max="4621" width="8" style="4" bestFit="1" customWidth="1"/>
    <col min="4622" max="4622" width="10" style="4" customWidth="1"/>
    <col min="4623" max="4623" width="14.375" style="4" bestFit="1" customWidth="1"/>
    <col min="4624" max="4624" width="8" style="4" bestFit="1" customWidth="1"/>
    <col min="4625" max="4850" width="8" style="4" customWidth="1"/>
    <col min="4851" max="4851" width="11.375" style="4" bestFit="1" customWidth="1"/>
    <col min="4852" max="4852" width="9.25" style="4" customWidth="1"/>
    <col min="4853" max="4853" width="8.75" style="4" bestFit="1" customWidth="1"/>
    <col min="4854" max="4854" width="7.375" style="4" bestFit="1" customWidth="1"/>
    <col min="4855" max="4855" width="16.375" style="4" bestFit="1" customWidth="1"/>
    <col min="4856" max="4856" width="8.75" style="4" bestFit="1" customWidth="1"/>
    <col min="4857" max="4857" width="9.25" style="4" customWidth="1"/>
    <col min="4858" max="4858" width="8.75" style="4" bestFit="1" customWidth="1"/>
    <col min="4859" max="4864" width="8.375" style="4"/>
    <col min="4865" max="4865" width="19.375" style="4" customWidth="1"/>
    <col min="4866" max="4866" width="9.25" style="4" customWidth="1"/>
    <col min="4867" max="4867" width="8.75" style="4" bestFit="1" customWidth="1"/>
    <col min="4868" max="4868" width="8.375" style="4" bestFit="1" customWidth="1"/>
    <col min="4869" max="4869" width="13" style="4" customWidth="1"/>
    <col min="4870" max="4870" width="8.75" style="4" bestFit="1" customWidth="1"/>
    <col min="4871" max="4871" width="12.375" style="4" bestFit="1" customWidth="1"/>
    <col min="4872" max="4872" width="8.75" style="4" bestFit="1" customWidth="1"/>
    <col min="4873" max="4873" width="8.375" style="4" bestFit="1" customWidth="1"/>
    <col min="4874" max="4874" width="13" style="4" customWidth="1"/>
    <col min="4875" max="4875" width="8.75" style="4" bestFit="1" customWidth="1"/>
    <col min="4876" max="4876" width="12.375" style="4" bestFit="1" customWidth="1"/>
    <col min="4877" max="4877" width="8" style="4" bestFit="1" customWidth="1"/>
    <col min="4878" max="4878" width="10" style="4" customWidth="1"/>
    <col min="4879" max="4879" width="14.375" style="4" bestFit="1" customWidth="1"/>
    <col min="4880" max="4880" width="8" style="4" bestFit="1" customWidth="1"/>
    <col min="4881" max="5106" width="8" style="4" customWidth="1"/>
    <col min="5107" max="5107" width="11.375" style="4" bestFit="1" customWidth="1"/>
    <col min="5108" max="5108" width="9.25" style="4" customWidth="1"/>
    <col min="5109" max="5109" width="8.75" style="4" bestFit="1" customWidth="1"/>
    <col min="5110" max="5110" width="7.375" style="4" bestFit="1" customWidth="1"/>
    <col min="5111" max="5111" width="16.375" style="4" bestFit="1" customWidth="1"/>
    <col min="5112" max="5112" width="8.75" style="4" bestFit="1" customWidth="1"/>
    <col min="5113" max="5113" width="9.25" style="4" customWidth="1"/>
    <col min="5114" max="5114" width="8.75" style="4" bestFit="1" customWidth="1"/>
    <col min="5115" max="5120" width="8.375" style="4"/>
    <col min="5121" max="5121" width="19.375" style="4" customWidth="1"/>
    <col min="5122" max="5122" width="9.25" style="4" customWidth="1"/>
    <col min="5123" max="5123" width="8.75" style="4" bestFit="1" customWidth="1"/>
    <col min="5124" max="5124" width="8.375" style="4" bestFit="1" customWidth="1"/>
    <col min="5125" max="5125" width="13" style="4" customWidth="1"/>
    <col min="5126" max="5126" width="8.75" style="4" bestFit="1" customWidth="1"/>
    <col min="5127" max="5127" width="12.375" style="4" bestFit="1" customWidth="1"/>
    <col min="5128" max="5128" width="8.75" style="4" bestFit="1" customWidth="1"/>
    <col min="5129" max="5129" width="8.375" style="4" bestFit="1" customWidth="1"/>
    <col min="5130" max="5130" width="13" style="4" customWidth="1"/>
    <col min="5131" max="5131" width="8.75" style="4" bestFit="1" customWidth="1"/>
    <col min="5132" max="5132" width="12.375" style="4" bestFit="1" customWidth="1"/>
    <col min="5133" max="5133" width="8" style="4" bestFit="1" customWidth="1"/>
    <col min="5134" max="5134" width="10" style="4" customWidth="1"/>
    <col min="5135" max="5135" width="14.375" style="4" bestFit="1" customWidth="1"/>
    <col min="5136" max="5136" width="8" style="4" bestFit="1" customWidth="1"/>
    <col min="5137" max="5362" width="8" style="4" customWidth="1"/>
    <col min="5363" max="5363" width="11.375" style="4" bestFit="1" customWidth="1"/>
    <col min="5364" max="5364" width="9.25" style="4" customWidth="1"/>
    <col min="5365" max="5365" width="8.75" style="4" bestFit="1" customWidth="1"/>
    <col min="5366" max="5366" width="7.375" style="4" bestFit="1" customWidth="1"/>
    <col min="5367" max="5367" width="16.375" style="4" bestFit="1" customWidth="1"/>
    <col min="5368" max="5368" width="8.75" style="4" bestFit="1" customWidth="1"/>
    <col min="5369" max="5369" width="9.25" style="4" customWidth="1"/>
    <col min="5370" max="5370" width="8.75" style="4" bestFit="1" customWidth="1"/>
    <col min="5371" max="5376" width="8.375" style="4"/>
    <col min="5377" max="5377" width="19.375" style="4" customWidth="1"/>
    <col min="5378" max="5378" width="9.25" style="4" customWidth="1"/>
    <col min="5379" max="5379" width="8.75" style="4" bestFit="1" customWidth="1"/>
    <col min="5380" max="5380" width="8.375" style="4" bestFit="1" customWidth="1"/>
    <col min="5381" max="5381" width="13" style="4" customWidth="1"/>
    <col min="5382" max="5382" width="8.75" style="4" bestFit="1" customWidth="1"/>
    <col min="5383" max="5383" width="12.375" style="4" bestFit="1" customWidth="1"/>
    <col min="5384" max="5384" width="8.75" style="4" bestFit="1" customWidth="1"/>
    <col min="5385" max="5385" width="8.375" style="4" bestFit="1" customWidth="1"/>
    <col min="5386" max="5386" width="13" style="4" customWidth="1"/>
    <col min="5387" max="5387" width="8.75" style="4" bestFit="1" customWidth="1"/>
    <col min="5388" max="5388" width="12.375" style="4" bestFit="1" customWidth="1"/>
    <col min="5389" max="5389" width="8" style="4" bestFit="1" customWidth="1"/>
    <col min="5390" max="5390" width="10" style="4" customWidth="1"/>
    <col min="5391" max="5391" width="14.375" style="4" bestFit="1" customWidth="1"/>
    <col min="5392" max="5392" width="8" style="4" bestFit="1" customWidth="1"/>
    <col min="5393" max="5618" width="8" style="4" customWidth="1"/>
    <col min="5619" max="5619" width="11.375" style="4" bestFit="1" customWidth="1"/>
    <col min="5620" max="5620" width="9.25" style="4" customWidth="1"/>
    <col min="5621" max="5621" width="8.75" style="4" bestFit="1" customWidth="1"/>
    <col min="5622" max="5622" width="7.375" style="4" bestFit="1" customWidth="1"/>
    <col min="5623" max="5623" width="16.375" style="4" bestFit="1" customWidth="1"/>
    <col min="5624" max="5624" width="8.75" style="4" bestFit="1" customWidth="1"/>
    <col min="5625" max="5625" width="9.25" style="4" customWidth="1"/>
    <col min="5626" max="5626" width="8.75" style="4" bestFit="1" customWidth="1"/>
    <col min="5627" max="5632" width="8.375" style="4"/>
    <col min="5633" max="5633" width="19.375" style="4" customWidth="1"/>
    <col min="5634" max="5634" width="9.25" style="4" customWidth="1"/>
    <col min="5635" max="5635" width="8.75" style="4" bestFit="1" customWidth="1"/>
    <col min="5636" max="5636" width="8.375" style="4" bestFit="1" customWidth="1"/>
    <col min="5637" max="5637" width="13" style="4" customWidth="1"/>
    <col min="5638" max="5638" width="8.75" style="4" bestFit="1" customWidth="1"/>
    <col min="5639" max="5639" width="12.375" style="4" bestFit="1" customWidth="1"/>
    <col min="5640" max="5640" width="8.75" style="4" bestFit="1" customWidth="1"/>
    <col min="5641" max="5641" width="8.375" style="4" bestFit="1" customWidth="1"/>
    <col min="5642" max="5642" width="13" style="4" customWidth="1"/>
    <col min="5643" max="5643" width="8.75" style="4" bestFit="1" customWidth="1"/>
    <col min="5644" max="5644" width="12.375" style="4" bestFit="1" customWidth="1"/>
    <col min="5645" max="5645" width="8" style="4" bestFit="1" customWidth="1"/>
    <col min="5646" max="5646" width="10" style="4" customWidth="1"/>
    <col min="5647" max="5647" width="14.375" style="4" bestFit="1" customWidth="1"/>
    <col min="5648" max="5648" width="8" style="4" bestFit="1" customWidth="1"/>
    <col min="5649" max="5874" width="8" style="4" customWidth="1"/>
    <col min="5875" max="5875" width="11.375" style="4" bestFit="1" customWidth="1"/>
    <col min="5876" max="5876" width="9.25" style="4" customWidth="1"/>
    <col min="5877" max="5877" width="8.75" style="4" bestFit="1" customWidth="1"/>
    <col min="5878" max="5878" width="7.375" style="4" bestFit="1" customWidth="1"/>
    <col min="5879" max="5879" width="16.375" style="4" bestFit="1" customWidth="1"/>
    <col min="5880" max="5880" width="8.75" style="4" bestFit="1" customWidth="1"/>
    <col min="5881" max="5881" width="9.25" style="4" customWidth="1"/>
    <col min="5882" max="5882" width="8.75" style="4" bestFit="1" customWidth="1"/>
    <col min="5883" max="5888" width="8.375" style="4"/>
    <col min="5889" max="5889" width="19.375" style="4" customWidth="1"/>
    <col min="5890" max="5890" width="9.25" style="4" customWidth="1"/>
    <col min="5891" max="5891" width="8.75" style="4" bestFit="1" customWidth="1"/>
    <col min="5892" max="5892" width="8.375" style="4" bestFit="1" customWidth="1"/>
    <col min="5893" max="5893" width="13" style="4" customWidth="1"/>
    <col min="5894" max="5894" width="8.75" style="4" bestFit="1" customWidth="1"/>
    <col min="5895" max="5895" width="12.375" style="4" bestFit="1" customWidth="1"/>
    <col min="5896" max="5896" width="8.75" style="4" bestFit="1" customWidth="1"/>
    <col min="5897" max="5897" width="8.375" style="4" bestFit="1" customWidth="1"/>
    <col min="5898" max="5898" width="13" style="4" customWidth="1"/>
    <col min="5899" max="5899" width="8.75" style="4" bestFit="1" customWidth="1"/>
    <col min="5900" max="5900" width="12.375" style="4" bestFit="1" customWidth="1"/>
    <col min="5901" max="5901" width="8" style="4" bestFit="1" customWidth="1"/>
    <col min="5902" max="5902" width="10" style="4" customWidth="1"/>
    <col min="5903" max="5903" width="14.375" style="4" bestFit="1" customWidth="1"/>
    <col min="5904" max="5904" width="8" style="4" bestFit="1" customWidth="1"/>
    <col min="5905" max="6130" width="8" style="4" customWidth="1"/>
    <col min="6131" max="6131" width="11.375" style="4" bestFit="1" customWidth="1"/>
    <col min="6132" max="6132" width="9.25" style="4" customWidth="1"/>
    <col min="6133" max="6133" width="8.75" style="4" bestFit="1" customWidth="1"/>
    <col min="6134" max="6134" width="7.375" style="4" bestFit="1" customWidth="1"/>
    <col min="6135" max="6135" width="16.375" style="4" bestFit="1" customWidth="1"/>
    <col min="6136" max="6136" width="8.75" style="4" bestFit="1" customWidth="1"/>
    <col min="6137" max="6137" width="9.25" style="4" customWidth="1"/>
    <col min="6138" max="6138" width="8.75" style="4" bestFit="1" customWidth="1"/>
    <col min="6139" max="6144" width="8.375" style="4"/>
    <col min="6145" max="6145" width="19.375" style="4" customWidth="1"/>
    <col min="6146" max="6146" width="9.25" style="4" customWidth="1"/>
    <col min="6147" max="6147" width="8.75" style="4" bestFit="1" customWidth="1"/>
    <col min="6148" max="6148" width="8.375" style="4" bestFit="1" customWidth="1"/>
    <col min="6149" max="6149" width="13" style="4" customWidth="1"/>
    <col min="6150" max="6150" width="8.75" style="4" bestFit="1" customWidth="1"/>
    <col min="6151" max="6151" width="12.375" style="4" bestFit="1" customWidth="1"/>
    <col min="6152" max="6152" width="8.75" style="4" bestFit="1" customWidth="1"/>
    <col min="6153" max="6153" width="8.375" style="4" bestFit="1" customWidth="1"/>
    <col min="6154" max="6154" width="13" style="4" customWidth="1"/>
    <col min="6155" max="6155" width="8.75" style="4" bestFit="1" customWidth="1"/>
    <col min="6156" max="6156" width="12.375" style="4" bestFit="1" customWidth="1"/>
    <col min="6157" max="6157" width="8" style="4" bestFit="1" customWidth="1"/>
    <col min="6158" max="6158" width="10" style="4" customWidth="1"/>
    <col min="6159" max="6159" width="14.375" style="4" bestFit="1" customWidth="1"/>
    <col min="6160" max="6160" width="8" style="4" bestFit="1" customWidth="1"/>
    <col min="6161" max="6386" width="8" style="4" customWidth="1"/>
    <col min="6387" max="6387" width="11.375" style="4" bestFit="1" customWidth="1"/>
    <col min="6388" max="6388" width="9.25" style="4" customWidth="1"/>
    <col min="6389" max="6389" width="8.75" style="4" bestFit="1" customWidth="1"/>
    <col min="6390" max="6390" width="7.375" style="4" bestFit="1" customWidth="1"/>
    <col min="6391" max="6391" width="16.375" style="4" bestFit="1" customWidth="1"/>
    <col min="6392" max="6392" width="8.75" style="4" bestFit="1" customWidth="1"/>
    <col min="6393" max="6393" width="9.25" style="4" customWidth="1"/>
    <col min="6394" max="6394" width="8.75" style="4" bestFit="1" customWidth="1"/>
    <col min="6395" max="6400" width="8.375" style="4"/>
    <col min="6401" max="6401" width="19.375" style="4" customWidth="1"/>
    <col min="6402" max="6402" width="9.25" style="4" customWidth="1"/>
    <col min="6403" max="6403" width="8.75" style="4" bestFit="1" customWidth="1"/>
    <col min="6404" max="6404" width="8.375" style="4" bestFit="1" customWidth="1"/>
    <col min="6405" max="6405" width="13" style="4" customWidth="1"/>
    <col min="6406" max="6406" width="8.75" style="4" bestFit="1" customWidth="1"/>
    <col min="6407" max="6407" width="12.375" style="4" bestFit="1" customWidth="1"/>
    <col min="6408" max="6408" width="8.75" style="4" bestFit="1" customWidth="1"/>
    <col min="6409" max="6409" width="8.375" style="4" bestFit="1" customWidth="1"/>
    <col min="6410" max="6410" width="13" style="4" customWidth="1"/>
    <col min="6411" max="6411" width="8.75" style="4" bestFit="1" customWidth="1"/>
    <col min="6412" max="6412" width="12.375" style="4" bestFit="1" customWidth="1"/>
    <col min="6413" max="6413" width="8" style="4" bestFit="1" customWidth="1"/>
    <col min="6414" max="6414" width="10" style="4" customWidth="1"/>
    <col min="6415" max="6415" width="14.375" style="4" bestFit="1" customWidth="1"/>
    <col min="6416" max="6416" width="8" style="4" bestFit="1" customWidth="1"/>
    <col min="6417" max="6642" width="8" style="4" customWidth="1"/>
    <col min="6643" max="6643" width="11.375" style="4" bestFit="1" customWidth="1"/>
    <col min="6644" max="6644" width="9.25" style="4" customWidth="1"/>
    <col min="6645" max="6645" width="8.75" style="4" bestFit="1" customWidth="1"/>
    <col min="6646" max="6646" width="7.375" style="4" bestFit="1" customWidth="1"/>
    <col min="6647" max="6647" width="16.375" style="4" bestFit="1" customWidth="1"/>
    <col min="6648" max="6648" width="8.75" style="4" bestFit="1" customWidth="1"/>
    <col min="6649" max="6649" width="9.25" style="4" customWidth="1"/>
    <col min="6650" max="6650" width="8.75" style="4" bestFit="1" customWidth="1"/>
    <col min="6651" max="6656" width="8.375" style="4"/>
    <col min="6657" max="6657" width="19.375" style="4" customWidth="1"/>
    <col min="6658" max="6658" width="9.25" style="4" customWidth="1"/>
    <col min="6659" max="6659" width="8.75" style="4" bestFit="1" customWidth="1"/>
    <col min="6660" max="6660" width="8.375" style="4" bestFit="1" customWidth="1"/>
    <col min="6661" max="6661" width="13" style="4" customWidth="1"/>
    <col min="6662" max="6662" width="8.75" style="4" bestFit="1" customWidth="1"/>
    <col min="6663" max="6663" width="12.375" style="4" bestFit="1" customWidth="1"/>
    <col min="6664" max="6664" width="8.75" style="4" bestFit="1" customWidth="1"/>
    <col min="6665" max="6665" width="8.375" style="4" bestFit="1" customWidth="1"/>
    <col min="6666" max="6666" width="13" style="4" customWidth="1"/>
    <col min="6667" max="6667" width="8.75" style="4" bestFit="1" customWidth="1"/>
    <col min="6668" max="6668" width="12.375" style="4" bestFit="1" customWidth="1"/>
    <col min="6669" max="6669" width="8" style="4" bestFit="1" customWidth="1"/>
    <col min="6670" max="6670" width="10" style="4" customWidth="1"/>
    <col min="6671" max="6671" width="14.375" style="4" bestFit="1" customWidth="1"/>
    <col min="6672" max="6672" width="8" style="4" bestFit="1" customWidth="1"/>
    <col min="6673" max="6898" width="8" style="4" customWidth="1"/>
    <col min="6899" max="6899" width="11.375" style="4" bestFit="1" customWidth="1"/>
    <col min="6900" max="6900" width="9.25" style="4" customWidth="1"/>
    <col min="6901" max="6901" width="8.75" style="4" bestFit="1" customWidth="1"/>
    <col min="6902" max="6902" width="7.375" style="4" bestFit="1" customWidth="1"/>
    <col min="6903" max="6903" width="16.375" style="4" bestFit="1" customWidth="1"/>
    <col min="6904" max="6904" width="8.75" style="4" bestFit="1" customWidth="1"/>
    <col min="6905" max="6905" width="9.25" style="4" customWidth="1"/>
    <col min="6906" max="6906" width="8.75" style="4" bestFit="1" customWidth="1"/>
    <col min="6907" max="6912" width="8.375" style="4"/>
    <col min="6913" max="6913" width="19.375" style="4" customWidth="1"/>
    <col min="6914" max="6914" width="9.25" style="4" customWidth="1"/>
    <col min="6915" max="6915" width="8.75" style="4" bestFit="1" customWidth="1"/>
    <col min="6916" max="6916" width="8.375" style="4" bestFit="1" customWidth="1"/>
    <col min="6917" max="6917" width="13" style="4" customWidth="1"/>
    <col min="6918" max="6918" width="8.75" style="4" bestFit="1" customWidth="1"/>
    <col min="6919" max="6919" width="12.375" style="4" bestFit="1" customWidth="1"/>
    <col min="6920" max="6920" width="8.75" style="4" bestFit="1" customWidth="1"/>
    <col min="6921" max="6921" width="8.375" style="4" bestFit="1" customWidth="1"/>
    <col min="6922" max="6922" width="13" style="4" customWidth="1"/>
    <col min="6923" max="6923" width="8.75" style="4" bestFit="1" customWidth="1"/>
    <col min="6924" max="6924" width="12.375" style="4" bestFit="1" customWidth="1"/>
    <col min="6925" max="6925" width="8" style="4" bestFit="1" customWidth="1"/>
    <col min="6926" max="6926" width="10" style="4" customWidth="1"/>
    <col min="6927" max="6927" width="14.375" style="4" bestFit="1" customWidth="1"/>
    <col min="6928" max="6928" width="8" style="4" bestFit="1" customWidth="1"/>
    <col min="6929" max="7154" width="8" style="4" customWidth="1"/>
    <col min="7155" max="7155" width="11.375" style="4" bestFit="1" customWidth="1"/>
    <col min="7156" max="7156" width="9.25" style="4" customWidth="1"/>
    <col min="7157" max="7157" width="8.75" style="4" bestFit="1" customWidth="1"/>
    <col min="7158" max="7158" width="7.375" style="4" bestFit="1" customWidth="1"/>
    <col min="7159" max="7159" width="16.375" style="4" bestFit="1" customWidth="1"/>
    <col min="7160" max="7160" width="8.75" style="4" bestFit="1" customWidth="1"/>
    <col min="7161" max="7161" width="9.25" style="4" customWidth="1"/>
    <col min="7162" max="7162" width="8.75" style="4" bestFit="1" customWidth="1"/>
    <col min="7163" max="7168" width="8.375" style="4"/>
    <col min="7169" max="7169" width="19.375" style="4" customWidth="1"/>
    <col min="7170" max="7170" width="9.25" style="4" customWidth="1"/>
    <col min="7171" max="7171" width="8.75" style="4" bestFit="1" customWidth="1"/>
    <col min="7172" max="7172" width="8.375" style="4" bestFit="1" customWidth="1"/>
    <col min="7173" max="7173" width="13" style="4" customWidth="1"/>
    <col min="7174" max="7174" width="8.75" style="4" bestFit="1" customWidth="1"/>
    <col min="7175" max="7175" width="12.375" style="4" bestFit="1" customWidth="1"/>
    <col min="7176" max="7176" width="8.75" style="4" bestFit="1" customWidth="1"/>
    <col min="7177" max="7177" width="8.375" style="4" bestFit="1" customWidth="1"/>
    <col min="7178" max="7178" width="13" style="4" customWidth="1"/>
    <col min="7179" max="7179" width="8.75" style="4" bestFit="1" customWidth="1"/>
    <col min="7180" max="7180" width="12.375" style="4" bestFit="1" customWidth="1"/>
    <col min="7181" max="7181" width="8" style="4" bestFit="1" customWidth="1"/>
    <col min="7182" max="7182" width="10" style="4" customWidth="1"/>
    <col min="7183" max="7183" width="14.375" style="4" bestFit="1" customWidth="1"/>
    <col min="7184" max="7184" width="8" style="4" bestFit="1" customWidth="1"/>
    <col min="7185" max="7410" width="8" style="4" customWidth="1"/>
    <col min="7411" max="7411" width="11.375" style="4" bestFit="1" customWidth="1"/>
    <col min="7412" max="7412" width="9.25" style="4" customWidth="1"/>
    <col min="7413" max="7413" width="8.75" style="4" bestFit="1" customWidth="1"/>
    <col min="7414" max="7414" width="7.375" style="4" bestFit="1" customWidth="1"/>
    <col min="7415" max="7415" width="16.375" style="4" bestFit="1" customWidth="1"/>
    <col min="7416" max="7416" width="8.75" style="4" bestFit="1" customWidth="1"/>
    <col min="7417" max="7417" width="9.25" style="4" customWidth="1"/>
    <col min="7418" max="7418" width="8.75" style="4" bestFit="1" customWidth="1"/>
    <col min="7419" max="7424" width="8.375" style="4"/>
    <col min="7425" max="7425" width="19.375" style="4" customWidth="1"/>
    <col min="7426" max="7426" width="9.25" style="4" customWidth="1"/>
    <col min="7427" max="7427" width="8.75" style="4" bestFit="1" customWidth="1"/>
    <col min="7428" max="7428" width="8.375" style="4" bestFit="1" customWidth="1"/>
    <col min="7429" max="7429" width="13" style="4" customWidth="1"/>
    <col min="7430" max="7430" width="8.75" style="4" bestFit="1" customWidth="1"/>
    <col min="7431" max="7431" width="12.375" style="4" bestFit="1" customWidth="1"/>
    <col min="7432" max="7432" width="8.75" style="4" bestFit="1" customWidth="1"/>
    <col min="7433" max="7433" width="8.375" style="4" bestFit="1" customWidth="1"/>
    <col min="7434" max="7434" width="13" style="4" customWidth="1"/>
    <col min="7435" max="7435" width="8.75" style="4" bestFit="1" customWidth="1"/>
    <col min="7436" max="7436" width="12.375" style="4" bestFit="1" customWidth="1"/>
    <col min="7437" max="7437" width="8" style="4" bestFit="1" customWidth="1"/>
    <col min="7438" max="7438" width="10" style="4" customWidth="1"/>
    <col min="7439" max="7439" width="14.375" style="4" bestFit="1" customWidth="1"/>
    <col min="7440" max="7440" width="8" style="4" bestFit="1" customWidth="1"/>
    <col min="7441" max="7666" width="8" style="4" customWidth="1"/>
    <col min="7667" max="7667" width="11.375" style="4" bestFit="1" customWidth="1"/>
    <col min="7668" max="7668" width="9.25" style="4" customWidth="1"/>
    <col min="7669" max="7669" width="8.75" style="4" bestFit="1" customWidth="1"/>
    <col min="7670" max="7670" width="7.375" style="4" bestFit="1" customWidth="1"/>
    <col min="7671" max="7671" width="16.375" style="4" bestFit="1" customWidth="1"/>
    <col min="7672" max="7672" width="8.75" style="4" bestFit="1" customWidth="1"/>
    <col min="7673" max="7673" width="9.25" style="4" customWidth="1"/>
    <col min="7674" max="7674" width="8.75" style="4" bestFit="1" customWidth="1"/>
    <col min="7675" max="7680" width="8.375" style="4"/>
    <col min="7681" max="7681" width="19.375" style="4" customWidth="1"/>
    <col min="7682" max="7682" width="9.25" style="4" customWidth="1"/>
    <col min="7683" max="7683" width="8.75" style="4" bestFit="1" customWidth="1"/>
    <col min="7684" max="7684" width="8.375" style="4" bestFit="1" customWidth="1"/>
    <col min="7685" max="7685" width="13" style="4" customWidth="1"/>
    <col min="7686" max="7686" width="8.75" style="4" bestFit="1" customWidth="1"/>
    <col min="7687" max="7687" width="12.375" style="4" bestFit="1" customWidth="1"/>
    <col min="7688" max="7688" width="8.75" style="4" bestFit="1" customWidth="1"/>
    <col min="7689" max="7689" width="8.375" style="4" bestFit="1" customWidth="1"/>
    <col min="7690" max="7690" width="13" style="4" customWidth="1"/>
    <col min="7691" max="7691" width="8.75" style="4" bestFit="1" customWidth="1"/>
    <col min="7692" max="7692" width="12.375" style="4" bestFit="1" customWidth="1"/>
    <col min="7693" max="7693" width="8" style="4" bestFit="1" customWidth="1"/>
    <col min="7694" max="7694" width="10" style="4" customWidth="1"/>
    <col min="7695" max="7695" width="14.375" style="4" bestFit="1" customWidth="1"/>
    <col min="7696" max="7696" width="8" style="4" bestFit="1" customWidth="1"/>
    <col min="7697" max="7922" width="8" style="4" customWidth="1"/>
    <col min="7923" max="7923" width="11.375" style="4" bestFit="1" customWidth="1"/>
    <col min="7924" max="7924" width="9.25" style="4" customWidth="1"/>
    <col min="7925" max="7925" width="8.75" style="4" bestFit="1" customWidth="1"/>
    <col min="7926" max="7926" width="7.375" style="4" bestFit="1" customWidth="1"/>
    <col min="7927" max="7927" width="16.375" style="4" bestFit="1" customWidth="1"/>
    <col min="7928" max="7928" width="8.75" style="4" bestFit="1" customWidth="1"/>
    <col min="7929" max="7929" width="9.25" style="4" customWidth="1"/>
    <col min="7930" max="7930" width="8.75" style="4" bestFit="1" customWidth="1"/>
    <col min="7931" max="7936" width="8.375" style="4"/>
    <col min="7937" max="7937" width="19.375" style="4" customWidth="1"/>
    <col min="7938" max="7938" width="9.25" style="4" customWidth="1"/>
    <col min="7939" max="7939" width="8.75" style="4" bestFit="1" customWidth="1"/>
    <col min="7940" max="7940" width="8.375" style="4" bestFit="1" customWidth="1"/>
    <col min="7941" max="7941" width="13" style="4" customWidth="1"/>
    <col min="7942" max="7942" width="8.75" style="4" bestFit="1" customWidth="1"/>
    <col min="7943" max="7943" width="12.375" style="4" bestFit="1" customWidth="1"/>
    <col min="7944" max="7944" width="8.75" style="4" bestFit="1" customWidth="1"/>
    <col min="7945" max="7945" width="8.375" style="4" bestFit="1" customWidth="1"/>
    <col min="7946" max="7946" width="13" style="4" customWidth="1"/>
    <col min="7947" max="7947" width="8.75" style="4" bestFit="1" customWidth="1"/>
    <col min="7948" max="7948" width="12.375" style="4" bestFit="1" customWidth="1"/>
    <col min="7949" max="7949" width="8" style="4" bestFit="1" customWidth="1"/>
    <col min="7950" max="7950" width="10" style="4" customWidth="1"/>
    <col min="7951" max="7951" width="14.375" style="4" bestFit="1" customWidth="1"/>
    <col min="7952" max="7952" width="8" style="4" bestFit="1" customWidth="1"/>
    <col min="7953" max="8178" width="8" style="4" customWidth="1"/>
    <col min="8179" max="8179" width="11.375" style="4" bestFit="1" customWidth="1"/>
    <col min="8180" max="8180" width="9.25" style="4" customWidth="1"/>
    <col min="8181" max="8181" width="8.75" style="4" bestFit="1" customWidth="1"/>
    <col min="8182" max="8182" width="7.375" style="4" bestFit="1" customWidth="1"/>
    <col min="8183" max="8183" width="16.375" style="4" bestFit="1" customWidth="1"/>
    <col min="8184" max="8184" width="8.75" style="4" bestFit="1" customWidth="1"/>
    <col min="8185" max="8185" width="9.25" style="4" customWidth="1"/>
    <col min="8186" max="8186" width="8.75" style="4" bestFit="1" customWidth="1"/>
    <col min="8187" max="8192" width="8.375" style="4"/>
    <col min="8193" max="8193" width="19.375" style="4" customWidth="1"/>
    <col min="8194" max="8194" width="9.25" style="4" customWidth="1"/>
    <col min="8195" max="8195" width="8.75" style="4" bestFit="1" customWidth="1"/>
    <col min="8196" max="8196" width="8.375" style="4" bestFit="1" customWidth="1"/>
    <col min="8197" max="8197" width="13" style="4" customWidth="1"/>
    <col min="8198" max="8198" width="8.75" style="4" bestFit="1" customWidth="1"/>
    <col min="8199" max="8199" width="12.375" style="4" bestFit="1" customWidth="1"/>
    <col min="8200" max="8200" width="8.75" style="4" bestFit="1" customWidth="1"/>
    <col min="8201" max="8201" width="8.375" style="4" bestFit="1" customWidth="1"/>
    <col min="8202" max="8202" width="13" style="4" customWidth="1"/>
    <col min="8203" max="8203" width="8.75" style="4" bestFit="1" customWidth="1"/>
    <col min="8204" max="8204" width="12.375" style="4" bestFit="1" customWidth="1"/>
    <col min="8205" max="8205" width="8" style="4" bestFit="1" customWidth="1"/>
    <col min="8206" max="8206" width="10" style="4" customWidth="1"/>
    <col min="8207" max="8207" width="14.375" style="4" bestFit="1" customWidth="1"/>
    <col min="8208" max="8208" width="8" style="4" bestFit="1" customWidth="1"/>
    <col min="8209" max="8434" width="8" style="4" customWidth="1"/>
    <col min="8435" max="8435" width="11.375" style="4" bestFit="1" customWidth="1"/>
    <col min="8436" max="8436" width="9.25" style="4" customWidth="1"/>
    <col min="8437" max="8437" width="8.75" style="4" bestFit="1" customWidth="1"/>
    <col min="8438" max="8438" width="7.375" style="4" bestFit="1" customWidth="1"/>
    <col min="8439" max="8439" width="16.375" style="4" bestFit="1" customWidth="1"/>
    <col min="8440" max="8440" width="8.75" style="4" bestFit="1" customWidth="1"/>
    <col min="8441" max="8441" width="9.25" style="4" customWidth="1"/>
    <col min="8442" max="8442" width="8.75" style="4" bestFit="1" customWidth="1"/>
    <col min="8443" max="8448" width="8.375" style="4"/>
    <col min="8449" max="8449" width="19.375" style="4" customWidth="1"/>
    <col min="8450" max="8450" width="9.25" style="4" customWidth="1"/>
    <col min="8451" max="8451" width="8.75" style="4" bestFit="1" customWidth="1"/>
    <col min="8452" max="8452" width="8.375" style="4" bestFit="1" customWidth="1"/>
    <col min="8453" max="8453" width="13" style="4" customWidth="1"/>
    <col min="8454" max="8454" width="8.75" style="4" bestFit="1" customWidth="1"/>
    <col min="8455" max="8455" width="12.375" style="4" bestFit="1" customWidth="1"/>
    <col min="8456" max="8456" width="8.75" style="4" bestFit="1" customWidth="1"/>
    <col min="8457" max="8457" width="8.375" style="4" bestFit="1" customWidth="1"/>
    <col min="8458" max="8458" width="13" style="4" customWidth="1"/>
    <col min="8459" max="8459" width="8.75" style="4" bestFit="1" customWidth="1"/>
    <col min="8460" max="8460" width="12.375" style="4" bestFit="1" customWidth="1"/>
    <col min="8461" max="8461" width="8" style="4" bestFit="1" customWidth="1"/>
    <col min="8462" max="8462" width="10" style="4" customWidth="1"/>
    <col min="8463" max="8463" width="14.375" style="4" bestFit="1" customWidth="1"/>
    <col min="8464" max="8464" width="8" style="4" bestFit="1" customWidth="1"/>
    <col min="8465" max="8690" width="8" style="4" customWidth="1"/>
    <col min="8691" max="8691" width="11.375" style="4" bestFit="1" customWidth="1"/>
    <col min="8692" max="8692" width="9.25" style="4" customWidth="1"/>
    <col min="8693" max="8693" width="8.75" style="4" bestFit="1" customWidth="1"/>
    <col min="8694" max="8694" width="7.375" style="4" bestFit="1" customWidth="1"/>
    <col min="8695" max="8695" width="16.375" style="4" bestFit="1" customWidth="1"/>
    <col min="8696" max="8696" width="8.75" style="4" bestFit="1" customWidth="1"/>
    <col min="8697" max="8697" width="9.25" style="4" customWidth="1"/>
    <col min="8698" max="8698" width="8.75" style="4" bestFit="1" customWidth="1"/>
    <col min="8699" max="8704" width="8.375" style="4"/>
    <col min="8705" max="8705" width="19.375" style="4" customWidth="1"/>
    <col min="8706" max="8706" width="9.25" style="4" customWidth="1"/>
    <col min="8707" max="8707" width="8.75" style="4" bestFit="1" customWidth="1"/>
    <col min="8708" max="8708" width="8.375" style="4" bestFit="1" customWidth="1"/>
    <col min="8709" max="8709" width="13" style="4" customWidth="1"/>
    <col min="8710" max="8710" width="8.75" style="4" bestFit="1" customWidth="1"/>
    <col min="8711" max="8711" width="12.375" style="4" bestFit="1" customWidth="1"/>
    <col min="8712" max="8712" width="8.75" style="4" bestFit="1" customWidth="1"/>
    <col min="8713" max="8713" width="8.375" style="4" bestFit="1" customWidth="1"/>
    <col min="8714" max="8714" width="13" style="4" customWidth="1"/>
    <col min="8715" max="8715" width="8.75" style="4" bestFit="1" customWidth="1"/>
    <col min="8716" max="8716" width="12.375" style="4" bestFit="1" customWidth="1"/>
    <col min="8717" max="8717" width="8" style="4" bestFit="1" customWidth="1"/>
    <col min="8718" max="8718" width="10" style="4" customWidth="1"/>
    <col min="8719" max="8719" width="14.375" style="4" bestFit="1" customWidth="1"/>
    <col min="8720" max="8720" width="8" style="4" bestFit="1" customWidth="1"/>
    <col min="8721" max="8946" width="8" style="4" customWidth="1"/>
    <col min="8947" max="8947" width="11.375" style="4" bestFit="1" customWidth="1"/>
    <col min="8948" max="8948" width="9.25" style="4" customWidth="1"/>
    <col min="8949" max="8949" width="8.75" style="4" bestFit="1" customWidth="1"/>
    <col min="8950" max="8950" width="7.375" style="4" bestFit="1" customWidth="1"/>
    <col min="8951" max="8951" width="16.375" style="4" bestFit="1" customWidth="1"/>
    <col min="8952" max="8952" width="8.75" style="4" bestFit="1" customWidth="1"/>
    <col min="8953" max="8953" width="9.25" style="4" customWidth="1"/>
    <col min="8954" max="8954" width="8.75" style="4" bestFit="1" customWidth="1"/>
    <col min="8955" max="8960" width="8.375" style="4"/>
    <col min="8961" max="8961" width="19.375" style="4" customWidth="1"/>
    <col min="8962" max="8962" width="9.25" style="4" customWidth="1"/>
    <col min="8963" max="8963" width="8.75" style="4" bestFit="1" customWidth="1"/>
    <col min="8964" max="8964" width="8.375" style="4" bestFit="1" customWidth="1"/>
    <col min="8965" max="8965" width="13" style="4" customWidth="1"/>
    <col min="8966" max="8966" width="8.75" style="4" bestFit="1" customWidth="1"/>
    <col min="8967" max="8967" width="12.375" style="4" bestFit="1" customWidth="1"/>
    <col min="8968" max="8968" width="8.75" style="4" bestFit="1" customWidth="1"/>
    <col min="8969" max="8969" width="8.375" style="4" bestFit="1" customWidth="1"/>
    <col min="8970" max="8970" width="13" style="4" customWidth="1"/>
    <col min="8971" max="8971" width="8.75" style="4" bestFit="1" customWidth="1"/>
    <col min="8972" max="8972" width="12.375" style="4" bestFit="1" customWidth="1"/>
    <col min="8973" max="8973" width="8" style="4" bestFit="1" customWidth="1"/>
    <col min="8974" max="8974" width="10" style="4" customWidth="1"/>
    <col min="8975" max="8975" width="14.375" style="4" bestFit="1" customWidth="1"/>
    <col min="8976" max="8976" width="8" style="4" bestFit="1" customWidth="1"/>
    <col min="8977" max="9202" width="8" style="4" customWidth="1"/>
    <col min="9203" max="9203" width="11.375" style="4" bestFit="1" customWidth="1"/>
    <col min="9204" max="9204" width="9.25" style="4" customWidth="1"/>
    <col min="9205" max="9205" width="8.75" style="4" bestFit="1" customWidth="1"/>
    <col min="9206" max="9206" width="7.375" style="4" bestFit="1" customWidth="1"/>
    <col min="9207" max="9207" width="16.375" style="4" bestFit="1" customWidth="1"/>
    <col min="9208" max="9208" width="8.75" style="4" bestFit="1" customWidth="1"/>
    <col min="9209" max="9209" width="9.25" style="4" customWidth="1"/>
    <col min="9210" max="9210" width="8.75" style="4" bestFit="1" customWidth="1"/>
    <col min="9211" max="9216" width="8.375" style="4"/>
    <col min="9217" max="9217" width="19.375" style="4" customWidth="1"/>
    <col min="9218" max="9218" width="9.25" style="4" customWidth="1"/>
    <col min="9219" max="9219" width="8.75" style="4" bestFit="1" customWidth="1"/>
    <col min="9220" max="9220" width="8.375" style="4" bestFit="1" customWidth="1"/>
    <col min="9221" max="9221" width="13" style="4" customWidth="1"/>
    <col min="9222" max="9222" width="8.75" style="4" bestFit="1" customWidth="1"/>
    <col min="9223" max="9223" width="12.375" style="4" bestFit="1" customWidth="1"/>
    <col min="9224" max="9224" width="8.75" style="4" bestFit="1" customWidth="1"/>
    <col min="9225" max="9225" width="8.375" style="4" bestFit="1" customWidth="1"/>
    <col min="9226" max="9226" width="13" style="4" customWidth="1"/>
    <col min="9227" max="9227" width="8.75" style="4" bestFit="1" customWidth="1"/>
    <col min="9228" max="9228" width="12.375" style="4" bestFit="1" customWidth="1"/>
    <col min="9229" max="9229" width="8" style="4" bestFit="1" customWidth="1"/>
    <col min="9230" max="9230" width="10" style="4" customWidth="1"/>
    <col min="9231" max="9231" width="14.375" style="4" bestFit="1" customWidth="1"/>
    <col min="9232" max="9232" width="8" style="4" bestFit="1" customWidth="1"/>
    <col min="9233" max="9458" width="8" style="4" customWidth="1"/>
    <col min="9459" max="9459" width="11.375" style="4" bestFit="1" customWidth="1"/>
    <col min="9460" max="9460" width="9.25" style="4" customWidth="1"/>
    <col min="9461" max="9461" width="8.75" style="4" bestFit="1" customWidth="1"/>
    <col min="9462" max="9462" width="7.375" style="4" bestFit="1" customWidth="1"/>
    <col min="9463" max="9463" width="16.375" style="4" bestFit="1" customWidth="1"/>
    <col min="9464" max="9464" width="8.75" style="4" bestFit="1" customWidth="1"/>
    <col min="9465" max="9465" width="9.25" style="4" customWidth="1"/>
    <col min="9466" max="9466" width="8.75" style="4" bestFit="1" customWidth="1"/>
    <col min="9467" max="9472" width="8.375" style="4"/>
    <col min="9473" max="9473" width="19.375" style="4" customWidth="1"/>
    <col min="9474" max="9474" width="9.25" style="4" customWidth="1"/>
    <col min="9475" max="9475" width="8.75" style="4" bestFit="1" customWidth="1"/>
    <col min="9476" max="9476" width="8.375" style="4" bestFit="1" customWidth="1"/>
    <col min="9477" max="9477" width="13" style="4" customWidth="1"/>
    <col min="9478" max="9478" width="8.75" style="4" bestFit="1" customWidth="1"/>
    <col min="9479" max="9479" width="12.375" style="4" bestFit="1" customWidth="1"/>
    <col min="9480" max="9480" width="8.75" style="4" bestFit="1" customWidth="1"/>
    <col min="9481" max="9481" width="8.375" style="4" bestFit="1" customWidth="1"/>
    <col min="9482" max="9482" width="13" style="4" customWidth="1"/>
    <col min="9483" max="9483" width="8.75" style="4" bestFit="1" customWidth="1"/>
    <col min="9484" max="9484" width="12.375" style="4" bestFit="1" customWidth="1"/>
    <col min="9485" max="9485" width="8" style="4" bestFit="1" customWidth="1"/>
    <col min="9486" max="9486" width="10" style="4" customWidth="1"/>
    <col min="9487" max="9487" width="14.375" style="4" bestFit="1" customWidth="1"/>
    <col min="9488" max="9488" width="8" style="4" bestFit="1" customWidth="1"/>
    <col min="9489" max="9714" width="8" style="4" customWidth="1"/>
    <col min="9715" max="9715" width="11.375" style="4" bestFit="1" customWidth="1"/>
    <col min="9716" max="9716" width="9.25" style="4" customWidth="1"/>
    <col min="9717" max="9717" width="8.75" style="4" bestFit="1" customWidth="1"/>
    <col min="9718" max="9718" width="7.375" style="4" bestFit="1" customWidth="1"/>
    <col min="9719" max="9719" width="16.375" style="4" bestFit="1" customWidth="1"/>
    <col min="9720" max="9720" width="8.75" style="4" bestFit="1" customWidth="1"/>
    <col min="9721" max="9721" width="9.25" style="4" customWidth="1"/>
    <col min="9722" max="9722" width="8.75" style="4" bestFit="1" customWidth="1"/>
    <col min="9723" max="9728" width="8.375" style="4"/>
    <col min="9729" max="9729" width="19.375" style="4" customWidth="1"/>
    <col min="9730" max="9730" width="9.25" style="4" customWidth="1"/>
    <col min="9731" max="9731" width="8.75" style="4" bestFit="1" customWidth="1"/>
    <col min="9732" max="9732" width="8.375" style="4" bestFit="1" customWidth="1"/>
    <col min="9733" max="9733" width="13" style="4" customWidth="1"/>
    <col min="9734" max="9734" width="8.75" style="4" bestFit="1" customWidth="1"/>
    <col min="9735" max="9735" width="12.375" style="4" bestFit="1" customWidth="1"/>
    <col min="9736" max="9736" width="8.75" style="4" bestFit="1" customWidth="1"/>
    <col min="9737" max="9737" width="8.375" style="4" bestFit="1" customWidth="1"/>
    <col min="9738" max="9738" width="13" style="4" customWidth="1"/>
    <col min="9739" max="9739" width="8.75" style="4" bestFit="1" customWidth="1"/>
    <col min="9740" max="9740" width="12.375" style="4" bestFit="1" customWidth="1"/>
    <col min="9741" max="9741" width="8" style="4" bestFit="1" customWidth="1"/>
    <col min="9742" max="9742" width="10" style="4" customWidth="1"/>
    <col min="9743" max="9743" width="14.375" style="4" bestFit="1" customWidth="1"/>
    <col min="9744" max="9744" width="8" style="4" bestFit="1" customWidth="1"/>
    <col min="9745" max="9970" width="8" style="4" customWidth="1"/>
    <col min="9971" max="9971" width="11.375" style="4" bestFit="1" customWidth="1"/>
    <col min="9972" max="9972" width="9.25" style="4" customWidth="1"/>
    <col min="9973" max="9973" width="8.75" style="4" bestFit="1" customWidth="1"/>
    <col min="9974" max="9974" width="7.375" style="4" bestFit="1" customWidth="1"/>
    <col min="9975" max="9975" width="16.375" style="4" bestFit="1" customWidth="1"/>
    <col min="9976" max="9976" width="8.75" style="4" bestFit="1" customWidth="1"/>
    <col min="9977" max="9977" width="9.25" style="4" customWidth="1"/>
    <col min="9978" max="9978" width="8.75" style="4" bestFit="1" customWidth="1"/>
    <col min="9979" max="9984" width="8.375" style="4"/>
    <col min="9985" max="9985" width="19.375" style="4" customWidth="1"/>
    <col min="9986" max="9986" width="9.25" style="4" customWidth="1"/>
    <col min="9987" max="9987" width="8.75" style="4" bestFit="1" customWidth="1"/>
    <col min="9988" max="9988" width="8.375" style="4" bestFit="1" customWidth="1"/>
    <col min="9989" max="9989" width="13" style="4" customWidth="1"/>
    <col min="9990" max="9990" width="8.75" style="4" bestFit="1" customWidth="1"/>
    <col min="9991" max="9991" width="12.375" style="4" bestFit="1" customWidth="1"/>
    <col min="9992" max="9992" width="8.75" style="4" bestFit="1" customWidth="1"/>
    <col min="9993" max="9993" width="8.375" style="4" bestFit="1" customWidth="1"/>
    <col min="9994" max="9994" width="13" style="4" customWidth="1"/>
    <col min="9995" max="9995" width="8.75" style="4" bestFit="1" customWidth="1"/>
    <col min="9996" max="9996" width="12.375" style="4" bestFit="1" customWidth="1"/>
    <col min="9997" max="9997" width="8" style="4" bestFit="1" customWidth="1"/>
    <col min="9998" max="9998" width="10" style="4" customWidth="1"/>
    <col min="9999" max="9999" width="14.375" style="4" bestFit="1" customWidth="1"/>
    <col min="10000" max="10000" width="8" style="4" bestFit="1" customWidth="1"/>
    <col min="10001" max="10226" width="8" style="4" customWidth="1"/>
    <col min="10227" max="10227" width="11.375" style="4" bestFit="1" customWidth="1"/>
    <col min="10228" max="10228" width="9.25" style="4" customWidth="1"/>
    <col min="10229" max="10229" width="8.75" style="4" bestFit="1" customWidth="1"/>
    <col min="10230" max="10230" width="7.375" style="4" bestFit="1" customWidth="1"/>
    <col min="10231" max="10231" width="16.375" style="4" bestFit="1" customWidth="1"/>
    <col min="10232" max="10232" width="8.75" style="4" bestFit="1" customWidth="1"/>
    <col min="10233" max="10233" width="9.25" style="4" customWidth="1"/>
    <col min="10234" max="10234" width="8.75" style="4" bestFit="1" customWidth="1"/>
    <col min="10235" max="10240" width="8.375" style="4"/>
    <col min="10241" max="10241" width="19.375" style="4" customWidth="1"/>
    <col min="10242" max="10242" width="9.25" style="4" customWidth="1"/>
    <col min="10243" max="10243" width="8.75" style="4" bestFit="1" customWidth="1"/>
    <col min="10244" max="10244" width="8.375" style="4" bestFit="1" customWidth="1"/>
    <col min="10245" max="10245" width="13" style="4" customWidth="1"/>
    <col min="10246" max="10246" width="8.75" style="4" bestFit="1" customWidth="1"/>
    <col min="10247" max="10247" width="12.375" style="4" bestFit="1" customWidth="1"/>
    <col min="10248" max="10248" width="8.75" style="4" bestFit="1" customWidth="1"/>
    <col min="10249" max="10249" width="8.375" style="4" bestFit="1" customWidth="1"/>
    <col min="10250" max="10250" width="13" style="4" customWidth="1"/>
    <col min="10251" max="10251" width="8.75" style="4" bestFit="1" customWidth="1"/>
    <col min="10252" max="10252" width="12.375" style="4" bestFit="1" customWidth="1"/>
    <col min="10253" max="10253" width="8" style="4" bestFit="1" customWidth="1"/>
    <col min="10254" max="10254" width="10" style="4" customWidth="1"/>
    <col min="10255" max="10255" width="14.375" style="4" bestFit="1" customWidth="1"/>
    <col min="10256" max="10256" width="8" style="4" bestFit="1" customWidth="1"/>
    <col min="10257" max="10482" width="8" style="4" customWidth="1"/>
    <col min="10483" max="10483" width="11.375" style="4" bestFit="1" customWidth="1"/>
    <col min="10484" max="10484" width="9.25" style="4" customWidth="1"/>
    <col min="10485" max="10485" width="8.75" style="4" bestFit="1" customWidth="1"/>
    <col min="10486" max="10486" width="7.375" style="4" bestFit="1" customWidth="1"/>
    <col min="10487" max="10487" width="16.375" style="4" bestFit="1" customWidth="1"/>
    <col min="10488" max="10488" width="8.75" style="4" bestFit="1" customWidth="1"/>
    <col min="10489" max="10489" width="9.25" style="4" customWidth="1"/>
    <col min="10490" max="10490" width="8.75" style="4" bestFit="1" customWidth="1"/>
    <col min="10491" max="10496" width="8.375" style="4"/>
    <col min="10497" max="10497" width="19.375" style="4" customWidth="1"/>
    <col min="10498" max="10498" width="9.25" style="4" customWidth="1"/>
    <col min="10499" max="10499" width="8.75" style="4" bestFit="1" customWidth="1"/>
    <col min="10500" max="10500" width="8.375" style="4" bestFit="1" customWidth="1"/>
    <col min="10501" max="10501" width="13" style="4" customWidth="1"/>
    <col min="10502" max="10502" width="8.75" style="4" bestFit="1" customWidth="1"/>
    <col min="10503" max="10503" width="12.375" style="4" bestFit="1" customWidth="1"/>
    <col min="10504" max="10504" width="8.75" style="4" bestFit="1" customWidth="1"/>
    <col min="10505" max="10505" width="8.375" style="4" bestFit="1" customWidth="1"/>
    <col min="10506" max="10506" width="13" style="4" customWidth="1"/>
    <col min="10507" max="10507" width="8.75" style="4" bestFit="1" customWidth="1"/>
    <col min="10508" max="10508" width="12.375" style="4" bestFit="1" customWidth="1"/>
    <col min="10509" max="10509" width="8" style="4" bestFit="1" customWidth="1"/>
    <col min="10510" max="10510" width="10" style="4" customWidth="1"/>
    <col min="10511" max="10511" width="14.375" style="4" bestFit="1" customWidth="1"/>
    <col min="10512" max="10512" width="8" style="4" bestFit="1" customWidth="1"/>
    <col min="10513" max="10738" width="8" style="4" customWidth="1"/>
    <col min="10739" max="10739" width="11.375" style="4" bestFit="1" customWidth="1"/>
    <col min="10740" max="10740" width="9.25" style="4" customWidth="1"/>
    <col min="10741" max="10741" width="8.75" style="4" bestFit="1" customWidth="1"/>
    <col min="10742" max="10742" width="7.375" style="4" bestFit="1" customWidth="1"/>
    <col min="10743" max="10743" width="16.375" style="4" bestFit="1" customWidth="1"/>
    <col min="10744" max="10744" width="8.75" style="4" bestFit="1" customWidth="1"/>
    <col min="10745" max="10745" width="9.25" style="4" customWidth="1"/>
    <col min="10746" max="10746" width="8.75" style="4" bestFit="1" customWidth="1"/>
    <col min="10747" max="10752" width="8.375" style="4"/>
    <col min="10753" max="10753" width="19.375" style="4" customWidth="1"/>
    <col min="10754" max="10754" width="9.25" style="4" customWidth="1"/>
    <col min="10755" max="10755" width="8.75" style="4" bestFit="1" customWidth="1"/>
    <col min="10756" max="10756" width="8.375" style="4" bestFit="1" customWidth="1"/>
    <col min="10757" max="10757" width="13" style="4" customWidth="1"/>
    <col min="10758" max="10758" width="8.75" style="4" bestFit="1" customWidth="1"/>
    <col min="10759" max="10759" width="12.375" style="4" bestFit="1" customWidth="1"/>
    <col min="10760" max="10760" width="8.75" style="4" bestFit="1" customWidth="1"/>
    <col min="10761" max="10761" width="8.375" style="4" bestFit="1" customWidth="1"/>
    <col min="10762" max="10762" width="13" style="4" customWidth="1"/>
    <col min="10763" max="10763" width="8.75" style="4" bestFit="1" customWidth="1"/>
    <col min="10764" max="10764" width="12.375" style="4" bestFit="1" customWidth="1"/>
    <col min="10765" max="10765" width="8" style="4" bestFit="1" customWidth="1"/>
    <col min="10766" max="10766" width="10" style="4" customWidth="1"/>
    <col min="10767" max="10767" width="14.375" style="4" bestFit="1" customWidth="1"/>
    <col min="10768" max="10768" width="8" style="4" bestFit="1" customWidth="1"/>
    <col min="10769" max="10994" width="8" style="4" customWidth="1"/>
    <col min="10995" max="10995" width="11.375" style="4" bestFit="1" customWidth="1"/>
    <col min="10996" max="10996" width="9.25" style="4" customWidth="1"/>
    <col min="10997" max="10997" width="8.75" style="4" bestFit="1" customWidth="1"/>
    <col min="10998" max="10998" width="7.375" style="4" bestFit="1" customWidth="1"/>
    <col min="10999" max="10999" width="16.375" style="4" bestFit="1" customWidth="1"/>
    <col min="11000" max="11000" width="8.75" style="4" bestFit="1" customWidth="1"/>
    <col min="11001" max="11001" width="9.25" style="4" customWidth="1"/>
    <col min="11002" max="11002" width="8.75" style="4" bestFit="1" customWidth="1"/>
    <col min="11003" max="11008" width="8.375" style="4"/>
    <col min="11009" max="11009" width="19.375" style="4" customWidth="1"/>
    <col min="11010" max="11010" width="9.25" style="4" customWidth="1"/>
    <col min="11011" max="11011" width="8.75" style="4" bestFit="1" customWidth="1"/>
    <col min="11012" max="11012" width="8.375" style="4" bestFit="1" customWidth="1"/>
    <col min="11013" max="11013" width="13" style="4" customWidth="1"/>
    <col min="11014" max="11014" width="8.75" style="4" bestFit="1" customWidth="1"/>
    <col min="11015" max="11015" width="12.375" style="4" bestFit="1" customWidth="1"/>
    <col min="11016" max="11016" width="8.75" style="4" bestFit="1" customWidth="1"/>
    <col min="11017" max="11017" width="8.375" style="4" bestFit="1" customWidth="1"/>
    <col min="11018" max="11018" width="13" style="4" customWidth="1"/>
    <col min="11019" max="11019" width="8.75" style="4" bestFit="1" customWidth="1"/>
    <col min="11020" max="11020" width="12.375" style="4" bestFit="1" customWidth="1"/>
    <col min="11021" max="11021" width="8" style="4" bestFit="1" customWidth="1"/>
    <col min="11022" max="11022" width="10" style="4" customWidth="1"/>
    <col min="11023" max="11023" width="14.375" style="4" bestFit="1" customWidth="1"/>
    <col min="11024" max="11024" width="8" style="4" bestFit="1" customWidth="1"/>
    <col min="11025" max="11250" width="8" style="4" customWidth="1"/>
    <col min="11251" max="11251" width="11.375" style="4" bestFit="1" customWidth="1"/>
    <col min="11252" max="11252" width="9.25" style="4" customWidth="1"/>
    <col min="11253" max="11253" width="8.75" style="4" bestFit="1" customWidth="1"/>
    <col min="11254" max="11254" width="7.375" style="4" bestFit="1" customWidth="1"/>
    <col min="11255" max="11255" width="16.375" style="4" bestFit="1" customWidth="1"/>
    <col min="11256" max="11256" width="8.75" style="4" bestFit="1" customWidth="1"/>
    <col min="11257" max="11257" width="9.25" style="4" customWidth="1"/>
    <col min="11258" max="11258" width="8.75" style="4" bestFit="1" customWidth="1"/>
    <col min="11259" max="11264" width="8.375" style="4"/>
    <col min="11265" max="11265" width="19.375" style="4" customWidth="1"/>
    <col min="11266" max="11266" width="9.25" style="4" customWidth="1"/>
    <col min="11267" max="11267" width="8.75" style="4" bestFit="1" customWidth="1"/>
    <col min="11268" max="11268" width="8.375" style="4" bestFit="1" customWidth="1"/>
    <col min="11269" max="11269" width="13" style="4" customWidth="1"/>
    <col min="11270" max="11270" width="8.75" style="4" bestFit="1" customWidth="1"/>
    <col min="11271" max="11271" width="12.375" style="4" bestFit="1" customWidth="1"/>
    <col min="11272" max="11272" width="8.75" style="4" bestFit="1" customWidth="1"/>
    <col min="11273" max="11273" width="8.375" style="4" bestFit="1" customWidth="1"/>
    <col min="11274" max="11274" width="13" style="4" customWidth="1"/>
    <col min="11275" max="11275" width="8.75" style="4" bestFit="1" customWidth="1"/>
    <col min="11276" max="11276" width="12.375" style="4" bestFit="1" customWidth="1"/>
    <col min="11277" max="11277" width="8" style="4" bestFit="1" customWidth="1"/>
    <col min="11278" max="11278" width="10" style="4" customWidth="1"/>
    <col min="11279" max="11279" width="14.375" style="4" bestFit="1" customWidth="1"/>
    <col min="11280" max="11280" width="8" style="4" bestFit="1" customWidth="1"/>
    <col min="11281" max="11506" width="8" style="4" customWidth="1"/>
    <col min="11507" max="11507" width="11.375" style="4" bestFit="1" customWidth="1"/>
    <col min="11508" max="11508" width="9.25" style="4" customWidth="1"/>
    <col min="11509" max="11509" width="8.75" style="4" bestFit="1" customWidth="1"/>
    <col min="11510" max="11510" width="7.375" style="4" bestFit="1" customWidth="1"/>
    <col min="11511" max="11511" width="16.375" style="4" bestFit="1" customWidth="1"/>
    <col min="11512" max="11512" width="8.75" style="4" bestFit="1" customWidth="1"/>
    <col min="11513" max="11513" width="9.25" style="4" customWidth="1"/>
    <col min="11514" max="11514" width="8.75" style="4" bestFit="1" customWidth="1"/>
    <col min="11515" max="11520" width="8.375" style="4"/>
    <col min="11521" max="11521" width="19.375" style="4" customWidth="1"/>
    <col min="11522" max="11522" width="9.25" style="4" customWidth="1"/>
    <col min="11523" max="11523" width="8.75" style="4" bestFit="1" customWidth="1"/>
    <col min="11524" max="11524" width="8.375" style="4" bestFit="1" customWidth="1"/>
    <col min="11525" max="11525" width="13" style="4" customWidth="1"/>
    <col min="11526" max="11526" width="8.75" style="4" bestFit="1" customWidth="1"/>
    <col min="11527" max="11527" width="12.375" style="4" bestFit="1" customWidth="1"/>
    <col min="11528" max="11528" width="8.75" style="4" bestFit="1" customWidth="1"/>
    <col min="11529" max="11529" width="8.375" style="4" bestFit="1" customWidth="1"/>
    <col min="11530" max="11530" width="13" style="4" customWidth="1"/>
    <col min="11531" max="11531" width="8.75" style="4" bestFit="1" customWidth="1"/>
    <col min="11532" max="11532" width="12.375" style="4" bestFit="1" customWidth="1"/>
    <col min="11533" max="11533" width="8" style="4" bestFit="1" customWidth="1"/>
    <col min="11534" max="11534" width="10" style="4" customWidth="1"/>
    <col min="11535" max="11535" width="14.375" style="4" bestFit="1" customWidth="1"/>
    <col min="11536" max="11536" width="8" style="4" bestFit="1" customWidth="1"/>
    <col min="11537" max="11762" width="8" style="4" customWidth="1"/>
    <col min="11763" max="11763" width="11.375" style="4" bestFit="1" customWidth="1"/>
    <col min="11764" max="11764" width="9.25" style="4" customWidth="1"/>
    <col min="11765" max="11765" width="8.75" style="4" bestFit="1" customWidth="1"/>
    <col min="11766" max="11766" width="7.375" style="4" bestFit="1" customWidth="1"/>
    <col min="11767" max="11767" width="16.375" style="4" bestFit="1" customWidth="1"/>
    <col min="11768" max="11768" width="8.75" style="4" bestFit="1" customWidth="1"/>
    <col min="11769" max="11769" width="9.25" style="4" customWidth="1"/>
    <col min="11770" max="11770" width="8.75" style="4" bestFit="1" customWidth="1"/>
    <col min="11771" max="11776" width="8.375" style="4"/>
    <col min="11777" max="11777" width="19.375" style="4" customWidth="1"/>
    <col min="11778" max="11778" width="9.25" style="4" customWidth="1"/>
    <col min="11779" max="11779" width="8.75" style="4" bestFit="1" customWidth="1"/>
    <col min="11780" max="11780" width="8.375" style="4" bestFit="1" customWidth="1"/>
    <col min="11781" max="11781" width="13" style="4" customWidth="1"/>
    <col min="11782" max="11782" width="8.75" style="4" bestFit="1" customWidth="1"/>
    <col min="11783" max="11783" width="12.375" style="4" bestFit="1" customWidth="1"/>
    <col min="11784" max="11784" width="8.75" style="4" bestFit="1" customWidth="1"/>
    <col min="11785" max="11785" width="8.375" style="4" bestFit="1" customWidth="1"/>
    <col min="11786" max="11786" width="13" style="4" customWidth="1"/>
    <col min="11787" max="11787" width="8.75" style="4" bestFit="1" customWidth="1"/>
    <col min="11788" max="11788" width="12.375" style="4" bestFit="1" customWidth="1"/>
    <col min="11789" max="11789" width="8" style="4" bestFit="1" customWidth="1"/>
    <col min="11790" max="11790" width="10" style="4" customWidth="1"/>
    <col min="11791" max="11791" width="14.375" style="4" bestFit="1" customWidth="1"/>
    <col min="11792" max="11792" width="8" style="4" bestFit="1" customWidth="1"/>
    <col min="11793" max="12018" width="8" style="4" customWidth="1"/>
    <col min="12019" max="12019" width="11.375" style="4" bestFit="1" customWidth="1"/>
    <col min="12020" max="12020" width="9.25" style="4" customWidth="1"/>
    <col min="12021" max="12021" width="8.75" style="4" bestFit="1" customWidth="1"/>
    <col min="12022" max="12022" width="7.375" style="4" bestFit="1" customWidth="1"/>
    <col min="12023" max="12023" width="16.375" style="4" bestFit="1" customWidth="1"/>
    <col min="12024" max="12024" width="8.75" style="4" bestFit="1" customWidth="1"/>
    <col min="12025" max="12025" width="9.25" style="4" customWidth="1"/>
    <col min="12026" max="12026" width="8.75" style="4" bestFit="1" customWidth="1"/>
    <col min="12027" max="12032" width="8.375" style="4"/>
    <col min="12033" max="12033" width="19.375" style="4" customWidth="1"/>
    <col min="12034" max="12034" width="9.25" style="4" customWidth="1"/>
    <col min="12035" max="12035" width="8.75" style="4" bestFit="1" customWidth="1"/>
    <col min="12036" max="12036" width="8.375" style="4" bestFit="1" customWidth="1"/>
    <col min="12037" max="12037" width="13" style="4" customWidth="1"/>
    <col min="12038" max="12038" width="8.75" style="4" bestFit="1" customWidth="1"/>
    <col min="12039" max="12039" width="12.375" style="4" bestFit="1" customWidth="1"/>
    <col min="12040" max="12040" width="8.75" style="4" bestFit="1" customWidth="1"/>
    <col min="12041" max="12041" width="8.375" style="4" bestFit="1" customWidth="1"/>
    <col min="12042" max="12042" width="13" style="4" customWidth="1"/>
    <col min="12043" max="12043" width="8.75" style="4" bestFit="1" customWidth="1"/>
    <col min="12044" max="12044" width="12.375" style="4" bestFit="1" customWidth="1"/>
    <col min="12045" max="12045" width="8" style="4" bestFit="1" customWidth="1"/>
    <col min="12046" max="12046" width="10" style="4" customWidth="1"/>
    <col min="12047" max="12047" width="14.375" style="4" bestFit="1" customWidth="1"/>
    <col min="12048" max="12048" width="8" style="4" bestFit="1" customWidth="1"/>
    <col min="12049" max="12274" width="8" style="4" customWidth="1"/>
    <col min="12275" max="12275" width="11.375" style="4" bestFit="1" customWidth="1"/>
    <col min="12276" max="12276" width="9.25" style="4" customWidth="1"/>
    <col min="12277" max="12277" width="8.75" style="4" bestFit="1" customWidth="1"/>
    <col min="12278" max="12278" width="7.375" style="4" bestFit="1" customWidth="1"/>
    <col min="12279" max="12279" width="16.375" style="4" bestFit="1" customWidth="1"/>
    <col min="12280" max="12280" width="8.75" style="4" bestFit="1" customWidth="1"/>
    <col min="12281" max="12281" width="9.25" style="4" customWidth="1"/>
    <col min="12282" max="12282" width="8.75" style="4" bestFit="1" customWidth="1"/>
    <col min="12283" max="12288" width="8.375" style="4"/>
    <col min="12289" max="12289" width="19.375" style="4" customWidth="1"/>
    <col min="12290" max="12290" width="9.25" style="4" customWidth="1"/>
    <col min="12291" max="12291" width="8.75" style="4" bestFit="1" customWidth="1"/>
    <col min="12292" max="12292" width="8.375" style="4" bestFit="1" customWidth="1"/>
    <col min="12293" max="12293" width="13" style="4" customWidth="1"/>
    <col min="12294" max="12294" width="8.75" style="4" bestFit="1" customWidth="1"/>
    <col min="12295" max="12295" width="12.375" style="4" bestFit="1" customWidth="1"/>
    <col min="12296" max="12296" width="8.75" style="4" bestFit="1" customWidth="1"/>
    <col min="12297" max="12297" width="8.375" style="4" bestFit="1" customWidth="1"/>
    <col min="12298" max="12298" width="13" style="4" customWidth="1"/>
    <col min="12299" max="12299" width="8.75" style="4" bestFit="1" customWidth="1"/>
    <col min="12300" max="12300" width="12.375" style="4" bestFit="1" customWidth="1"/>
    <col min="12301" max="12301" width="8" style="4" bestFit="1" customWidth="1"/>
    <col min="12302" max="12302" width="10" style="4" customWidth="1"/>
    <col min="12303" max="12303" width="14.375" style="4" bestFit="1" customWidth="1"/>
    <col min="12304" max="12304" width="8" style="4" bestFit="1" customWidth="1"/>
    <col min="12305" max="12530" width="8" style="4" customWidth="1"/>
    <col min="12531" max="12531" width="11.375" style="4" bestFit="1" customWidth="1"/>
    <col min="12532" max="12532" width="9.25" style="4" customWidth="1"/>
    <col min="12533" max="12533" width="8.75" style="4" bestFit="1" customWidth="1"/>
    <col min="12534" max="12534" width="7.375" style="4" bestFit="1" customWidth="1"/>
    <col min="12535" max="12535" width="16.375" style="4" bestFit="1" customWidth="1"/>
    <col min="12536" max="12536" width="8.75" style="4" bestFit="1" customWidth="1"/>
    <col min="12537" max="12537" width="9.25" style="4" customWidth="1"/>
    <col min="12538" max="12538" width="8.75" style="4" bestFit="1" customWidth="1"/>
    <col min="12539" max="12544" width="8.375" style="4"/>
    <col min="12545" max="12545" width="19.375" style="4" customWidth="1"/>
    <col min="12546" max="12546" width="9.25" style="4" customWidth="1"/>
    <col min="12547" max="12547" width="8.75" style="4" bestFit="1" customWidth="1"/>
    <col min="12548" max="12548" width="8.375" style="4" bestFit="1" customWidth="1"/>
    <col min="12549" max="12549" width="13" style="4" customWidth="1"/>
    <col min="12550" max="12550" width="8.75" style="4" bestFit="1" customWidth="1"/>
    <col min="12551" max="12551" width="12.375" style="4" bestFit="1" customWidth="1"/>
    <col min="12552" max="12552" width="8.75" style="4" bestFit="1" customWidth="1"/>
    <col min="12553" max="12553" width="8.375" style="4" bestFit="1" customWidth="1"/>
    <col min="12554" max="12554" width="13" style="4" customWidth="1"/>
    <col min="12555" max="12555" width="8.75" style="4" bestFit="1" customWidth="1"/>
    <col min="12556" max="12556" width="12.375" style="4" bestFit="1" customWidth="1"/>
    <col min="12557" max="12557" width="8" style="4" bestFit="1" customWidth="1"/>
    <col min="12558" max="12558" width="10" style="4" customWidth="1"/>
    <col min="12559" max="12559" width="14.375" style="4" bestFit="1" customWidth="1"/>
    <col min="12560" max="12560" width="8" style="4" bestFit="1" customWidth="1"/>
    <col min="12561" max="12786" width="8" style="4" customWidth="1"/>
    <col min="12787" max="12787" width="11.375" style="4" bestFit="1" customWidth="1"/>
    <col min="12788" max="12788" width="9.25" style="4" customWidth="1"/>
    <col min="12789" max="12789" width="8.75" style="4" bestFit="1" customWidth="1"/>
    <col min="12790" max="12790" width="7.375" style="4" bestFit="1" customWidth="1"/>
    <col min="12791" max="12791" width="16.375" style="4" bestFit="1" customWidth="1"/>
    <col min="12792" max="12792" width="8.75" style="4" bestFit="1" customWidth="1"/>
    <col min="12793" max="12793" width="9.25" style="4" customWidth="1"/>
    <col min="12794" max="12794" width="8.75" style="4" bestFit="1" customWidth="1"/>
    <col min="12795" max="12800" width="8.375" style="4"/>
    <col min="12801" max="12801" width="19.375" style="4" customWidth="1"/>
    <col min="12802" max="12802" width="9.25" style="4" customWidth="1"/>
    <col min="12803" max="12803" width="8.75" style="4" bestFit="1" customWidth="1"/>
    <col min="12804" max="12804" width="8.375" style="4" bestFit="1" customWidth="1"/>
    <col min="12805" max="12805" width="13" style="4" customWidth="1"/>
    <col min="12806" max="12806" width="8.75" style="4" bestFit="1" customWidth="1"/>
    <col min="12807" max="12807" width="12.375" style="4" bestFit="1" customWidth="1"/>
    <col min="12808" max="12808" width="8.75" style="4" bestFit="1" customWidth="1"/>
    <col min="12809" max="12809" width="8.375" style="4" bestFit="1" customWidth="1"/>
    <col min="12810" max="12810" width="13" style="4" customWidth="1"/>
    <col min="12811" max="12811" width="8.75" style="4" bestFit="1" customWidth="1"/>
    <col min="12812" max="12812" width="12.375" style="4" bestFit="1" customWidth="1"/>
    <col min="12813" max="12813" width="8" style="4" bestFit="1" customWidth="1"/>
    <col min="12814" max="12814" width="10" style="4" customWidth="1"/>
    <col min="12815" max="12815" width="14.375" style="4" bestFit="1" customWidth="1"/>
    <col min="12816" max="12816" width="8" style="4" bestFit="1" customWidth="1"/>
    <col min="12817" max="13042" width="8" style="4" customWidth="1"/>
    <col min="13043" max="13043" width="11.375" style="4" bestFit="1" customWidth="1"/>
    <col min="13044" max="13044" width="9.25" style="4" customWidth="1"/>
    <col min="13045" max="13045" width="8.75" style="4" bestFit="1" customWidth="1"/>
    <col min="13046" max="13046" width="7.375" style="4" bestFit="1" customWidth="1"/>
    <col min="13047" max="13047" width="16.375" style="4" bestFit="1" customWidth="1"/>
    <col min="13048" max="13048" width="8.75" style="4" bestFit="1" customWidth="1"/>
    <col min="13049" max="13049" width="9.25" style="4" customWidth="1"/>
    <col min="13050" max="13050" width="8.75" style="4" bestFit="1" customWidth="1"/>
    <col min="13051" max="13056" width="8.375" style="4"/>
    <col min="13057" max="13057" width="19.375" style="4" customWidth="1"/>
    <col min="13058" max="13058" width="9.25" style="4" customWidth="1"/>
    <col min="13059" max="13059" width="8.75" style="4" bestFit="1" customWidth="1"/>
    <col min="13060" max="13060" width="8.375" style="4" bestFit="1" customWidth="1"/>
    <col min="13061" max="13061" width="13" style="4" customWidth="1"/>
    <col min="13062" max="13062" width="8.75" style="4" bestFit="1" customWidth="1"/>
    <col min="13063" max="13063" width="12.375" style="4" bestFit="1" customWidth="1"/>
    <col min="13064" max="13064" width="8.75" style="4" bestFit="1" customWidth="1"/>
    <col min="13065" max="13065" width="8.375" style="4" bestFit="1" customWidth="1"/>
    <col min="13066" max="13066" width="13" style="4" customWidth="1"/>
    <col min="13067" max="13067" width="8.75" style="4" bestFit="1" customWidth="1"/>
    <col min="13068" max="13068" width="12.375" style="4" bestFit="1" customWidth="1"/>
    <col min="13069" max="13069" width="8" style="4" bestFit="1" customWidth="1"/>
    <col min="13070" max="13070" width="10" style="4" customWidth="1"/>
    <col min="13071" max="13071" width="14.375" style="4" bestFit="1" customWidth="1"/>
    <col min="13072" max="13072" width="8" style="4" bestFit="1" customWidth="1"/>
    <col min="13073" max="13298" width="8" style="4" customWidth="1"/>
    <col min="13299" max="13299" width="11.375" style="4" bestFit="1" customWidth="1"/>
    <col min="13300" max="13300" width="9.25" style="4" customWidth="1"/>
    <col min="13301" max="13301" width="8.75" style="4" bestFit="1" customWidth="1"/>
    <col min="13302" max="13302" width="7.375" style="4" bestFit="1" customWidth="1"/>
    <col min="13303" max="13303" width="16.375" style="4" bestFit="1" customWidth="1"/>
    <col min="13304" max="13304" width="8.75" style="4" bestFit="1" customWidth="1"/>
    <col min="13305" max="13305" width="9.25" style="4" customWidth="1"/>
    <col min="13306" max="13306" width="8.75" style="4" bestFit="1" customWidth="1"/>
    <col min="13307" max="13312" width="8.375" style="4"/>
    <col min="13313" max="13313" width="19.375" style="4" customWidth="1"/>
    <col min="13314" max="13314" width="9.25" style="4" customWidth="1"/>
    <col min="13315" max="13315" width="8.75" style="4" bestFit="1" customWidth="1"/>
    <col min="13316" max="13316" width="8.375" style="4" bestFit="1" customWidth="1"/>
    <col min="13317" max="13317" width="13" style="4" customWidth="1"/>
    <col min="13318" max="13318" width="8.75" style="4" bestFit="1" customWidth="1"/>
    <col min="13319" max="13319" width="12.375" style="4" bestFit="1" customWidth="1"/>
    <col min="13320" max="13320" width="8.75" style="4" bestFit="1" customWidth="1"/>
    <col min="13321" max="13321" width="8.375" style="4" bestFit="1" customWidth="1"/>
    <col min="13322" max="13322" width="13" style="4" customWidth="1"/>
    <col min="13323" max="13323" width="8.75" style="4" bestFit="1" customWidth="1"/>
    <col min="13324" max="13324" width="12.375" style="4" bestFit="1" customWidth="1"/>
    <col min="13325" max="13325" width="8" style="4" bestFit="1" customWidth="1"/>
    <col min="13326" max="13326" width="10" style="4" customWidth="1"/>
    <col min="13327" max="13327" width="14.375" style="4" bestFit="1" customWidth="1"/>
    <col min="13328" max="13328" width="8" style="4" bestFit="1" customWidth="1"/>
    <col min="13329" max="13554" width="8" style="4" customWidth="1"/>
    <col min="13555" max="13555" width="11.375" style="4" bestFit="1" customWidth="1"/>
    <col min="13556" max="13556" width="9.25" style="4" customWidth="1"/>
    <col min="13557" max="13557" width="8.75" style="4" bestFit="1" customWidth="1"/>
    <col min="13558" max="13558" width="7.375" style="4" bestFit="1" customWidth="1"/>
    <col min="13559" max="13559" width="16.375" style="4" bestFit="1" customWidth="1"/>
    <col min="13560" max="13560" width="8.75" style="4" bestFit="1" customWidth="1"/>
    <col min="13561" max="13561" width="9.25" style="4" customWidth="1"/>
    <col min="13562" max="13562" width="8.75" style="4" bestFit="1" customWidth="1"/>
    <col min="13563" max="13568" width="8.375" style="4"/>
    <col min="13569" max="13569" width="19.375" style="4" customWidth="1"/>
    <col min="13570" max="13570" width="9.25" style="4" customWidth="1"/>
    <col min="13571" max="13571" width="8.75" style="4" bestFit="1" customWidth="1"/>
    <col min="13572" max="13572" width="8.375" style="4" bestFit="1" customWidth="1"/>
    <col min="13573" max="13573" width="13" style="4" customWidth="1"/>
    <col min="13574" max="13574" width="8.75" style="4" bestFit="1" customWidth="1"/>
    <col min="13575" max="13575" width="12.375" style="4" bestFit="1" customWidth="1"/>
    <col min="13576" max="13576" width="8.75" style="4" bestFit="1" customWidth="1"/>
    <col min="13577" max="13577" width="8.375" style="4" bestFit="1" customWidth="1"/>
    <col min="13578" max="13578" width="13" style="4" customWidth="1"/>
    <col min="13579" max="13579" width="8.75" style="4" bestFit="1" customWidth="1"/>
    <col min="13580" max="13580" width="12.375" style="4" bestFit="1" customWidth="1"/>
    <col min="13581" max="13581" width="8" style="4" bestFit="1" customWidth="1"/>
    <col min="13582" max="13582" width="10" style="4" customWidth="1"/>
    <col min="13583" max="13583" width="14.375" style="4" bestFit="1" customWidth="1"/>
    <col min="13584" max="13584" width="8" style="4" bestFit="1" customWidth="1"/>
    <col min="13585" max="13810" width="8" style="4" customWidth="1"/>
    <col min="13811" max="13811" width="11.375" style="4" bestFit="1" customWidth="1"/>
    <col min="13812" max="13812" width="9.25" style="4" customWidth="1"/>
    <col min="13813" max="13813" width="8.75" style="4" bestFit="1" customWidth="1"/>
    <col min="13814" max="13814" width="7.375" style="4" bestFit="1" customWidth="1"/>
    <col min="13815" max="13815" width="16.375" style="4" bestFit="1" customWidth="1"/>
    <col min="13816" max="13816" width="8.75" style="4" bestFit="1" customWidth="1"/>
    <col min="13817" max="13817" width="9.25" style="4" customWidth="1"/>
    <col min="13818" max="13818" width="8.75" style="4" bestFit="1" customWidth="1"/>
    <col min="13819" max="13824" width="8.375" style="4"/>
    <col min="13825" max="13825" width="19.375" style="4" customWidth="1"/>
    <col min="13826" max="13826" width="9.25" style="4" customWidth="1"/>
    <col min="13827" max="13827" width="8.75" style="4" bestFit="1" customWidth="1"/>
    <col min="13828" max="13828" width="8.375" style="4" bestFit="1" customWidth="1"/>
    <col min="13829" max="13829" width="13" style="4" customWidth="1"/>
    <col min="13830" max="13830" width="8.75" style="4" bestFit="1" customWidth="1"/>
    <col min="13831" max="13831" width="12.375" style="4" bestFit="1" customWidth="1"/>
    <col min="13832" max="13832" width="8.75" style="4" bestFit="1" customWidth="1"/>
    <col min="13833" max="13833" width="8.375" style="4" bestFit="1" customWidth="1"/>
    <col min="13834" max="13834" width="13" style="4" customWidth="1"/>
    <col min="13835" max="13835" width="8.75" style="4" bestFit="1" customWidth="1"/>
    <col min="13836" max="13836" width="12.375" style="4" bestFit="1" customWidth="1"/>
    <col min="13837" max="13837" width="8" style="4" bestFit="1" customWidth="1"/>
    <col min="13838" max="13838" width="10" style="4" customWidth="1"/>
    <col min="13839" max="13839" width="14.375" style="4" bestFit="1" customWidth="1"/>
    <col min="13840" max="13840" width="8" style="4" bestFit="1" customWidth="1"/>
    <col min="13841" max="14066" width="8" style="4" customWidth="1"/>
    <col min="14067" max="14067" width="11.375" style="4" bestFit="1" customWidth="1"/>
    <col min="14068" max="14068" width="9.25" style="4" customWidth="1"/>
    <col min="14069" max="14069" width="8.75" style="4" bestFit="1" customWidth="1"/>
    <col min="14070" max="14070" width="7.375" style="4" bestFit="1" customWidth="1"/>
    <col min="14071" max="14071" width="16.375" style="4" bestFit="1" customWidth="1"/>
    <col min="14072" max="14072" width="8.75" style="4" bestFit="1" customWidth="1"/>
    <col min="14073" max="14073" width="9.25" style="4" customWidth="1"/>
    <col min="14074" max="14074" width="8.75" style="4" bestFit="1" customWidth="1"/>
    <col min="14075" max="14080" width="8.375" style="4"/>
    <col min="14081" max="14081" width="19.375" style="4" customWidth="1"/>
    <col min="14082" max="14082" width="9.25" style="4" customWidth="1"/>
    <col min="14083" max="14083" width="8.75" style="4" bestFit="1" customWidth="1"/>
    <col min="14084" max="14084" width="8.375" style="4" bestFit="1" customWidth="1"/>
    <col min="14085" max="14085" width="13" style="4" customWidth="1"/>
    <col min="14086" max="14086" width="8.75" style="4" bestFit="1" customWidth="1"/>
    <col min="14087" max="14087" width="12.375" style="4" bestFit="1" customWidth="1"/>
    <col min="14088" max="14088" width="8.75" style="4" bestFit="1" customWidth="1"/>
    <col min="14089" max="14089" width="8.375" style="4" bestFit="1" customWidth="1"/>
    <col min="14090" max="14090" width="13" style="4" customWidth="1"/>
    <col min="14091" max="14091" width="8.75" style="4" bestFit="1" customWidth="1"/>
    <col min="14092" max="14092" width="12.375" style="4" bestFit="1" customWidth="1"/>
    <col min="14093" max="14093" width="8" style="4" bestFit="1" customWidth="1"/>
    <col min="14094" max="14094" width="10" style="4" customWidth="1"/>
    <col min="14095" max="14095" width="14.375" style="4" bestFit="1" customWidth="1"/>
    <col min="14096" max="14096" width="8" style="4" bestFit="1" customWidth="1"/>
    <col min="14097" max="14322" width="8" style="4" customWidth="1"/>
    <col min="14323" max="14323" width="11.375" style="4" bestFit="1" customWidth="1"/>
    <col min="14324" max="14324" width="9.25" style="4" customWidth="1"/>
    <col min="14325" max="14325" width="8.75" style="4" bestFit="1" customWidth="1"/>
    <col min="14326" max="14326" width="7.375" style="4" bestFit="1" customWidth="1"/>
    <col min="14327" max="14327" width="16.375" style="4" bestFit="1" customWidth="1"/>
    <col min="14328" max="14328" width="8.75" style="4" bestFit="1" customWidth="1"/>
    <col min="14329" max="14329" width="9.25" style="4" customWidth="1"/>
    <col min="14330" max="14330" width="8.75" style="4" bestFit="1" customWidth="1"/>
    <col min="14331" max="14336" width="8.375" style="4"/>
    <col min="14337" max="14337" width="19.375" style="4" customWidth="1"/>
    <col min="14338" max="14338" width="9.25" style="4" customWidth="1"/>
    <col min="14339" max="14339" width="8.75" style="4" bestFit="1" customWidth="1"/>
    <col min="14340" max="14340" width="8.375" style="4" bestFit="1" customWidth="1"/>
    <col min="14341" max="14341" width="13" style="4" customWidth="1"/>
    <col min="14342" max="14342" width="8.75" style="4" bestFit="1" customWidth="1"/>
    <col min="14343" max="14343" width="12.375" style="4" bestFit="1" customWidth="1"/>
    <col min="14344" max="14344" width="8.75" style="4" bestFit="1" customWidth="1"/>
    <col min="14345" max="14345" width="8.375" style="4" bestFit="1" customWidth="1"/>
    <col min="14346" max="14346" width="13" style="4" customWidth="1"/>
    <col min="14347" max="14347" width="8.75" style="4" bestFit="1" customWidth="1"/>
    <col min="14348" max="14348" width="12.375" style="4" bestFit="1" customWidth="1"/>
    <col min="14349" max="14349" width="8" style="4" bestFit="1" customWidth="1"/>
    <col min="14350" max="14350" width="10" style="4" customWidth="1"/>
    <col min="14351" max="14351" width="14.375" style="4" bestFit="1" customWidth="1"/>
    <col min="14352" max="14352" width="8" style="4" bestFit="1" customWidth="1"/>
    <col min="14353" max="14578" width="8" style="4" customWidth="1"/>
    <col min="14579" max="14579" width="11.375" style="4" bestFit="1" customWidth="1"/>
    <col min="14580" max="14580" width="9.25" style="4" customWidth="1"/>
    <col min="14581" max="14581" width="8.75" style="4" bestFit="1" customWidth="1"/>
    <col min="14582" max="14582" width="7.375" style="4" bestFit="1" customWidth="1"/>
    <col min="14583" max="14583" width="16.375" style="4" bestFit="1" customWidth="1"/>
    <col min="14584" max="14584" width="8.75" style="4" bestFit="1" customWidth="1"/>
    <col min="14585" max="14585" width="9.25" style="4" customWidth="1"/>
    <col min="14586" max="14586" width="8.75" style="4" bestFit="1" customWidth="1"/>
    <col min="14587" max="14592" width="8.375" style="4"/>
    <col min="14593" max="14593" width="19.375" style="4" customWidth="1"/>
    <col min="14594" max="14594" width="9.25" style="4" customWidth="1"/>
    <col min="14595" max="14595" width="8.75" style="4" bestFit="1" customWidth="1"/>
    <col min="14596" max="14596" width="8.375" style="4" bestFit="1" customWidth="1"/>
    <col min="14597" max="14597" width="13" style="4" customWidth="1"/>
    <col min="14598" max="14598" width="8.75" style="4" bestFit="1" customWidth="1"/>
    <col min="14599" max="14599" width="12.375" style="4" bestFit="1" customWidth="1"/>
    <col min="14600" max="14600" width="8.75" style="4" bestFit="1" customWidth="1"/>
    <col min="14601" max="14601" width="8.375" style="4" bestFit="1" customWidth="1"/>
    <col min="14602" max="14602" width="13" style="4" customWidth="1"/>
    <col min="14603" max="14603" width="8.75" style="4" bestFit="1" customWidth="1"/>
    <col min="14604" max="14604" width="12.375" style="4" bestFit="1" customWidth="1"/>
    <col min="14605" max="14605" width="8" style="4" bestFit="1" customWidth="1"/>
    <col min="14606" max="14606" width="10" style="4" customWidth="1"/>
    <col min="14607" max="14607" width="14.375" style="4" bestFit="1" customWidth="1"/>
    <col min="14608" max="14608" width="8" style="4" bestFit="1" customWidth="1"/>
    <col min="14609" max="14834" width="8" style="4" customWidth="1"/>
    <col min="14835" max="14835" width="11.375" style="4" bestFit="1" customWidth="1"/>
    <col min="14836" max="14836" width="9.25" style="4" customWidth="1"/>
    <col min="14837" max="14837" width="8.75" style="4" bestFit="1" customWidth="1"/>
    <col min="14838" max="14838" width="7.375" style="4" bestFit="1" customWidth="1"/>
    <col min="14839" max="14839" width="16.375" style="4" bestFit="1" customWidth="1"/>
    <col min="14840" max="14840" width="8.75" style="4" bestFit="1" customWidth="1"/>
    <col min="14841" max="14841" width="9.25" style="4" customWidth="1"/>
    <col min="14842" max="14842" width="8.75" style="4" bestFit="1" customWidth="1"/>
    <col min="14843" max="14848" width="8.375" style="4"/>
    <col min="14849" max="14849" width="19.375" style="4" customWidth="1"/>
    <col min="14850" max="14850" width="9.25" style="4" customWidth="1"/>
    <col min="14851" max="14851" width="8.75" style="4" bestFit="1" customWidth="1"/>
    <col min="14852" max="14852" width="8.375" style="4" bestFit="1" customWidth="1"/>
    <col min="14853" max="14853" width="13" style="4" customWidth="1"/>
    <col min="14854" max="14854" width="8.75" style="4" bestFit="1" customWidth="1"/>
    <col min="14855" max="14855" width="12.375" style="4" bestFit="1" customWidth="1"/>
    <col min="14856" max="14856" width="8.75" style="4" bestFit="1" customWidth="1"/>
    <col min="14857" max="14857" width="8.375" style="4" bestFit="1" customWidth="1"/>
    <col min="14858" max="14858" width="13" style="4" customWidth="1"/>
    <col min="14859" max="14859" width="8.75" style="4" bestFit="1" customWidth="1"/>
    <col min="14860" max="14860" width="12.375" style="4" bestFit="1" customWidth="1"/>
    <col min="14861" max="14861" width="8" style="4" bestFit="1" customWidth="1"/>
    <col min="14862" max="14862" width="10" style="4" customWidth="1"/>
    <col min="14863" max="14863" width="14.375" style="4" bestFit="1" customWidth="1"/>
    <col min="14864" max="14864" width="8" style="4" bestFit="1" customWidth="1"/>
    <col min="14865" max="15090" width="8" style="4" customWidth="1"/>
    <col min="15091" max="15091" width="11.375" style="4" bestFit="1" customWidth="1"/>
    <col min="15092" max="15092" width="9.25" style="4" customWidth="1"/>
    <col min="15093" max="15093" width="8.75" style="4" bestFit="1" customWidth="1"/>
    <col min="15094" max="15094" width="7.375" style="4" bestFit="1" customWidth="1"/>
    <col min="15095" max="15095" width="16.375" style="4" bestFit="1" customWidth="1"/>
    <col min="15096" max="15096" width="8.75" style="4" bestFit="1" customWidth="1"/>
    <col min="15097" max="15097" width="9.25" style="4" customWidth="1"/>
    <col min="15098" max="15098" width="8.75" style="4" bestFit="1" customWidth="1"/>
    <col min="15099" max="15104" width="8.375" style="4"/>
    <col min="15105" max="15105" width="19.375" style="4" customWidth="1"/>
    <col min="15106" max="15106" width="9.25" style="4" customWidth="1"/>
    <col min="15107" max="15107" width="8.75" style="4" bestFit="1" customWidth="1"/>
    <col min="15108" max="15108" width="8.375" style="4" bestFit="1" customWidth="1"/>
    <col min="15109" max="15109" width="13" style="4" customWidth="1"/>
    <col min="15110" max="15110" width="8.75" style="4" bestFit="1" customWidth="1"/>
    <col min="15111" max="15111" width="12.375" style="4" bestFit="1" customWidth="1"/>
    <col min="15112" max="15112" width="8.75" style="4" bestFit="1" customWidth="1"/>
    <col min="15113" max="15113" width="8.375" style="4" bestFit="1" customWidth="1"/>
    <col min="15114" max="15114" width="13" style="4" customWidth="1"/>
    <col min="15115" max="15115" width="8.75" style="4" bestFit="1" customWidth="1"/>
    <col min="15116" max="15116" width="12.375" style="4" bestFit="1" customWidth="1"/>
    <col min="15117" max="15117" width="8" style="4" bestFit="1" customWidth="1"/>
    <col min="15118" max="15118" width="10" style="4" customWidth="1"/>
    <col min="15119" max="15119" width="14.375" style="4" bestFit="1" customWidth="1"/>
    <col min="15120" max="15120" width="8" style="4" bestFit="1" customWidth="1"/>
    <col min="15121" max="15346" width="8" style="4" customWidth="1"/>
    <col min="15347" max="15347" width="11.375" style="4" bestFit="1" customWidth="1"/>
    <col min="15348" max="15348" width="9.25" style="4" customWidth="1"/>
    <col min="15349" max="15349" width="8.75" style="4" bestFit="1" customWidth="1"/>
    <col min="15350" max="15350" width="7.375" style="4" bestFit="1" customWidth="1"/>
    <col min="15351" max="15351" width="16.375" style="4" bestFit="1" customWidth="1"/>
    <col min="15352" max="15352" width="8.75" style="4" bestFit="1" customWidth="1"/>
    <col min="15353" max="15353" width="9.25" style="4" customWidth="1"/>
    <col min="15354" max="15354" width="8.75" style="4" bestFit="1" customWidth="1"/>
    <col min="15355" max="15360" width="8.375" style="4"/>
    <col min="15361" max="15361" width="19.375" style="4" customWidth="1"/>
    <col min="15362" max="15362" width="9.25" style="4" customWidth="1"/>
    <col min="15363" max="15363" width="8.75" style="4" bestFit="1" customWidth="1"/>
    <col min="15364" max="15364" width="8.375" style="4" bestFit="1" customWidth="1"/>
    <col min="15365" max="15365" width="13" style="4" customWidth="1"/>
    <col min="15366" max="15366" width="8.75" style="4" bestFit="1" customWidth="1"/>
    <col min="15367" max="15367" width="12.375" style="4" bestFit="1" customWidth="1"/>
    <col min="15368" max="15368" width="8.75" style="4" bestFit="1" customWidth="1"/>
    <col min="15369" max="15369" width="8.375" style="4" bestFit="1" customWidth="1"/>
    <col min="15370" max="15370" width="13" style="4" customWidth="1"/>
    <col min="15371" max="15371" width="8.75" style="4" bestFit="1" customWidth="1"/>
    <col min="15372" max="15372" width="12.375" style="4" bestFit="1" customWidth="1"/>
    <col min="15373" max="15373" width="8" style="4" bestFit="1" customWidth="1"/>
    <col min="15374" max="15374" width="10" style="4" customWidth="1"/>
    <col min="15375" max="15375" width="14.375" style="4" bestFit="1" customWidth="1"/>
    <col min="15376" max="15376" width="8" style="4" bestFit="1" customWidth="1"/>
    <col min="15377" max="15602" width="8" style="4" customWidth="1"/>
    <col min="15603" max="15603" width="11.375" style="4" bestFit="1" customWidth="1"/>
    <col min="15604" max="15604" width="9.25" style="4" customWidth="1"/>
    <col min="15605" max="15605" width="8.75" style="4" bestFit="1" customWidth="1"/>
    <col min="15606" max="15606" width="7.375" style="4" bestFit="1" customWidth="1"/>
    <col min="15607" max="15607" width="16.375" style="4" bestFit="1" customWidth="1"/>
    <col min="15608" max="15608" width="8.75" style="4" bestFit="1" customWidth="1"/>
    <col min="15609" max="15609" width="9.25" style="4" customWidth="1"/>
    <col min="15610" max="15610" width="8.75" style="4" bestFit="1" customWidth="1"/>
    <col min="15611" max="15616" width="8.375" style="4"/>
    <col min="15617" max="15617" width="19.375" style="4" customWidth="1"/>
    <col min="15618" max="15618" width="9.25" style="4" customWidth="1"/>
    <col min="15619" max="15619" width="8.75" style="4" bestFit="1" customWidth="1"/>
    <col min="15620" max="15620" width="8.375" style="4" bestFit="1" customWidth="1"/>
    <col min="15621" max="15621" width="13" style="4" customWidth="1"/>
    <col min="15622" max="15622" width="8.75" style="4" bestFit="1" customWidth="1"/>
    <col min="15623" max="15623" width="12.375" style="4" bestFit="1" customWidth="1"/>
    <col min="15624" max="15624" width="8.75" style="4" bestFit="1" customWidth="1"/>
    <col min="15625" max="15625" width="8.375" style="4" bestFit="1" customWidth="1"/>
    <col min="15626" max="15626" width="13" style="4" customWidth="1"/>
    <col min="15627" max="15627" width="8.75" style="4" bestFit="1" customWidth="1"/>
    <col min="15628" max="15628" width="12.375" style="4" bestFit="1" customWidth="1"/>
    <col min="15629" max="15629" width="8" style="4" bestFit="1" customWidth="1"/>
    <col min="15630" max="15630" width="10" style="4" customWidth="1"/>
    <col min="15631" max="15631" width="14.375" style="4" bestFit="1" customWidth="1"/>
    <col min="15632" max="15632" width="8" style="4" bestFit="1" customWidth="1"/>
    <col min="15633" max="15858" width="8" style="4" customWidth="1"/>
    <col min="15859" max="15859" width="11.375" style="4" bestFit="1" customWidth="1"/>
    <col min="15860" max="15860" width="9.25" style="4" customWidth="1"/>
    <col min="15861" max="15861" width="8.75" style="4" bestFit="1" customWidth="1"/>
    <col min="15862" max="15862" width="7.375" style="4" bestFit="1" customWidth="1"/>
    <col min="15863" max="15863" width="16.375" style="4" bestFit="1" customWidth="1"/>
    <col min="15864" max="15864" width="8.75" style="4" bestFit="1" customWidth="1"/>
    <col min="15865" max="15865" width="9.25" style="4" customWidth="1"/>
    <col min="15866" max="15866" width="8.75" style="4" bestFit="1" customWidth="1"/>
    <col min="15867" max="15872" width="8.375" style="4"/>
    <col min="15873" max="15873" width="19.375" style="4" customWidth="1"/>
    <col min="15874" max="15874" width="9.25" style="4" customWidth="1"/>
    <col min="15875" max="15875" width="8.75" style="4" bestFit="1" customWidth="1"/>
    <col min="15876" max="15876" width="8.375" style="4" bestFit="1" customWidth="1"/>
    <col min="15877" max="15877" width="13" style="4" customWidth="1"/>
    <col min="15878" max="15878" width="8.75" style="4" bestFit="1" customWidth="1"/>
    <col min="15879" max="15879" width="12.375" style="4" bestFit="1" customWidth="1"/>
    <col min="15880" max="15880" width="8.75" style="4" bestFit="1" customWidth="1"/>
    <col min="15881" max="15881" width="8.375" style="4" bestFit="1" customWidth="1"/>
    <col min="15882" max="15882" width="13" style="4" customWidth="1"/>
    <col min="15883" max="15883" width="8.75" style="4" bestFit="1" customWidth="1"/>
    <col min="15884" max="15884" width="12.375" style="4" bestFit="1" customWidth="1"/>
    <col min="15885" max="15885" width="8" style="4" bestFit="1" customWidth="1"/>
    <col min="15886" max="15886" width="10" style="4" customWidth="1"/>
    <col min="15887" max="15887" width="14.375" style="4" bestFit="1" customWidth="1"/>
    <col min="15888" max="15888" width="8" style="4" bestFit="1" customWidth="1"/>
    <col min="15889" max="16114" width="8" style="4" customWidth="1"/>
    <col min="16115" max="16115" width="11.375" style="4" bestFit="1" customWidth="1"/>
    <col min="16116" max="16116" width="9.25" style="4" customWidth="1"/>
    <col min="16117" max="16117" width="8.75" style="4" bestFit="1" customWidth="1"/>
    <col min="16118" max="16118" width="7.375" style="4" bestFit="1" customWidth="1"/>
    <col min="16119" max="16119" width="16.375" style="4" bestFit="1" customWidth="1"/>
    <col min="16120" max="16120" width="8.75" style="4" bestFit="1" customWidth="1"/>
    <col min="16121" max="16121" width="9.25" style="4" customWidth="1"/>
    <col min="16122" max="16122" width="8.75" style="4" bestFit="1" customWidth="1"/>
    <col min="16123" max="16128" width="8.375" style="4"/>
    <col min="16129" max="16129" width="19.375" style="4" customWidth="1"/>
    <col min="16130" max="16130" width="9.25" style="4" customWidth="1"/>
    <col min="16131" max="16131" width="8.75" style="4" bestFit="1" customWidth="1"/>
    <col min="16132" max="16132" width="8.375" style="4" bestFit="1" customWidth="1"/>
    <col min="16133" max="16133" width="13" style="4" customWidth="1"/>
    <col min="16134" max="16134" width="8.75" style="4" bestFit="1" customWidth="1"/>
    <col min="16135" max="16135" width="12.375" style="4" bestFit="1" customWidth="1"/>
    <col min="16136" max="16136" width="8.75" style="4" bestFit="1" customWidth="1"/>
    <col min="16137" max="16137" width="8.375" style="4" bestFit="1" customWidth="1"/>
    <col min="16138" max="16138" width="13" style="4" customWidth="1"/>
    <col min="16139" max="16139" width="8.75" style="4" bestFit="1" customWidth="1"/>
    <col min="16140" max="16140" width="12.375" style="4" bestFit="1" customWidth="1"/>
    <col min="16141" max="16141" width="8" style="4" bestFit="1" customWidth="1"/>
    <col min="16142" max="16142" width="10" style="4" customWidth="1"/>
    <col min="16143" max="16143" width="14.375" style="4" bestFit="1" customWidth="1"/>
    <col min="16144" max="16144" width="8" style="4" bestFit="1" customWidth="1"/>
    <col min="16145" max="16370" width="8" style="4" customWidth="1"/>
    <col min="16371" max="16371" width="11.375" style="4" bestFit="1" customWidth="1"/>
    <col min="16372" max="16372" width="9.25" style="4" customWidth="1"/>
    <col min="16373" max="16373" width="8.75" style="4" bestFit="1" customWidth="1"/>
    <col min="16374" max="16374" width="7.375" style="4" bestFit="1" customWidth="1"/>
    <col min="16375" max="16375" width="16.375" style="4" bestFit="1" customWidth="1"/>
    <col min="16376" max="16376" width="8.75" style="4" bestFit="1" customWidth="1"/>
    <col min="16377" max="16377" width="9.25" style="4" customWidth="1"/>
    <col min="16378" max="16378" width="8.75" style="4" bestFit="1" customWidth="1"/>
    <col min="16379" max="16384" width="8.375" style="4"/>
  </cols>
  <sheetData>
    <row r="1" spans="1:26" ht="23.25" thickBot="1" x14ac:dyDescent="0.2">
      <c r="A1" s="445" t="s">
        <v>181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</row>
    <row r="2" spans="1:26" x14ac:dyDescent="0.15">
      <c r="A2" s="446" t="s">
        <v>145</v>
      </c>
      <c r="B2" s="434" t="s">
        <v>146</v>
      </c>
      <c r="C2" s="434"/>
      <c r="D2" s="434"/>
      <c r="E2" s="434"/>
      <c r="F2" s="435"/>
      <c r="G2" s="433" t="s">
        <v>147</v>
      </c>
      <c r="H2" s="434"/>
      <c r="I2" s="434"/>
      <c r="J2" s="434"/>
      <c r="K2" s="435"/>
      <c r="L2" s="433" t="s">
        <v>148</v>
      </c>
      <c r="M2" s="434"/>
      <c r="N2" s="434"/>
      <c r="O2" s="434"/>
      <c r="P2" s="435"/>
      <c r="Q2" s="433" t="s">
        <v>149</v>
      </c>
      <c r="R2" s="434"/>
      <c r="S2" s="434"/>
      <c r="T2" s="434"/>
      <c r="U2" s="435"/>
      <c r="V2" s="433" t="s">
        <v>150</v>
      </c>
      <c r="W2" s="434"/>
      <c r="X2" s="434"/>
      <c r="Y2" s="434"/>
      <c r="Z2" s="435"/>
    </row>
    <row r="3" spans="1:26" x14ac:dyDescent="0.15">
      <c r="A3" s="447"/>
      <c r="B3" s="140" t="s">
        <v>151</v>
      </c>
      <c r="C3" s="141" t="s">
        <v>152</v>
      </c>
      <c r="D3" s="142" t="s">
        <v>153</v>
      </c>
      <c r="E3" s="143" t="s">
        <v>154</v>
      </c>
      <c r="F3" s="144" t="s">
        <v>155</v>
      </c>
      <c r="G3" s="145" t="s">
        <v>151</v>
      </c>
      <c r="H3" s="141" t="s">
        <v>152</v>
      </c>
      <c r="I3" s="142" t="s">
        <v>153</v>
      </c>
      <c r="J3" s="143" t="s">
        <v>154</v>
      </c>
      <c r="K3" s="144" t="s">
        <v>155</v>
      </c>
      <c r="L3" s="145" t="s">
        <v>151</v>
      </c>
      <c r="M3" s="141" t="s">
        <v>152</v>
      </c>
      <c r="N3" s="142" t="s">
        <v>153</v>
      </c>
      <c r="O3" s="143" t="s">
        <v>154</v>
      </c>
      <c r="P3" s="144" t="s">
        <v>155</v>
      </c>
      <c r="Q3" s="145" t="s">
        <v>151</v>
      </c>
      <c r="R3" s="141" t="s">
        <v>152</v>
      </c>
      <c r="S3" s="142" t="s">
        <v>153</v>
      </c>
      <c r="T3" s="143" t="s">
        <v>154</v>
      </c>
      <c r="U3" s="144" t="s">
        <v>155</v>
      </c>
      <c r="V3" s="145" t="s">
        <v>151</v>
      </c>
      <c r="W3" s="141" t="s">
        <v>152</v>
      </c>
      <c r="X3" s="142" t="s">
        <v>153</v>
      </c>
      <c r="Y3" s="143" t="s">
        <v>154</v>
      </c>
      <c r="Z3" s="144" t="s">
        <v>155</v>
      </c>
    </row>
    <row r="4" spans="1:26" hidden="1" x14ac:dyDescent="0.15">
      <c r="A4" s="146" t="s">
        <v>156</v>
      </c>
      <c r="B4" s="147">
        <f t="shared" ref="B4:B18" si="0">G4+G27+G49+G72</f>
        <v>0</v>
      </c>
      <c r="C4" s="148">
        <f>B4/B24</f>
        <v>0</v>
      </c>
      <c r="D4" s="149" t="e">
        <f t="shared" ref="D4:D24" si="1">E4/B4</f>
        <v>#DIV/0!</v>
      </c>
      <c r="E4" s="149">
        <f t="shared" ref="E4:E18" si="2">J4+J27+J49+J72</f>
        <v>0</v>
      </c>
      <c r="F4" s="150">
        <f>E4/E24</f>
        <v>0</v>
      </c>
      <c r="G4" s="151"/>
      <c r="H4" s="152"/>
      <c r="I4" s="153"/>
      <c r="J4" s="153"/>
      <c r="K4" s="154"/>
      <c r="L4" s="155"/>
      <c r="M4" s="148"/>
      <c r="N4" s="156"/>
      <c r="O4" s="157"/>
      <c r="P4" s="158"/>
      <c r="Q4" s="155"/>
      <c r="R4" s="148"/>
      <c r="S4" s="142"/>
      <c r="T4" s="159"/>
      <c r="U4" s="160"/>
      <c r="V4" s="161"/>
      <c r="W4" s="152"/>
      <c r="X4" s="153"/>
      <c r="Y4" s="162"/>
      <c r="Z4" s="154"/>
    </row>
    <row r="5" spans="1:26" x14ac:dyDescent="0.15">
      <c r="A5" s="163" t="s">
        <v>157</v>
      </c>
      <c r="B5" s="147">
        <f t="shared" si="0"/>
        <v>1050249</v>
      </c>
      <c r="C5" s="164">
        <f>B5/B24</f>
        <v>0.22874259948107342</v>
      </c>
      <c r="D5" s="149">
        <f t="shared" si="1"/>
        <v>19.545141307645409</v>
      </c>
      <c r="E5" s="149">
        <f t="shared" si="2"/>
        <v>20527265.113213282</v>
      </c>
      <c r="F5" s="164">
        <f>E5/E24</f>
        <v>0.39926894276006153</v>
      </c>
      <c r="G5" s="165">
        <f t="shared" ref="G5:G18" si="3">L5+Q5+V5</f>
        <v>219649</v>
      </c>
      <c r="H5" s="164">
        <f>G5/G24</f>
        <v>0.1724483378856552</v>
      </c>
      <c r="I5" s="156">
        <f>J5/G5</f>
        <v>19.816817231060217</v>
      </c>
      <c r="J5" s="156">
        <f t="shared" ref="J5:J18" si="4">O5+T5+Y5</f>
        <v>4352744.0879851459</v>
      </c>
      <c r="K5" s="160">
        <f>J5/J24</f>
        <v>0.32559244515897834</v>
      </c>
      <c r="L5" s="166">
        <f>[1]明细表!F29</f>
        <v>67046</v>
      </c>
      <c r="M5" s="164">
        <f>L5/L24</f>
        <v>0.15878760032872533</v>
      </c>
      <c r="N5" s="156">
        <f t="shared" ref="N5:N18" si="5">O5/L5</f>
        <v>19.952034415630951</v>
      </c>
      <c r="O5" s="156">
        <f>[1]明细表!R29</f>
        <v>1337704.0994303927</v>
      </c>
      <c r="P5" s="160">
        <f>O5/O24</f>
        <v>0.30561706716705822</v>
      </c>
      <c r="Q5" s="165">
        <f>[2]明细表!F29</f>
        <v>70717</v>
      </c>
      <c r="R5" s="164">
        <f>Q5/Q24</f>
        <v>0.15235413497873587</v>
      </c>
      <c r="S5" s="142">
        <f>T5/Q5</f>
        <v>19.92880282078244</v>
      </c>
      <c r="T5" s="156">
        <f>[2]明细表!R29</f>
        <v>1409305.1490772718</v>
      </c>
      <c r="U5" s="160">
        <f>T5/T24</f>
        <v>0.28872014624564812</v>
      </c>
      <c r="V5" s="165">
        <f>[3]明细表!F24</f>
        <v>81886</v>
      </c>
      <c r="W5" s="164">
        <f>V5/V24</f>
        <v>0.21142237484185794</v>
      </c>
      <c r="X5" s="156">
        <f>Y5/V5</f>
        <v>19.609394029229431</v>
      </c>
      <c r="Y5" s="167">
        <f>[3]明细表!R24</f>
        <v>1605734.8394774813</v>
      </c>
      <c r="Z5" s="160">
        <f>Y5/Y24</f>
        <v>0.39065037657360568</v>
      </c>
    </row>
    <row r="6" spans="1:26" x14ac:dyDescent="0.15">
      <c r="A6" s="163" t="s">
        <v>158</v>
      </c>
      <c r="B6" s="147">
        <f t="shared" si="0"/>
        <v>2035754</v>
      </c>
      <c r="C6" s="164">
        <f>B6/B24</f>
        <v>0.44338405641328216</v>
      </c>
      <c r="D6" s="149">
        <f t="shared" si="1"/>
        <v>7.70244844017222</v>
      </c>
      <c r="E6" s="149">
        <f t="shared" si="2"/>
        <v>15680290.221874358</v>
      </c>
      <c r="F6" s="164">
        <f>E6/E24</f>
        <v>0.30499206126727324</v>
      </c>
      <c r="G6" s="165">
        <f t="shared" si="3"/>
        <v>561541</v>
      </c>
      <c r="H6" s="164">
        <f>G6/G24</f>
        <v>0.44087071693769925</v>
      </c>
      <c r="I6" s="156">
        <f t="shared" ref="I6:I23" si="6">J6/G6</f>
        <v>7.4391101519969967</v>
      </c>
      <c r="J6" s="156">
        <f t="shared" si="4"/>
        <v>4177365.3538625455</v>
      </c>
      <c r="K6" s="160">
        <f>J6/J24</f>
        <v>0.31247382625613906</v>
      </c>
      <c r="L6" s="166">
        <f>[1]明细表!F20</f>
        <v>189606</v>
      </c>
      <c r="M6" s="164">
        <f>L6/L24</f>
        <v>0.4490511253158771</v>
      </c>
      <c r="N6" s="156">
        <f t="shared" si="5"/>
        <v>7.5276788268132666</v>
      </c>
      <c r="O6" s="156">
        <f>[1]明细表!R20</f>
        <v>1427293.0716367562</v>
      </c>
      <c r="P6" s="160">
        <f>O6/O24</f>
        <v>0.32608491124997502</v>
      </c>
      <c r="Q6" s="168">
        <f>[2]明细表!F20</f>
        <v>192916</v>
      </c>
      <c r="R6" s="164">
        <f>Q6/Q24</f>
        <v>0.41562213192807684</v>
      </c>
      <c r="S6" s="142">
        <f t="shared" ref="S6:S23" si="7">T6/Q6</f>
        <v>7.5810258419122185</v>
      </c>
      <c r="T6" s="156">
        <f>[2]明细表!R20</f>
        <v>1462501.1813183376</v>
      </c>
      <c r="U6" s="160">
        <f>T6/T24</f>
        <v>0.29961825884985221</v>
      </c>
      <c r="V6" s="168">
        <f>[3]明细表!F15</f>
        <v>179019</v>
      </c>
      <c r="W6" s="164">
        <f>V6/V24</f>
        <v>0.46221114869226199</v>
      </c>
      <c r="X6" s="156">
        <f>Y6/V6</f>
        <v>7.1923712058912814</v>
      </c>
      <c r="Y6" s="167">
        <f>[3]明细表!R15</f>
        <v>1287571.1009074512</v>
      </c>
      <c r="Z6" s="160">
        <f>Y6/Y24</f>
        <v>0.3132460746747357</v>
      </c>
    </row>
    <row r="7" spans="1:26" x14ac:dyDescent="0.15">
      <c r="A7" s="163" t="s">
        <v>159</v>
      </c>
      <c r="B7" s="147">
        <f t="shared" si="0"/>
        <v>360319</v>
      </c>
      <c r="C7" s="164">
        <f>B7/B24</f>
        <v>7.8476918047454367E-2</v>
      </c>
      <c r="D7" s="149">
        <f t="shared" si="1"/>
        <v>12.925361341174449</v>
      </c>
      <c r="E7" s="149">
        <f t="shared" si="2"/>
        <v>4657253.2730906364</v>
      </c>
      <c r="F7" s="164">
        <f>E7/E24</f>
        <v>9.0586669985364354E-2</v>
      </c>
      <c r="G7" s="165">
        <f t="shared" si="3"/>
        <v>97488</v>
      </c>
      <c r="H7" s="164">
        <f>G7/G24</f>
        <v>7.6538675631561054E-2</v>
      </c>
      <c r="I7" s="156">
        <f t="shared" si="6"/>
        <v>12.870891972999262</v>
      </c>
      <c r="J7" s="156">
        <f t="shared" si="4"/>
        <v>1254757.516663752</v>
      </c>
      <c r="K7" s="160">
        <f>J7/J24</f>
        <v>9.3857934138569715E-2</v>
      </c>
      <c r="L7" s="166">
        <f>[1]明细表!F23</f>
        <v>30872</v>
      </c>
      <c r="M7" s="164">
        <f>L7/L24</f>
        <v>7.3115335700092599E-2</v>
      </c>
      <c r="N7" s="156">
        <f t="shared" si="5"/>
        <v>12.829929625058927</v>
      </c>
      <c r="O7" s="156">
        <f>[1]明细表!R23</f>
        <v>396085.58738481923</v>
      </c>
      <c r="P7" s="160">
        <f>O7/O24</f>
        <v>9.0491249608365923E-2</v>
      </c>
      <c r="Q7" s="168">
        <f>[2]明细表!F23</f>
        <v>36176</v>
      </c>
      <c r="R7" s="164">
        <f>Q7/Q24</f>
        <v>7.7938306022466292E-2</v>
      </c>
      <c r="S7" s="142">
        <f t="shared" si="7"/>
        <v>13.11074415204706</v>
      </c>
      <c r="T7" s="156">
        <f>[2]明细表!R23</f>
        <v>474294.28044445446</v>
      </c>
      <c r="U7" s="160">
        <f>T7/T24</f>
        <v>9.7167255865811819E-2</v>
      </c>
      <c r="V7" s="168">
        <f>[3]明细表!F18</f>
        <v>30440</v>
      </c>
      <c r="W7" s="164">
        <f>V7/V24</f>
        <v>7.8593374816038827E-2</v>
      </c>
      <c r="X7" s="156">
        <f>Y7/V7</f>
        <v>12.627386623997317</v>
      </c>
      <c r="Y7" s="167">
        <f>[3]明细表!R18</f>
        <v>384377.64883447834</v>
      </c>
      <c r="Z7" s="160">
        <f>Y7/Y24</f>
        <v>9.3513119085420413E-2</v>
      </c>
    </row>
    <row r="8" spans="1:26" hidden="1" x14ac:dyDescent="0.15">
      <c r="A8" s="163" t="s">
        <v>160</v>
      </c>
      <c r="B8" s="147">
        <f t="shared" si="0"/>
        <v>0</v>
      </c>
      <c r="C8" s="164">
        <f>B8/B24</f>
        <v>0</v>
      </c>
      <c r="D8" s="149" t="e">
        <f t="shared" si="1"/>
        <v>#DIV/0!</v>
      </c>
      <c r="E8" s="149">
        <f t="shared" si="2"/>
        <v>0</v>
      </c>
      <c r="F8" s="164">
        <f>E8/E24</f>
        <v>0</v>
      </c>
      <c r="G8" s="165"/>
      <c r="H8" s="164"/>
      <c r="I8" s="156"/>
      <c r="J8" s="156"/>
      <c r="K8" s="160"/>
      <c r="L8" s="166"/>
      <c r="M8" s="164"/>
      <c r="N8" s="156"/>
      <c r="O8" s="156"/>
      <c r="P8" s="160"/>
      <c r="Q8" s="168"/>
      <c r="R8" s="164"/>
      <c r="S8" s="142"/>
      <c r="T8" s="156"/>
      <c r="U8" s="160"/>
      <c r="V8" s="168"/>
      <c r="W8" s="164"/>
      <c r="X8" s="156"/>
      <c r="Y8" s="167"/>
      <c r="Z8" s="160"/>
    </row>
    <row r="9" spans="1:26" x14ac:dyDescent="0.15">
      <c r="A9" s="163" t="s">
        <v>161</v>
      </c>
      <c r="B9" s="147">
        <f t="shared" si="0"/>
        <v>103487</v>
      </c>
      <c r="C9" s="164">
        <f>B9/B24</f>
        <v>2.2539307718929365E-2</v>
      </c>
      <c r="D9" s="149">
        <f t="shared" si="1"/>
        <v>5.0608559467174663</v>
      </c>
      <c r="E9" s="149">
        <f t="shared" si="2"/>
        <v>523732.7993579504</v>
      </c>
      <c r="F9" s="164">
        <f>E9/E24</f>
        <v>1.0186950864380527E-2</v>
      </c>
      <c r="G9" s="165">
        <f t="shared" si="3"/>
        <v>32693</v>
      </c>
      <c r="H9" s="164">
        <f>G9/G24</f>
        <v>2.5667558288431661E-2</v>
      </c>
      <c r="I9" s="156">
        <f t="shared" si="6"/>
        <v>4.9092942519506169</v>
      </c>
      <c r="J9" s="156">
        <f t="shared" si="4"/>
        <v>160499.55697902152</v>
      </c>
      <c r="K9" s="160">
        <f>J9/J24</f>
        <v>1.2005631883569333E-2</v>
      </c>
      <c r="L9" s="166">
        <f>[1]明细表!F11</f>
        <v>10913</v>
      </c>
      <c r="M9" s="164">
        <f>L9/L24</f>
        <v>2.5845674348766213E-2</v>
      </c>
      <c r="N9" s="156">
        <f t="shared" si="5"/>
        <v>4.9873431290720935</v>
      </c>
      <c r="O9" s="156">
        <f>[1]明细表!R11</f>
        <v>54426.875567563759</v>
      </c>
      <c r="P9" s="160">
        <f>O9/O24</f>
        <v>1.2434575100059929E-2</v>
      </c>
      <c r="Q9" s="168">
        <f>[2]明细表!F10</f>
        <v>11961</v>
      </c>
      <c r="R9" s="164">
        <f>Q9/Q24</f>
        <v>2.576902029894735E-2</v>
      </c>
      <c r="S9" s="142">
        <f t="shared" si="7"/>
        <v>5.0737736796425779</v>
      </c>
      <c r="T9" s="156">
        <f>[2]明细表!R10</f>
        <v>60687.406982204877</v>
      </c>
      <c r="U9" s="160">
        <f>T9/T24</f>
        <v>1.2432848223568544E-2</v>
      </c>
      <c r="V9" s="168">
        <f>[3]明细表!F5</f>
        <v>9819</v>
      </c>
      <c r="W9" s="164">
        <f>V9/V24</f>
        <v>2.5351785391546824E-2</v>
      </c>
      <c r="X9" s="156">
        <f>Y9/V9</f>
        <v>4.622189065001824</v>
      </c>
      <c r="Y9" s="167">
        <f>[3]明细表!R5</f>
        <v>45385.27442925291</v>
      </c>
      <c r="Z9" s="160">
        <f>Y9/Y24</f>
        <v>1.104153320385917E-2</v>
      </c>
    </row>
    <row r="10" spans="1:26" s="87" customFormat="1" x14ac:dyDescent="0.15">
      <c r="A10" s="169" t="s">
        <v>9</v>
      </c>
      <c r="B10" s="147">
        <f t="shared" si="0"/>
        <v>42712</v>
      </c>
      <c r="C10" s="170">
        <f>B10/B24</f>
        <v>9.3026071998503282E-3</v>
      </c>
      <c r="D10" s="149">
        <f t="shared" si="1"/>
        <v>7.126234816416984</v>
      </c>
      <c r="E10" s="149">
        <f t="shared" si="2"/>
        <v>304375.74147880223</v>
      </c>
      <c r="F10" s="170">
        <f>E10/E24</f>
        <v>5.9203103692476037E-3</v>
      </c>
      <c r="G10" s="165">
        <f t="shared" si="3"/>
        <v>9804</v>
      </c>
      <c r="H10" s="171">
        <f>G10/G24</f>
        <v>7.6972055626520659E-3</v>
      </c>
      <c r="I10" s="156">
        <f t="shared" si="6"/>
        <v>6.7029043249290234</v>
      </c>
      <c r="J10" s="156">
        <f>O10+T10+Y10</f>
        <v>65715.27400160415</v>
      </c>
      <c r="K10" s="172">
        <f>J10/J24</f>
        <v>4.9156110062925328E-3</v>
      </c>
      <c r="L10" s="166">
        <f>[1]明细表!F13</f>
        <v>2913</v>
      </c>
      <c r="M10" s="171">
        <f>L10/L24</f>
        <v>6.8989690623986058E-3</v>
      </c>
      <c r="N10" s="156">
        <f t="shared" si="5"/>
        <v>6.1841241394539708</v>
      </c>
      <c r="O10" s="156">
        <f>[1]明细表!R13</f>
        <v>18014.353618229416</v>
      </c>
      <c r="P10" s="172">
        <f>O10/O24</f>
        <v>4.1156291006791785E-3</v>
      </c>
      <c r="Q10" s="173">
        <f>[2]明细表!F12</f>
        <v>3464</v>
      </c>
      <c r="R10" s="171">
        <f>Q10/Q24</f>
        <v>7.4629116558442956E-3</v>
      </c>
      <c r="S10" s="142">
        <f t="shared" si="7"/>
        <v>7.0061875663577817</v>
      </c>
      <c r="T10" s="156">
        <f>[2]明细表!R12</f>
        <v>24269.433729863355</v>
      </c>
      <c r="U10" s="172">
        <f>T10/T24</f>
        <v>4.9720065667630776E-3</v>
      </c>
      <c r="V10" s="173">
        <f>[3]明细表!F7</f>
        <v>3427</v>
      </c>
      <c r="W10" s="171">
        <f>V10/V24</f>
        <v>8.8482094446309164E-3</v>
      </c>
      <c r="X10" s="156">
        <f>Y10/V10</f>
        <v>6.8373173777389509</v>
      </c>
      <c r="Y10" s="167">
        <f>[3]明细表!R7</f>
        <v>23431.486653511383</v>
      </c>
      <c r="Z10" s="172">
        <f>Y10/Y24</f>
        <v>5.7005172085898463E-3</v>
      </c>
    </row>
    <row r="11" spans="1:26" s="87" customFormat="1" hidden="1" x14ac:dyDescent="0.15">
      <c r="A11" s="169" t="s">
        <v>162</v>
      </c>
      <c r="B11" s="147">
        <f t="shared" si="0"/>
        <v>0</v>
      </c>
      <c r="C11" s="170">
        <f>B11/B24</f>
        <v>0</v>
      </c>
      <c r="D11" s="149" t="e">
        <f t="shared" si="1"/>
        <v>#DIV/0!</v>
      </c>
      <c r="E11" s="149">
        <f t="shared" si="2"/>
        <v>0</v>
      </c>
      <c r="F11" s="170">
        <f>E11/E24</f>
        <v>0</v>
      </c>
      <c r="G11" s="165">
        <f t="shared" si="3"/>
        <v>0</v>
      </c>
      <c r="H11" s="171">
        <f>G11/G24</f>
        <v>0</v>
      </c>
      <c r="I11" s="156" t="e">
        <f t="shared" si="6"/>
        <v>#DIV/0!</v>
      </c>
      <c r="J11" s="156">
        <f t="shared" si="4"/>
        <v>0</v>
      </c>
      <c r="K11" s="172">
        <f>J11/J24</f>
        <v>0</v>
      </c>
      <c r="L11" s="166"/>
      <c r="M11" s="171"/>
      <c r="N11" s="156"/>
      <c r="O11" s="156"/>
      <c r="P11" s="172"/>
      <c r="Q11" s="173"/>
      <c r="R11" s="171"/>
      <c r="S11" s="142"/>
      <c r="T11" s="156"/>
      <c r="U11" s="172"/>
      <c r="V11" s="173"/>
      <c r="W11" s="171"/>
      <c r="X11" s="156"/>
      <c r="Y11" s="167"/>
      <c r="Z11" s="172"/>
    </row>
    <row r="12" spans="1:26" s="87" customFormat="1" hidden="1" x14ac:dyDescent="0.15">
      <c r="A12" s="169" t="s">
        <v>163</v>
      </c>
      <c r="B12" s="147">
        <f t="shared" si="0"/>
        <v>0</v>
      </c>
      <c r="C12" s="170">
        <f>B12/B24</f>
        <v>0</v>
      </c>
      <c r="D12" s="149" t="e">
        <f t="shared" si="1"/>
        <v>#DIV/0!</v>
      </c>
      <c r="E12" s="149">
        <f t="shared" si="2"/>
        <v>0</v>
      </c>
      <c r="F12" s="170">
        <f>E12/E24</f>
        <v>0</v>
      </c>
      <c r="G12" s="165">
        <f t="shared" si="3"/>
        <v>0</v>
      </c>
      <c r="H12" s="171">
        <f>G12/G24</f>
        <v>0</v>
      </c>
      <c r="I12" s="156" t="e">
        <f t="shared" si="6"/>
        <v>#DIV/0!</v>
      </c>
      <c r="J12" s="156">
        <f t="shared" si="4"/>
        <v>0</v>
      </c>
      <c r="K12" s="172">
        <f>J12/J24</f>
        <v>0</v>
      </c>
      <c r="L12" s="166"/>
      <c r="M12" s="171"/>
      <c r="N12" s="156"/>
      <c r="O12" s="156"/>
      <c r="P12" s="172"/>
      <c r="Q12" s="173"/>
      <c r="R12" s="171"/>
      <c r="S12" s="142"/>
      <c r="T12" s="156"/>
      <c r="U12" s="172"/>
      <c r="V12" s="173"/>
      <c r="W12" s="171"/>
      <c r="X12" s="156"/>
      <c r="Y12" s="167"/>
      <c r="Z12" s="172"/>
    </row>
    <row r="13" spans="1:26" s="87" customFormat="1" x14ac:dyDescent="0.15">
      <c r="A13" s="169" t="s">
        <v>164</v>
      </c>
      <c r="B13" s="147">
        <f t="shared" si="0"/>
        <v>6990</v>
      </c>
      <c r="C13" s="170">
        <f>B13/B24</f>
        <v>1.5224111333338125E-3</v>
      </c>
      <c r="D13" s="149">
        <f t="shared" si="1"/>
        <v>3.4523467408853339</v>
      </c>
      <c r="E13" s="149">
        <f t="shared" si="2"/>
        <v>24131.903718788482</v>
      </c>
      <c r="F13" s="170">
        <f>E13/E24</f>
        <v>4.6938155820797599E-4</v>
      </c>
      <c r="G13" s="165">
        <f t="shared" si="3"/>
        <v>6990</v>
      </c>
      <c r="H13" s="171">
        <f>G13/G24</f>
        <v>5.4879097187819194E-3</v>
      </c>
      <c r="I13" s="156">
        <f t="shared" si="6"/>
        <v>3.4523467408853339</v>
      </c>
      <c r="J13" s="156">
        <f t="shared" si="4"/>
        <v>24131.903718788482</v>
      </c>
      <c r="K13" s="172">
        <f>J13/J24</f>
        <v>1.8051062454669626E-3</v>
      </c>
      <c r="L13" s="166">
        <f>[1]明细表!F7</f>
        <v>3945</v>
      </c>
      <c r="M13" s="171">
        <f>L13/L24</f>
        <v>9.3430940443400279E-3</v>
      </c>
      <c r="N13" s="156">
        <f t="shared" si="5"/>
        <v>3.4206143581189252</v>
      </c>
      <c r="O13" s="156">
        <f>[1]明细表!R7</f>
        <v>13494.32364277916</v>
      </c>
      <c r="P13" s="172">
        <f>O13/O24</f>
        <v>3.0829655204505542E-3</v>
      </c>
      <c r="Q13" s="173">
        <f>[2]明细表!F7</f>
        <v>3045</v>
      </c>
      <c r="R13" s="171">
        <f>Q13/Q24</f>
        <v>6.5602095819993879E-3</v>
      </c>
      <c r="S13" s="142">
        <f t="shared" si="7"/>
        <v>3.493458153040828</v>
      </c>
      <c r="T13" s="156">
        <f>[2]明细表!R7</f>
        <v>10637.580076009321</v>
      </c>
      <c r="U13" s="172">
        <f>T13/T24</f>
        <v>2.1792893308139089E-3</v>
      </c>
      <c r="V13" s="173"/>
      <c r="W13" s="171"/>
      <c r="X13" s="156"/>
      <c r="Y13" s="167"/>
      <c r="Z13" s="172"/>
    </row>
    <row r="14" spans="1:26" x14ac:dyDescent="0.15">
      <c r="A14" s="163" t="s">
        <v>165</v>
      </c>
      <c r="B14" s="147">
        <f t="shared" si="0"/>
        <v>269140</v>
      </c>
      <c r="C14" s="164">
        <f>B14/B24</f>
        <v>5.8618273594486736E-2</v>
      </c>
      <c r="D14" s="149">
        <f t="shared" si="1"/>
        <v>3.443170328414455</v>
      </c>
      <c r="E14" s="149">
        <f t="shared" si="2"/>
        <v>926694.86218946637</v>
      </c>
      <c r="F14" s="164">
        <f>E14/E24</f>
        <v>1.8024830675051885E-2</v>
      </c>
      <c r="G14" s="165">
        <f t="shared" si="3"/>
        <v>93659</v>
      </c>
      <c r="H14" s="164">
        <f>G14/G24</f>
        <v>7.3532494470872081E-2</v>
      </c>
      <c r="I14" s="156">
        <f t="shared" si="6"/>
        <v>3.4008928315743803</v>
      </c>
      <c r="J14" s="156">
        <f t="shared" si="4"/>
        <v>318524.22171242489</v>
      </c>
      <c r="K14" s="160">
        <f>J14/J24</f>
        <v>2.3826137740552339E-2</v>
      </c>
      <c r="L14" s="166">
        <f>[1]明细表!F9</f>
        <v>32249</v>
      </c>
      <c r="M14" s="164">
        <f>L14/L24</f>
        <v>7.6376537347508627E-2</v>
      </c>
      <c r="N14" s="156">
        <f t="shared" si="5"/>
        <v>3.4330312433669077</v>
      </c>
      <c r="O14" s="156">
        <f>[1]明细表!R9</f>
        <v>110711.82456733941</v>
      </c>
      <c r="P14" s="160">
        <f>O14/O24</f>
        <v>2.5293652863433391E-2</v>
      </c>
      <c r="Q14" s="168">
        <f>[2]明细表!F8</f>
        <v>35591</v>
      </c>
      <c r="R14" s="164">
        <f>Q14/Q24</f>
        <v>7.6677970191441777E-2</v>
      </c>
      <c r="S14" s="142">
        <f t="shared" si="7"/>
        <v>3.559956658909845</v>
      </c>
      <c r="T14" s="156">
        <f>[2]明细表!R8</f>
        <v>126702.41744726029</v>
      </c>
      <c r="U14" s="160">
        <f>T14/T24</f>
        <v>2.5957146696726073E-2</v>
      </c>
      <c r="V14" s="168">
        <f>[3]明细表!F3</f>
        <v>25819</v>
      </c>
      <c r="W14" s="164">
        <f>V14/V24</f>
        <v>6.6662363481448966E-2</v>
      </c>
      <c r="X14" s="156">
        <f>Y14/V14</f>
        <v>3.1414841666147089</v>
      </c>
      <c r="Y14" s="167">
        <f>[3]明细表!R3</f>
        <v>81109.979697825169</v>
      </c>
      <c r="Z14" s="160">
        <f>Y14/Y24</f>
        <v>1.9732799795976072E-2</v>
      </c>
    </row>
    <row r="15" spans="1:26" hidden="1" x14ac:dyDescent="0.15">
      <c r="A15" s="163" t="s">
        <v>166</v>
      </c>
      <c r="B15" s="147">
        <f t="shared" si="0"/>
        <v>0</v>
      </c>
      <c r="C15" s="164">
        <f>B15/B24</f>
        <v>0</v>
      </c>
      <c r="D15" s="149" t="e">
        <f t="shared" si="1"/>
        <v>#DIV/0!</v>
      </c>
      <c r="E15" s="149">
        <f t="shared" si="2"/>
        <v>0</v>
      </c>
      <c r="F15" s="164">
        <f>E15/E24</f>
        <v>0</v>
      </c>
      <c r="G15" s="165">
        <f t="shared" si="3"/>
        <v>0</v>
      </c>
      <c r="H15" s="164">
        <f>G15/G24</f>
        <v>0</v>
      </c>
      <c r="I15" s="156" t="e">
        <f t="shared" si="6"/>
        <v>#DIV/0!</v>
      </c>
      <c r="J15" s="156">
        <f t="shared" si="4"/>
        <v>0</v>
      </c>
      <c r="K15" s="160">
        <f>J15/J24</f>
        <v>0</v>
      </c>
      <c r="L15" s="166"/>
      <c r="M15" s="164"/>
      <c r="N15" s="156"/>
      <c r="O15" s="156"/>
      <c r="P15" s="160">
        <f>O15/O24</f>
        <v>0</v>
      </c>
      <c r="Q15" s="168"/>
      <c r="R15" s="164"/>
      <c r="S15" s="142"/>
      <c r="T15" s="156"/>
      <c r="U15" s="160"/>
      <c r="V15" s="168"/>
      <c r="W15" s="164"/>
      <c r="X15" s="156"/>
      <c r="Y15" s="167"/>
      <c r="Z15" s="160"/>
    </row>
    <row r="16" spans="1:26" hidden="1" x14ac:dyDescent="0.15">
      <c r="A16" s="163" t="s">
        <v>167</v>
      </c>
      <c r="B16" s="147">
        <f t="shared" si="0"/>
        <v>0</v>
      </c>
      <c r="C16" s="164">
        <f>B16/B24</f>
        <v>0</v>
      </c>
      <c r="D16" s="149" t="e">
        <f t="shared" si="1"/>
        <v>#DIV/0!</v>
      </c>
      <c r="E16" s="149">
        <f t="shared" si="2"/>
        <v>0</v>
      </c>
      <c r="F16" s="164">
        <f>E16/E24</f>
        <v>0</v>
      </c>
      <c r="G16" s="165">
        <f t="shared" si="3"/>
        <v>0</v>
      </c>
      <c r="H16" s="164">
        <f>G16/G24</f>
        <v>0</v>
      </c>
      <c r="I16" s="156" t="e">
        <f t="shared" si="6"/>
        <v>#DIV/0!</v>
      </c>
      <c r="J16" s="156">
        <f t="shared" si="4"/>
        <v>0</v>
      </c>
      <c r="K16" s="160">
        <f>J16/J24</f>
        <v>0</v>
      </c>
      <c r="L16" s="166"/>
      <c r="M16" s="164"/>
      <c r="N16" s="156"/>
      <c r="O16" s="156"/>
      <c r="P16" s="160">
        <f>O16/O24</f>
        <v>0</v>
      </c>
      <c r="Q16" s="168"/>
      <c r="R16" s="164"/>
      <c r="S16" s="142"/>
      <c r="T16" s="156"/>
      <c r="U16" s="160"/>
      <c r="V16" s="168"/>
      <c r="W16" s="164"/>
      <c r="X16" s="156"/>
      <c r="Y16" s="167"/>
      <c r="Z16" s="160"/>
    </row>
    <row r="17" spans="1:26" x14ac:dyDescent="0.15">
      <c r="A17" s="163" t="s">
        <v>168</v>
      </c>
      <c r="B17" s="147">
        <f t="shared" si="0"/>
        <v>2285</v>
      </c>
      <c r="C17" s="164">
        <f>B17/B24</f>
        <v>4.9766944773501601E-4</v>
      </c>
      <c r="D17" s="149">
        <f t="shared" si="1"/>
        <v>1.5128424843405359</v>
      </c>
      <c r="E17" s="149">
        <f t="shared" si="2"/>
        <v>3456.8450767181248</v>
      </c>
      <c r="F17" s="164">
        <f>E17/E24</f>
        <v>6.7237933132073001E-5</v>
      </c>
      <c r="G17" s="165">
        <f t="shared" si="3"/>
        <v>2285</v>
      </c>
      <c r="H17" s="164">
        <f>G17/G24</f>
        <v>1.7939733487005274E-3</v>
      </c>
      <c r="I17" s="156">
        <f t="shared" si="6"/>
        <v>1.5128424843405359</v>
      </c>
      <c r="J17" s="156">
        <f t="shared" si="4"/>
        <v>3456.8450767181248</v>
      </c>
      <c r="K17" s="160">
        <f>J17/J24</f>
        <v>2.5857771978168989E-4</v>
      </c>
      <c r="L17" s="166">
        <f>[1]明细表!F3</f>
        <v>1293</v>
      </c>
      <c r="M17" s="164">
        <f>L17/L24</f>
        <v>3.0622612419091647E-3</v>
      </c>
      <c r="N17" s="156">
        <f t="shared" si="5"/>
        <v>1.4891292746481153</v>
      </c>
      <c r="O17" s="156">
        <f>[1]明细表!R3</f>
        <v>1925.4441521200131</v>
      </c>
      <c r="P17" s="160">
        <f>O17/O24</f>
        <v>4.3989443929748633E-4</v>
      </c>
      <c r="Q17" s="168">
        <f>[2]明细表!F3</f>
        <v>992</v>
      </c>
      <c r="R17" s="164">
        <f>Q17/Q24</f>
        <v>2.1371848621817382E-3</v>
      </c>
      <c r="S17" s="142">
        <f t="shared" si="7"/>
        <v>1.5437509320545484</v>
      </c>
      <c r="T17" s="156">
        <f>[2]明细表!R3</f>
        <v>1531.4009245981119</v>
      </c>
      <c r="U17" s="160">
        <f>T17/T24</f>
        <v>3.1373354393842844E-4</v>
      </c>
      <c r="V17" s="168"/>
      <c r="W17" s="164"/>
      <c r="X17" s="156"/>
      <c r="Y17" s="167"/>
      <c r="Z17" s="160"/>
    </row>
    <row r="18" spans="1:26" s="87" customFormat="1" x14ac:dyDescent="0.15">
      <c r="A18" s="169" t="s">
        <v>169</v>
      </c>
      <c r="B18" s="147">
        <f t="shared" si="0"/>
        <v>714900</v>
      </c>
      <c r="C18" s="171">
        <f>B18/B24</f>
        <v>0.15570410861521353</v>
      </c>
      <c r="D18" s="149">
        <f t="shared" si="1"/>
        <v>12.122437914891247</v>
      </c>
      <c r="E18" s="149">
        <f t="shared" si="2"/>
        <v>8666330.8653557524</v>
      </c>
      <c r="F18" s="171">
        <f>E18/E24</f>
        <v>0.16856589239411984</v>
      </c>
      <c r="G18" s="165">
        <f t="shared" si="3"/>
        <v>249600</v>
      </c>
      <c r="H18" s="171">
        <f>G18/G24</f>
        <v>0.19596312815564623</v>
      </c>
      <c r="I18" s="156">
        <f t="shared" si="6"/>
        <v>12.065280769230769</v>
      </c>
      <c r="J18" s="156">
        <f t="shared" si="4"/>
        <v>3011494.08</v>
      </c>
      <c r="K18" s="172">
        <f>J18/J24</f>
        <v>0.22526472985065005</v>
      </c>
      <c r="L18" s="166">
        <f>[1]明细表!F32</f>
        <v>83400</v>
      </c>
      <c r="M18" s="171">
        <f>L18/L24</f>
        <v>0.19751940261038231</v>
      </c>
      <c r="N18" s="156">
        <f t="shared" si="5"/>
        <v>12.199088249400477</v>
      </c>
      <c r="O18" s="174">
        <f>[1]明细表!R32</f>
        <v>1017403.9599999997</v>
      </c>
      <c r="P18" s="172">
        <f>O18/O24</f>
        <v>0.2324400549506804</v>
      </c>
      <c r="Q18" s="173">
        <f>[2]明细表!F32</f>
        <v>109300</v>
      </c>
      <c r="R18" s="171">
        <f>Q18/Q24</f>
        <v>0.23547813048030644</v>
      </c>
      <c r="S18" s="142">
        <f t="shared" si="7"/>
        <v>11.997129826166514</v>
      </c>
      <c r="T18" s="156">
        <f>[2]明细表!R32</f>
        <v>1311286.29</v>
      </c>
      <c r="U18" s="172">
        <f>T18/T24</f>
        <v>0.26863931467687779</v>
      </c>
      <c r="V18" s="173">
        <f>[3]明细表!F27</f>
        <v>56900</v>
      </c>
      <c r="W18" s="171">
        <f>V18/V24</f>
        <v>0.14691074333221452</v>
      </c>
      <c r="X18" s="156">
        <f>Y18/V18</f>
        <v>12.000067311072058</v>
      </c>
      <c r="Y18" s="167">
        <f>[3]明细表!R27</f>
        <v>682803.83000000007</v>
      </c>
      <c r="Z18" s="172">
        <f>Y18/Y24</f>
        <v>0.16611557945781308</v>
      </c>
    </row>
    <row r="19" spans="1:26" s="87" customFormat="1" x14ac:dyDescent="0.15">
      <c r="A19" s="169" t="s">
        <v>170</v>
      </c>
      <c r="B19" s="147"/>
      <c r="C19" s="171"/>
      <c r="D19" s="149"/>
      <c r="E19" s="149"/>
      <c r="F19" s="171"/>
      <c r="G19" s="165"/>
      <c r="H19" s="171"/>
      <c r="I19" s="156"/>
      <c r="J19" s="156"/>
      <c r="K19" s="172"/>
      <c r="L19" s="166"/>
      <c r="M19" s="171"/>
      <c r="N19" s="156"/>
      <c r="O19" s="174"/>
      <c r="P19" s="172"/>
      <c r="Q19" s="173"/>
      <c r="R19" s="171"/>
      <c r="S19" s="142"/>
      <c r="T19" s="174"/>
      <c r="U19" s="172"/>
      <c r="V19" s="173"/>
      <c r="W19" s="171"/>
      <c r="X19" s="156"/>
      <c r="Y19" s="167"/>
      <c r="Z19" s="172"/>
    </row>
    <row r="20" spans="1:26" s="87" customFormat="1" x14ac:dyDescent="0.15">
      <c r="A20" s="169" t="str">
        <f>明细表!C26</f>
        <v>高铁配餐【阿里年会专供】</v>
      </c>
      <c r="B20" s="147">
        <f>G65</f>
        <v>5565</v>
      </c>
      <c r="C20" s="171">
        <f>B20/B24</f>
        <v>1.2120483486412971E-3</v>
      </c>
      <c r="D20" s="149">
        <f t="shared" si="1"/>
        <v>17.716832820170023</v>
      </c>
      <c r="E20" s="149">
        <f>J65</f>
        <v>98594.174644246174</v>
      </c>
      <c r="F20" s="171">
        <f>E20/E24</f>
        <v>1.9177221931610184E-3</v>
      </c>
      <c r="G20" s="165"/>
      <c r="H20" s="171"/>
      <c r="I20" s="156"/>
      <c r="J20" s="156"/>
      <c r="K20" s="172"/>
      <c r="L20" s="166"/>
      <c r="M20" s="171"/>
      <c r="N20" s="156"/>
      <c r="O20" s="174"/>
      <c r="P20" s="172"/>
      <c r="Q20" s="173"/>
      <c r="R20" s="171"/>
      <c r="S20" s="142"/>
      <c r="T20" s="174"/>
      <c r="U20" s="172"/>
      <c r="V20" s="173"/>
      <c r="W20" s="171"/>
      <c r="X20" s="156"/>
      <c r="Y20" s="167"/>
      <c r="Z20" s="172"/>
    </row>
    <row r="21" spans="1:26" x14ac:dyDescent="0.15">
      <c r="A21" s="175" t="s">
        <v>171</v>
      </c>
      <c r="B21" s="147">
        <f>G21+G43+G66+G88</f>
        <v>0</v>
      </c>
      <c r="C21" s="164">
        <f>B21/B24</f>
        <v>0</v>
      </c>
      <c r="D21" s="176" t="e">
        <f t="shared" si="1"/>
        <v>#DIV/0!</v>
      </c>
      <c r="E21" s="149">
        <f>J21+J43+J66+J88</f>
        <v>0</v>
      </c>
      <c r="F21" s="164">
        <f>E21/E24</f>
        <v>0</v>
      </c>
      <c r="G21" s="165"/>
      <c r="H21" s="177"/>
      <c r="I21" s="156"/>
      <c r="J21" s="156"/>
      <c r="K21" s="178"/>
      <c r="L21" s="166"/>
      <c r="M21" s="164"/>
      <c r="N21" s="156"/>
      <c r="O21" s="156"/>
      <c r="P21" s="160"/>
      <c r="Q21" s="165"/>
      <c r="R21" s="164"/>
      <c r="S21" s="142"/>
      <c r="T21" s="156"/>
      <c r="U21" s="160"/>
      <c r="V21" s="165"/>
      <c r="W21" s="164"/>
      <c r="X21" s="156"/>
      <c r="Y21" s="167"/>
      <c r="Z21" s="160"/>
    </row>
    <row r="22" spans="1:26" x14ac:dyDescent="0.15">
      <c r="A22" s="175" t="s">
        <v>172</v>
      </c>
      <c r="B22" s="147">
        <f>G22+G44+G67+G89</f>
        <v>62</v>
      </c>
      <c r="C22" s="164">
        <f>B22/B24</f>
        <v>1.35035036146919E-5</v>
      </c>
      <c r="D22" s="176">
        <f t="shared" si="1"/>
        <v>12.359570998296423</v>
      </c>
      <c r="E22" s="149">
        <f>J22+J44+J67+J89</f>
        <v>766.29340189437823</v>
      </c>
      <c r="F22" s="164">
        <f>E22/E24</f>
        <v>1.4904915717264084E-5</v>
      </c>
      <c r="G22" s="165"/>
      <c r="H22" s="177"/>
      <c r="I22" s="156"/>
      <c r="J22" s="156"/>
      <c r="K22" s="178"/>
      <c r="L22" s="166"/>
      <c r="M22" s="164"/>
      <c r="N22" s="156"/>
      <c r="O22" s="156"/>
      <c r="P22" s="160"/>
      <c r="Q22" s="165"/>
      <c r="R22" s="164"/>
      <c r="S22" s="142"/>
      <c r="T22" s="156"/>
      <c r="U22" s="160"/>
      <c r="V22" s="165"/>
      <c r="W22" s="164"/>
      <c r="X22" s="156"/>
      <c r="Y22" s="167"/>
      <c r="Z22" s="160"/>
    </row>
    <row r="23" spans="1:26" x14ac:dyDescent="0.15">
      <c r="A23" s="179" t="s">
        <v>173</v>
      </c>
      <c r="B23" s="180">
        <f>G23+G45+G68+G90</f>
        <v>4591339</v>
      </c>
      <c r="C23" s="181"/>
      <c r="D23" s="182">
        <f t="shared" si="1"/>
        <v>11.197465381362193</v>
      </c>
      <c r="E23" s="183">
        <f>J23+J45+J68+J90</f>
        <v>51411359.506598108</v>
      </c>
      <c r="F23" s="184"/>
      <c r="G23" s="185">
        <f>SUM(G4:G19)-G21-G22</f>
        <v>1273709</v>
      </c>
      <c r="H23" s="177"/>
      <c r="I23" s="186">
        <f t="shared" si="6"/>
        <v>10.495873735680599</v>
      </c>
      <c r="J23" s="186">
        <f>SUM(J4:J19)-J21-J22</f>
        <v>13368688.84</v>
      </c>
      <c r="K23" s="178"/>
      <c r="L23" s="166">
        <f>SUM(L4:L19)-L21-L22</f>
        <v>422237</v>
      </c>
      <c r="M23" s="164"/>
      <c r="N23" s="156">
        <f>O23/L23</f>
        <v>10.36635714065797</v>
      </c>
      <c r="O23" s="156">
        <f>SUM(O4:O19)-O21-O22</f>
        <v>4377059.5399999991</v>
      </c>
      <c r="P23" s="160"/>
      <c r="Q23" s="165">
        <f>SUM(Q4:Q19)-Q21-Q22</f>
        <v>464162</v>
      </c>
      <c r="R23" s="164"/>
      <c r="S23" s="142">
        <f t="shared" si="7"/>
        <v>10.516188615181768</v>
      </c>
      <c r="T23" s="156">
        <f>SUM(T4:T19)-T21-T22</f>
        <v>4881215.1399999997</v>
      </c>
      <c r="U23" s="160"/>
      <c r="V23" s="165">
        <f>SUM(V4:V19)-V21-V22</f>
        <v>387310</v>
      </c>
      <c r="W23" s="164"/>
      <c r="X23" s="156">
        <f>Y23/V23</f>
        <v>10.612724071157473</v>
      </c>
      <c r="Y23" s="167">
        <f>SUM(Y4:Y19)-Y21-Y22</f>
        <v>4110414.1600000006</v>
      </c>
      <c r="Z23" s="160"/>
    </row>
    <row r="24" spans="1:26" ht="14.25" thickBot="1" x14ac:dyDescent="0.2">
      <c r="A24" s="187" t="s">
        <v>174</v>
      </c>
      <c r="B24" s="188">
        <f>G24+G46+G69+G91</f>
        <v>4591401</v>
      </c>
      <c r="C24" s="29"/>
      <c r="D24" s="189">
        <f t="shared" si="1"/>
        <v>11.19748107385959</v>
      </c>
      <c r="E24" s="149">
        <f>J24+J46+J69+J91</f>
        <v>51412125.799999997</v>
      </c>
      <c r="F24" s="80"/>
      <c r="G24" s="190">
        <f>SUM(G4:G19)</f>
        <v>1273709</v>
      </c>
      <c r="H24" s="191"/>
      <c r="I24" s="192">
        <f>J24/G24</f>
        <v>10.495873735680599</v>
      </c>
      <c r="J24" s="192">
        <f>SUM(J4:J19)</f>
        <v>13368688.84</v>
      </c>
      <c r="K24" s="193"/>
      <c r="L24" s="194">
        <f>SUM(L4:L19)</f>
        <v>422237</v>
      </c>
      <c r="M24" s="195"/>
      <c r="N24" s="196">
        <f>O24/L24</f>
        <v>10.36635714065797</v>
      </c>
      <c r="O24" s="196">
        <f>SUM(O4:O19)</f>
        <v>4377059.5399999991</v>
      </c>
      <c r="P24" s="197"/>
      <c r="Q24" s="198">
        <f>SUM(Q4:Q19)</f>
        <v>464162</v>
      </c>
      <c r="R24" s="195"/>
      <c r="S24" s="199">
        <f>T24/Q24</f>
        <v>10.516188615181768</v>
      </c>
      <c r="T24" s="196">
        <f>SUM(T4:T19)</f>
        <v>4881215.1399999997</v>
      </c>
      <c r="U24" s="197"/>
      <c r="V24" s="198">
        <f>SUM(V5:V19)</f>
        <v>387310</v>
      </c>
      <c r="W24" s="195"/>
      <c r="X24" s="196">
        <f>Y24/V24</f>
        <v>10.612724071157473</v>
      </c>
      <c r="Y24" s="200">
        <f>SUM(Y5:Y19)</f>
        <v>4110414.1600000006</v>
      </c>
      <c r="Z24" s="197"/>
    </row>
    <row r="25" spans="1:26" x14ac:dyDescent="0.15">
      <c r="A25" s="427" t="s">
        <v>145</v>
      </c>
      <c r="B25" s="429"/>
      <c r="C25" s="430"/>
      <c r="D25" s="430"/>
      <c r="E25" s="430"/>
      <c r="F25" s="431"/>
      <c r="G25" s="448" t="s">
        <v>175</v>
      </c>
      <c r="H25" s="448"/>
      <c r="I25" s="448"/>
      <c r="J25" s="448"/>
      <c r="K25" s="448"/>
      <c r="L25" s="433" t="s">
        <v>176</v>
      </c>
      <c r="M25" s="434"/>
      <c r="N25" s="434"/>
      <c r="O25" s="434"/>
      <c r="P25" s="435"/>
      <c r="Q25" s="449" t="s">
        <v>48</v>
      </c>
      <c r="R25" s="450"/>
      <c r="S25" s="450"/>
      <c r="T25" s="450"/>
      <c r="U25" s="451"/>
      <c r="V25" s="442" t="s">
        <v>49</v>
      </c>
      <c r="W25" s="443"/>
      <c r="X25" s="443"/>
      <c r="Y25" s="443"/>
      <c r="Z25" s="444"/>
    </row>
    <row r="26" spans="1:26" x14ac:dyDescent="0.15">
      <c r="A26" s="428"/>
      <c r="B26" s="201" t="s">
        <v>151</v>
      </c>
      <c r="C26" s="202" t="s">
        <v>152</v>
      </c>
      <c r="D26" s="203" t="s">
        <v>153</v>
      </c>
      <c r="E26" s="204" t="s">
        <v>154</v>
      </c>
      <c r="F26" s="205" t="s">
        <v>155</v>
      </c>
      <c r="G26" s="206" t="s">
        <v>151</v>
      </c>
      <c r="H26" s="202" t="s">
        <v>152</v>
      </c>
      <c r="I26" s="203" t="s">
        <v>153</v>
      </c>
      <c r="J26" s="204" t="s">
        <v>154</v>
      </c>
      <c r="K26" s="207" t="s">
        <v>155</v>
      </c>
      <c r="L26" s="145" t="s">
        <v>151</v>
      </c>
      <c r="M26" s="141" t="s">
        <v>152</v>
      </c>
      <c r="N26" s="142" t="s">
        <v>153</v>
      </c>
      <c r="O26" s="143" t="s">
        <v>154</v>
      </c>
      <c r="P26" s="144" t="s">
        <v>155</v>
      </c>
      <c r="Q26" s="145" t="s">
        <v>151</v>
      </c>
      <c r="R26" s="141" t="s">
        <v>152</v>
      </c>
      <c r="S26" s="142" t="s">
        <v>153</v>
      </c>
      <c r="T26" s="143" t="s">
        <v>154</v>
      </c>
      <c r="U26" s="144" t="s">
        <v>155</v>
      </c>
      <c r="V26" s="145" t="s">
        <v>151</v>
      </c>
      <c r="W26" s="141" t="s">
        <v>152</v>
      </c>
      <c r="X26" s="142" t="s">
        <v>153</v>
      </c>
      <c r="Y26" s="143" t="s">
        <v>154</v>
      </c>
      <c r="Z26" s="144" t="s">
        <v>155</v>
      </c>
    </row>
    <row r="27" spans="1:26" hidden="1" x14ac:dyDescent="0.15">
      <c r="A27" s="146" t="s">
        <v>156</v>
      </c>
      <c r="B27" s="201"/>
      <c r="C27" s="202"/>
      <c r="D27" s="203"/>
      <c r="E27" s="204"/>
      <c r="F27" s="205"/>
      <c r="G27" s="208"/>
      <c r="H27" s="164"/>
      <c r="I27" s="186"/>
      <c r="J27" s="186"/>
      <c r="K27" s="209"/>
      <c r="L27" s="155"/>
      <c r="M27" s="148"/>
      <c r="N27" s="210"/>
      <c r="O27" s="157"/>
      <c r="P27" s="158"/>
      <c r="Q27" s="155"/>
      <c r="R27" s="148"/>
      <c r="S27" s="210"/>
      <c r="T27" s="159"/>
      <c r="U27" s="158"/>
      <c r="V27" s="155"/>
      <c r="W27" s="148"/>
      <c r="X27" s="211"/>
      <c r="Y27" s="159"/>
      <c r="Z27" s="158"/>
    </row>
    <row r="28" spans="1:26" x14ac:dyDescent="0.15">
      <c r="A28" s="212" t="s">
        <v>157</v>
      </c>
      <c r="B28" s="163"/>
      <c r="C28" s="213"/>
      <c r="D28" s="213"/>
      <c r="E28" s="213"/>
      <c r="F28" s="214"/>
      <c r="G28" s="208">
        <f t="shared" ref="G28:G41" si="8">L28+Q28+V28</f>
        <v>353671</v>
      </c>
      <c r="H28" s="164">
        <f>G28/G46</f>
        <v>0.23230415751473943</v>
      </c>
      <c r="I28" s="186">
        <f>J28/G28</f>
        <v>20.107963358645161</v>
      </c>
      <c r="J28" s="186">
        <f>O28+T28+Y28</f>
        <v>7111603.5090153925</v>
      </c>
      <c r="K28" s="209">
        <f>J28/J46</f>
        <v>0.40743441846748135</v>
      </c>
      <c r="L28" s="215">
        <f>[4]明细表!F24</f>
        <v>111110</v>
      </c>
      <c r="M28" s="164">
        <f>L28/L46</f>
        <v>0.22079323412110938</v>
      </c>
      <c r="N28" s="216">
        <f>O28/L28</f>
        <v>19.6060096239306</v>
      </c>
      <c r="O28" s="10">
        <f>[4]明细表!R24</f>
        <v>2178423.7293149289</v>
      </c>
      <c r="P28" s="160">
        <f>O28/O46</f>
        <v>0.38629453435733957</v>
      </c>
      <c r="Q28" s="215">
        <f>[5]明细表!G23+2</f>
        <v>118624</v>
      </c>
      <c r="R28" s="217">
        <f>Q28/Q46</f>
        <v>0.22550333529135561</v>
      </c>
      <c r="S28" s="216">
        <f>T28/Q28</f>
        <v>20.131904328462085</v>
      </c>
      <c r="T28" s="10">
        <f>[5]明细表!S23</f>
        <v>2388127.0190594862</v>
      </c>
      <c r="U28" s="158">
        <f>T28/T46</f>
        <v>0.39529881869153782</v>
      </c>
      <c r="V28" s="215">
        <f>[6]明细表!G23+[6]明细表!F23</f>
        <v>123937</v>
      </c>
      <c r="W28" s="217">
        <f>V28/V46</f>
        <v>0.25130379418300974</v>
      </c>
      <c r="X28" s="142">
        <f t="shared" ref="X28:X46" si="9">Y28/V28</f>
        <v>20.535052168771045</v>
      </c>
      <c r="Y28" s="10">
        <f>[6]明细表!S23</f>
        <v>2545052.760640977</v>
      </c>
      <c r="Z28" s="218">
        <f>Y28/Y46</f>
        <v>0.44077854929048771</v>
      </c>
    </row>
    <row r="29" spans="1:26" x14ac:dyDescent="0.15">
      <c r="A29" s="212" t="s">
        <v>158</v>
      </c>
      <c r="B29" s="163"/>
      <c r="C29" s="213"/>
      <c r="D29" s="213"/>
      <c r="E29" s="213"/>
      <c r="F29" s="214"/>
      <c r="G29" s="208">
        <f t="shared" si="8"/>
        <v>697481</v>
      </c>
      <c r="H29" s="164">
        <f>G29/G46</f>
        <v>0.45813124651876452</v>
      </c>
      <c r="I29" s="186">
        <f t="shared" ref="I29:I46" si="10">J29/G29</f>
        <v>7.8332881106118579</v>
      </c>
      <c r="J29" s="186">
        <f>O29+T29+Y29</f>
        <v>5463569.6246776693</v>
      </c>
      <c r="K29" s="209">
        <f>J29/J46</f>
        <v>0.31301608842016831</v>
      </c>
      <c r="L29" s="215">
        <f>[4]明细表!F15</f>
        <v>235734</v>
      </c>
      <c r="M29" s="164">
        <f>L29/L46</f>
        <v>0.46844093468009723</v>
      </c>
      <c r="N29" s="216">
        <f t="shared" ref="N29:N46" si="11">O29/L29</f>
        <v>7.7961734346314771</v>
      </c>
      <c r="O29" s="10">
        <f>[4]明细表!R15</f>
        <v>1837823.1484394167</v>
      </c>
      <c r="P29" s="160">
        <f>O29/O46</f>
        <v>0.32589666913920673</v>
      </c>
      <c r="Q29" s="215">
        <f>[5]明细表!G16+[5]明细表!F16</f>
        <v>235243</v>
      </c>
      <c r="R29" s="217">
        <f>Q29/Q46</f>
        <v>0.44719518060379326</v>
      </c>
      <c r="S29" s="216">
        <f t="shared" ref="S29:S46" si="12">T29/Q29</f>
        <v>7.8348311136290274</v>
      </c>
      <c r="T29" s="10">
        <f>[5]明细表!S16</f>
        <v>1843089.1756634333</v>
      </c>
      <c r="U29" s="158">
        <f>T29/T46</f>
        <v>0.30508049532886561</v>
      </c>
      <c r="V29" s="215">
        <f>[6]明细表!F16+[6]明细表!G16</f>
        <v>226504</v>
      </c>
      <c r="W29" s="217">
        <f>V29/V46</f>
        <v>0.459276201599429</v>
      </c>
      <c r="X29" s="142">
        <f t="shared" si="9"/>
        <v>7.8703126680977809</v>
      </c>
      <c r="Y29" s="10">
        <f>[6]明细表!S16</f>
        <v>1782657.3005748198</v>
      </c>
      <c r="Z29" s="218">
        <f>Y29/Y46</f>
        <v>0.30873902143842841</v>
      </c>
    </row>
    <row r="30" spans="1:26" x14ac:dyDescent="0.15">
      <c r="A30" s="163" t="s">
        <v>159</v>
      </c>
      <c r="B30" s="163"/>
      <c r="C30" s="213"/>
      <c r="D30" s="213"/>
      <c r="E30" s="213"/>
      <c r="F30" s="214"/>
      <c r="G30" s="208">
        <f t="shared" si="8"/>
        <v>116855</v>
      </c>
      <c r="H30" s="164">
        <f>G30/G46</f>
        <v>7.6754674051264807E-2</v>
      </c>
      <c r="I30" s="186">
        <f t="shared" si="10"/>
        <v>13.259879672524772</v>
      </c>
      <c r="J30" s="186">
        <f>O30+T30+Y30</f>
        <v>1549483.2391328821</v>
      </c>
      <c r="K30" s="209">
        <f>J30/J46</f>
        <v>8.8772215951142208E-2</v>
      </c>
      <c r="L30" s="215">
        <f>[4]明细表!F18</f>
        <v>38045</v>
      </c>
      <c r="M30" s="164">
        <f>L30/L46</f>
        <v>7.5601463343871897E-2</v>
      </c>
      <c r="N30" s="216">
        <f t="shared" si="11"/>
        <v>13.278772901611042</v>
      </c>
      <c r="O30" s="10">
        <f>[4]明细表!R18</f>
        <v>505190.91504179209</v>
      </c>
      <c r="P30" s="160">
        <f>O30/O46</f>
        <v>8.9584265293051579E-2</v>
      </c>
      <c r="Q30" s="215">
        <f>[5]明细表!F19+[5]明细表!G19</f>
        <v>39093</v>
      </c>
      <c r="R30" s="217">
        <f>Q30/Q46</f>
        <v>7.4315500122614023E-2</v>
      </c>
      <c r="S30" s="216">
        <f t="shared" si="12"/>
        <v>13.202562262099876</v>
      </c>
      <c r="T30" s="10">
        <f>[5]明细表!S19</f>
        <v>516127.76651227049</v>
      </c>
      <c r="U30" s="158">
        <f>T30/T46</f>
        <v>8.5432933327203517E-2</v>
      </c>
      <c r="V30" s="215">
        <f>[6]明细表!F19+[6]明细表!G19</f>
        <v>39717</v>
      </c>
      <c r="W30" s="217">
        <f>V30/V46</f>
        <v>8.0533115966713711E-2</v>
      </c>
      <c r="X30" s="142">
        <f t="shared" si="9"/>
        <v>13.298198695239311</v>
      </c>
      <c r="Y30" s="10">
        <f>[6]明细表!S19</f>
        <v>528164.55757881969</v>
      </c>
      <c r="Z30" s="218">
        <f>Y30/Y46</f>
        <v>9.1472998547036929E-2</v>
      </c>
    </row>
    <row r="31" spans="1:26" hidden="1" x14ac:dyDescent="0.15">
      <c r="A31" s="212" t="s">
        <v>160</v>
      </c>
      <c r="B31" s="163"/>
      <c r="C31" s="213"/>
      <c r="D31" s="213"/>
      <c r="E31" s="213"/>
      <c r="F31" s="214"/>
      <c r="G31" s="208">
        <f t="shared" si="8"/>
        <v>0</v>
      </c>
      <c r="H31" s="164">
        <f>G31/G46</f>
        <v>0</v>
      </c>
      <c r="I31" s="186" t="e">
        <f t="shared" si="10"/>
        <v>#DIV/0!</v>
      </c>
      <c r="J31" s="186">
        <f t="shared" ref="J31:J39" si="13">O31+T31+Y31</f>
        <v>0</v>
      </c>
      <c r="K31" s="209">
        <f>J31/J46</f>
        <v>0</v>
      </c>
      <c r="L31" s="215"/>
      <c r="M31" s="164">
        <f>L31/L46</f>
        <v>0</v>
      </c>
      <c r="N31" s="216" t="e">
        <f t="shared" si="11"/>
        <v>#DIV/0!</v>
      </c>
      <c r="O31" s="10"/>
      <c r="P31" s="160">
        <f>O31/O46</f>
        <v>0</v>
      </c>
      <c r="Q31" s="215"/>
      <c r="R31" s="217">
        <f>Q31/Q46</f>
        <v>0</v>
      </c>
      <c r="S31" s="216" t="e">
        <f t="shared" si="12"/>
        <v>#DIV/0!</v>
      </c>
      <c r="T31" s="10"/>
      <c r="U31" s="158">
        <f>T31/T46</f>
        <v>0</v>
      </c>
      <c r="V31" s="215"/>
      <c r="W31" s="217">
        <f>V31/V46</f>
        <v>0</v>
      </c>
      <c r="X31" s="142" t="e">
        <f t="shared" si="9"/>
        <v>#DIV/0!</v>
      </c>
      <c r="Y31" s="10"/>
      <c r="Z31" s="218">
        <f>Y31/Y46</f>
        <v>0</v>
      </c>
    </row>
    <row r="32" spans="1:26" x14ac:dyDescent="0.15">
      <c r="A32" s="212" t="s">
        <v>161</v>
      </c>
      <c r="B32" s="163"/>
      <c r="C32" s="213"/>
      <c r="D32" s="213"/>
      <c r="E32" s="213"/>
      <c r="F32" s="214"/>
      <c r="G32" s="208">
        <f t="shared" si="8"/>
        <v>33446</v>
      </c>
      <c r="H32" s="164">
        <f>G32/G46</f>
        <v>2.1968566414090989E-2</v>
      </c>
      <c r="I32" s="186">
        <f t="shared" si="10"/>
        <v>5.2507651800137429</v>
      </c>
      <c r="J32" s="186">
        <f t="shared" si="13"/>
        <v>175617.09221073965</v>
      </c>
      <c r="K32" s="209">
        <f>J32/J46</f>
        <v>1.006136629342814E-2</v>
      </c>
      <c r="L32" s="215">
        <f>[4]明细表!F6</f>
        <v>11599</v>
      </c>
      <c r="M32" s="164">
        <f>L32/L46</f>
        <v>2.3049056993706667E-2</v>
      </c>
      <c r="N32" s="216">
        <f t="shared" si="11"/>
        <v>5.2904983348675625</v>
      </c>
      <c r="O32" s="10">
        <f>[4]明细表!R5</f>
        <v>61364.49018612886</v>
      </c>
      <c r="P32" s="160">
        <f>O32/O46</f>
        <v>1.0881614464409484E-2</v>
      </c>
      <c r="Q32" s="215">
        <f>[5]明细表!G6</f>
        <v>10932</v>
      </c>
      <c r="R32" s="217">
        <f>Q32/Q46</f>
        <v>2.0781650099516959E-2</v>
      </c>
      <c r="S32" s="216">
        <f t="shared" si="12"/>
        <v>5.215122759801293</v>
      </c>
      <c r="T32" s="10">
        <f>[5]明细表!S5</f>
        <v>57011.722010147736</v>
      </c>
      <c r="U32" s="158">
        <f>T32/T46</f>
        <v>9.4369630184316326E-3</v>
      </c>
      <c r="V32" s="215">
        <f>[6]明细表!F5+[6]明细表!G5</f>
        <v>10915</v>
      </c>
      <c r="W32" s="217">
        <f>V32/V46</f>
        <v>2.213205833211673E-2</v>
      </c>
      <c r="X32" s="142">
        <f t="shared" si="9"/>
        <v>5.2442400379718785</v>
      </c>
      <c r="Y32" s="10">
        <f>[6]明细表!S6</f>
        <v>57240.880014463059</v>
      </c>
      <c r="Z32" s="218">
        <f>Y32/Y46</f>
        <v>9.9135673896723186E-3</v>
      </c>
    </row>
    <row r="33" spans="1:30" s="87" customFormat="1" x14ac:dyDescent="0.15">
      <c r="A33" s="219" t="s">
        <v>9</v>
      </c>
      <c r="B33" s="169"/>
      <c r="C33" s="177"/>
      <c r="D33" s="176"/>
      <c r="E33" s="176"/>
      <c r="F33" s="178"/>
      <c r="G33" s="208">
        <f t="shared" si="8"/>
        <v>14111</v>
      </c>
      <c r="H33" s="170">
        <f>G33/G46</f>
        <v>9.2686252666757743E-3</v>
      </c>
      <c r="I33" s="186">
        <f t="shared" si="10"/>
        <v>7.4439385916054528</v>
      </c>
      <c r="J33" s="186">
        <f t="shared" si="13"/>
        <v>105041.41746614454</v>
      </c>
      <c r="K33" s="220">
        <f>J33/J46</f>
        <v>6.017980162429484E-3</v>
      </c>
      <c r="L33" s="173">
        <f>[4]明细表!F8</f>
        <v>4148</v>
      </c>
      <c r="M33" s="171">
        <f>L33/L46</f>
        <v>8.242735443563692E-3</v>
      </c>
      <c r="N33" s="216">
        <f t="shared" si="11"/>
        <v>7.377503517872503</v>
      </c>
      <c r="O33" s="10">
        <f>[4]明细表!R8</f>
        <v>30601.884592135142</v>
      </c>
      <c r="P33" s="172">
        <f>O33/O46</f>
        <v>5.4265571017689321E-3</v>
      </c>
      <c r="Q33" s="221">
        <f>[5]明细表!G7</f>
        <v>4619</v>
      </c>
      <c r="R33" s="171">
        <f>Q33/Q46</f>
        <v>8.7806843953227975E-3</v>
      </c>
      <c r="S33" s="216">
        <f t="shared" si="12"/>
        <v>7.4696811314173504</v>
      </c>
      <c r="T33" s="10">
        <f>[5]明细表!S8</f>
        <v>34502.457146016743</v>
      </c>
      <c r="U33" s="222">
        <f>T33/T46</f>
        <v>5.7110783651479194E-3</v>
      </c>
      <c r="V33" s="221">
        <f>[6]明细表!F7+[6]明细表!G7</f>
        <v>5344</v>
      </c>
      <c r="W33" s="171">
        <f>V33/V46</f>
        <v>1.0835888202183399E-2</v>
      </c>
      <c r="X33" s="142">
        <f t="shared" si="9"/>
        <v>7.4732551886213816</v>
      </c>
      <c r="Y33" s="10">
        <f>[6]明细表!S7</f>
        <v>39937.075727992662</v>
      </c>
      <c r="Z33" s="222">
        <f>Y33/Y46</f>
        <v>6.916715666772856E-3</v>
      </c>
    </row>
    <row r="34" spans="1:30" s="87" customFormat="1" hidden="1" x14ac:dyDescent="0.15">
      <c r="A34" s="219" t="s">
        <v>162</v>
      </c>
      <c r="B34" s="169"/>
      <c r="C34" s="177"/>
      <c r="D34" s="176"/>
      <c r="E34" s="176"/>
      <c r="F34" s="178"/>
      <c r="G34" s="208">
        <f t="shared" si="8"/>
        <v>0</v>
      </c>
      <c r="H34" s="170">
        <f>G34/G46</f>
        <v>0</v>
      </c>
      <c r="I34" s="186" t="e">
        <f t="shared" si="10"/>
        <v>#DIV/0!</v>
      </c>
      <c r="J34" s="186">
        <f t="shared" si="13"/>
        <v>0</v>
      </c>
      <c r="K34" s="220">
        <f>J34/J46</f>
        <v>0</v>
      </c>
      <c r="L34" s="173"/>
      <c r="M34" s="171">
        <f>L34/L46</f>
        <v>0</v>
      </c>
      <c r="N34" s="216" t="e">
        <f t="shared" si="11"/>
        <v>#DIV/0!</v>
      </c>
      <c r="O34" s="10"/>
      <c r="P34" s="172">
        <f>O34/O46</f>
        <v>0</v>
      </c>
      <c r="Q34" s="221"/>
      <c r="R34" s="171">
        <f>Q34/Q46</f>
        <v>0</v>
      </c>
      <c r="S34" s="216" t="e">
        <f t="shared" si="12"/>
        <v>#DIV/0!</v>
      </c>
      <c r="T34" s="10"/>
      <c r="U34" s="222">
        <f>T34/T46</f>
        <v>0</v>
      </c>
      <c r="V34" s="221"/>
      <c r="W34" s="171">
        <f>V34/V46</f>
        <v>0</v>
      </c>
      <c r="X34" s="142" t="e">
        <f t="shared" si="9"/>
        <v>#DIV/0!</v>
      </c>
      <c r="Y34" s="10"/>
      <c r="Z34" s="222">
        <f>Y34/Y46</f>
        <v>0</v>
      </c>
    </row>
    <row r="35" spans="1:30" s="87" customFormat="1" hidden="1" x14ac:dyDescent="0.15">
      <c r="A35" s="219" t="s">
        <v>163</v>
      </c>
      <c r="B35" s="169"/>
      <c r="C35" s="177"/>
      <c r="D35" s="176"/>
      <c r="E35" s="176"/>
      <c r="F35" s="178"/>
      <c r="G35" s="208">
        <f t="shared" si="8"/>
        <v>0</v>
      </c>
      <c r="H35" s="170">
        <f>G35/G46</f>
        <v>0</v>
      </c>
      <c r="I35" s="186" t="e">
        <f t="shared" si="10"/>
        <v>#DIV/0!</v>
      </c>
      <c r="J35" s="186">
        <f t="shared" si="13"/>
        <v>0</v>
      </c>
      <c r="K35" s="220">
        <f>J35/J46</f>
        <v>0</v>
      </c>
      <c r="L35" s="173"/>
      <c r="M35" s="171">
        <f>L35/L46</f>
        <v>0</v>
      </c>
      <c r="N35" s="216" t="e">
        <f t="shared" si="11"/>
        <v>#DIV/0!</v>
      </c>
      <c r="O35" s="10"/>
      <c r="P35" s="172">
        <f>O35/O46</f>
        <v>0</v>
      </c>
      <c r="Q35" s="221"/>
      <c r="R35" s="171">
        <f>Q35/Q46</f>
        <v>0</v>
      </c>
      <c r="S35" s="216" t="e">
        <f>T35/Q35</f>
        <v>#DIV/0!</v>
      </c>
      <c r="T35" s="10"/>
      <c r="U35" s="222">
        <f>T35/T46</f>
        <v>0</v>
      </c>
      <c r="V35" s="221"/>
      <c r="W35" s="171">
        <f>V35/V46</f>
        <v>0</v>
      </c>
      <c r="X35" s="142" t="e">
        <f t="shared" si="9"/>
        <v>#DIV/0!</v>
      </c>
      <c r="Y35" s="10"/>
      <c r="Z35" s="222">
        <f>Y35/Y46</f>
        <v>0</v>
      </c>
    </row>
    <row r="36" spans="1:30" s="87" customFormat="1" hidden="1" x14ac:dyDescent="0.15">
      <c r="A36" s="219" t="s">
        <v>164</v>
      </c>
      <c r="B36" s="169"/>
      <c r="C36" s="177"/>
      <c r="D36" s="176"/>
      <c r="E36" s="176"/>
      <c r="F36" s="178"/>
      <c r="G36" s="208">
        <f t="shared" si="8"/>
        <v>0</v>
      </c>
      <c r="H36" s="170">
        <f>G36/G46</f>
        <v>0</v>
      </c>
      <c r="I36" s="186" t="e">
        <f t="shared" si="10"/>
        <v>#DIV/0!</v>
      </c>
      <c r="J36" s="186">
        <f t="shared" si="13"/>
        <v>0</v>
      </c>
      <c r="K36" s="220">
        <f>J36/J46</f>
        <v>0</v>
      </c>
      <c r="L36" s="173"/>
      <c r="M36" s="171">
        <f>L36/L46</f>
        <v>0</v>
      </c>
      <c r="N36" s="216" t="e">
        <f>O36/L36</f>
        <v>#DIV/0!</v>
      </c>
      <c r="O36" s="10"/>
      <c r="P36" s="172">
        <f>O36/O46</f>
        <v>0</v>
      </c>
      <c r="Q36" s="221"/>
      <c r="R36" s="171">
        <f>Q36/Q46</f>
        <v>0</v>
      </c>
      <c r="S36" s="223" t="e">
        <f t="shared" si="12"/>
        <v>#DIV/0!</v>
      </c>
      <c r="T36" s="10"/>
      <c r="U36" s="222">
        <f>T36/T46</f>
        <v>0</v>
      </c>
      <c r="V36" s="221"/>
      <c r="W36" s="171">
        <f>V36/V46</f>
        <v>0</v>
      </c>
      <c r="X36" s="142" t="e">
        <f t="shared" si="9"/>
        <v>#DIV/0!</v>
      </c>
      <c r="Y36" s="10"/>
      <c r="Z36" s="222">
        <f>Y36/Y46</f>
        <v>0</v>
      </c>
    </row>
    <row r="37" spans="1:30" x14ac:dyDescent="0.15">
      <c r="A37" s="212" t="s">
        <v>165</v>
      </c>
      <c r="B37" s="163"/>
      <c r="C37" s="213"/>
      <c r="D37" s="213"/>
      <c r="E37" s="213"/>
      <c r="F37" s="214"/>
      <c r="G37" s="208">
        <f t="shared" si="8"/>
        <v>83484</v>
      </c>
      <c r="H37" s="164">
        <f>G37/G46</f>
        <v>5.4835370403455486E-2</v>
      </c>
      <c r="I37" s="186">
        <f t="shared" si="10"/>
        <v>3.7135020782086499</v>
      </c>
      <c r="J37" s="186">
        <f t="shared" si="13"/>
        <v>310018.00749717094</v>
      </c>
      <c r="K37" s="209">
        <f>J37/J46</f>
        <v>1.7761396067557923E-2</v>
      </c>
      <c r="L37" s="215">
        <f>[4]明细表!F3</f>
        <v>27795</v>
      </c>
      <c r="M37" s="164">
        <f>L37/L46</f>
        <v>5.5233083812404243E-2</v>
      </c>
      <c r="N37" s="216">
        <f t="shared" si="11"/>
        <v>3.7752434763661684</v>
      </c>
      <c r="O37" s="10">
        <f>[4]明细表!R3</f>
        <v>104932.89242559765</v>
      </c>
      <c r="P37" s="160">
        <f>O37/O46</f>
        <v>1.8607492322470481E-2</v>
      </c>
      <c r="Q37" s="215">
        <f>[5]明细表!G3</f>
        <v>27630</v>
      </c>
      <c r="R37" s="217">
        <f>Q37/Q46</f>
        <v>5.2524423001248953E-2</v>
      </c>
      <c r="S37" s="223">
        <f t="shared" si="12"/>
        <v>3.7117976695130577</v>
      </c>
      <c r="T37" s="10">
        <f>[5]明细表!S3</f>
        <v>102556.96960864578</v>
      </c>
      <c r="U37" s="158">
        <f>T37/T46</f>
        <v>1.6975918203399293E-2</v>
      </c>
      <c r="V37" s="215">
        <f>[6]明细表!F3+[6]明细表!G3</f>
        <v>28059</v>
      </c>
      <c r="W37" s="217">
        <f>V37/V46</f>
        <v>5.6894496082534426E-2</v>
      </c>
      <c r="X37" s="142">
        <f t="shared" si="9"/>
        <v>3.6540199388049297</v>
      </c>
      <c r="Y37" s="10">
        <f>[6]明细表!S3</f>
        <v>102528.14546292752</v>
      </c>
      <c r="Z37" s="218">
        <f>Y37/Y46</f>
        <v>1.7756884225540195E-2</v>
      </c>
    </row>
    <row r="38" spans="1:30" hidden="1" x14ac:dyDescent="0.15">
      <c r="A38" s="212" t="s">
        <v>166</v>
      </c>
      <c r="B38" s="163"/>
      <c r="C38" s="213"/>
      <c r="D38" s="213"/>
      <c r="E38" s="213"/>
      <c r="F38" s="214"/>
      <c r="G38" s="208">
        <f t="shared" si="8"/>
        <v>0</v>
      </c>
      <c r="H38" s="164">
        <f>G38/G46</f>
        <v>0</v>
      </c>
      <c r="I38" s="186" t="e">
        <f t="shared" si="10"/>
        <v>#DIV/0!</v>
      </c>
      <c r="J38" s="186">
        <f t="shared" si="13"/>
        <v>0</v>
      </c>
      <c r="K38" s="209">
        <f>J38/J46</f>
        <v>0</v>
      </c>
      <c r="L38" s="215"/>
      <c r="M38" s="164">
        <f>L38/L46</f>
        <v>0</v>
      </c>
      <c r="N38" s="216" t="e">
        <f t="shared" si="11"/>
        <v>#DIV/0!</v>
      </c>
      <c r="O38" s="10"/>
      <c r="P38" s="160">
        <f>O38/O46</f>
        <v>0</v>
      </c>
      <c r="Q38" s="215"/>
      <c r="R38" s="217">
        <f>Q38/Q46</f>
        <v>0</v>
      </c>
      <c r="S38" s="223" t="e">
        <f t="shared" si="12"/>
        <v>#DIV/0!</v>
      </c>
      <c r="T38" s="10"/>
      <c r="U38" s="158">
        <f>T38/T46</f>
        <v>0</v>
      </c>
      <c r="V38" s="215"/>
      <c r="W38" s="217">
        <f>V38/V46</f>
        <v>0</v>
      </c>
      <c r="X38" s="142" t="e">
        <f t="shared" si="9"/>
        <v>#DIV/0!</v>
      </c>
      <c r="Y38" s="10"/>
      <c r="Z38" s="218">
        <f>Y38/Y46</f>
        <v>0</v>
      </c>
    </row>
    <row r="39" spans="1:30" hidden="1" x14ac:dyDescent="0.15">
      <c r="A39" s="212" t="s">
        <v>167</v>
      </c>
      <c r="B39" s="163"/>
      <c r="C39" s="213"/>
      <c r="D39" s="213"/>
      <c r="E39" s="213"/>
      <c r="F39" s="214"/>
      <c r="G39" s="208">
        <f t="shared" si="8"/>
        <v>0</v>
      </c>
      <c r="H39" s="164">
        <f>G39/G46</f>
        <v>0</v>
      </c>
      <c r="I39" s="186" t="e">
        <f t="shared" si="10"/>
        <v>#DIV/0!</v>
      </c>
      <c r="J39" s="186">
        <f t="shared" si="13"/>
        <v>0</v>
      </c>
      <c r="K39" s="209">
        <f>J39/J46</f>
        <v>0</v>
      </c>
      <c r="L39" s="215"/>
      <c r="M39" s="164">
        <f>L39/L46</f>
        <v>0</v>
      </c>
      <c r="N39" s="216" t="e">
        <f t="shared" si="11"/>
        <v>#DIV/0!</v>
      </c>
      <c r="O39" s="10"/>
      <c r="P39" s="160">
        <f>O39/O46</f>
        <v>0</v>
      </c>
      <c r="Q39" s="215"/>
      <c r="R39" s="217">
        <f>Q39/Q46</f>
        <v>0</v>
      </c>
      <c r="S39" s="223" t="e">
        <f t="shared" si="12"/>
        <v>#DIV/0!</v>
      </c>
      <c r="T39" s="10"/>
      <c r="U39" s="158">
        <f>T39/T46</f>
        <v>0</v>
      </c>
      <c r="V39" s="215"/>
      <c r="W39" s="217">
        <f>V39/V46</f>
        <v>0</v>
      </c>
      <c r="X39" s="224" t="e">
        <f t="shared" si="9"/>
        <v>#DIV/0!</v>
      </c>
      <c r="Y39" s="10"/>
      <c r="Z39" s="218">
        <f>Y39/Y46</f>
        <v>0</v>
      </c>
    </row>
    <row r="40" spans="1:30" hidden="1" x14ac:dyDescent="0.15">
      <c r="A40" s="212" t="s">
        <v>168</v>
      </c>
      <c r="B40" s="163"/>
      <c r="C40" s="213"/>
      <c r="D40" s="213"/>
      <c r="E40" s="213"/>
      <c r="F40" s="214"/>
      <c r="G40" s="208">
        <f t="shared" si="8"/>
        <v>0</v>
      </c>
      <c r="H40" s="164">
        <f>G40/G46</f>
        <v>0</v>
      </c>
      <c r="I40" s="186" t="e">
        <f t="shared" si="10"/>
        <v>#DIV/0!</v>
      </c>
      <c r="J40" s="186">
        <f>O40+T40+Y40</f>
        <v>0</v>
      </c>
      <c r="K40" s="209">
        <f>J40/J46</f>
        <v>0</v>
      </c>
      <c r="L40" s="215"/>
      <c r="M40" s="164">
        <f>L40/L46</f>
        <v>0</v>
      </c>
      <c r="N40" s="216" t="e">
        <f t="shared" si="11"/>
        <v>#DIV/0!</v>
      </c>
      <c r="O40" s="10"/>
      <c r="P40" s="160">
        <f>O40/O46</f>
        <v>0</v>
      </c>
      <c r="Q40" s="215"/>
      <c r="R40" s="217">
        <f>Q40/Q46</f>
        <v>0</v>
      </c>
      <c r="S40" s="223" t="e">
        <f t="shared" si="12"/>
        <v>#DIV/0!</v>
      </c>
      <c r="T40" s="10"/>
      <c r="U40" s="158">
        <f>T40/T46</f>
        <v>0</v>
      </c>
      <c r="V40" s="215"/>
      <c r="W40" s="217">
        <f>V40/V46</f>
        <v>0</v>
      </c>
      <c r="X40" s="142" t="e">
        <f t="shared" si="9"/>
        <v>#DIV/0!</v>
      </c>
      <c r="Y40" s="10"/>
      <c r="Z40" s="218">
        <f>Y40/Y46</f>
        <v>0</v>
      </c>
    </row>
    <row r="41" spans="1:30" x14ac:dyDescent="0.15">
      <c r="A41" s="219" t="s">
        <v>169</v>
      </c>
      <c r="B41" s="169"/>
      <c r="C41" s="213"/>
      <c r="D41" s="213"/>
      <c r="E41" s="213"/>
      <c r="F41" s="214"/>
      <c r="G41" s="208">
        <f t="shared" si="8"/>
        <v>223400</v>
      </c>
      <c r="H41" s="171">
        <f>G41/G46</f>
        <v>0.146737359831009</v>
      </c>
      <c r="I41" s="186">
        <f t="shared" si="10"/>
        <v>12.261700716204118</v>
      </c>
      <c r="J41" s="186">
        <f>O41+T41+Y41</f>
        <v>2739263.94</v>
      </c>
      <c r="K41" s="225">
        <f>J41/J46</f>
        <v>0.15693653463779261</v>
      </c>
      <c r="L41" s="215">
        <f>[4]明细表!F27</f>
        <v>74800</v>
      </c>
      <c r="M41" s="171">
        <f>L41/L46</f>
        <v>0.14863949160524689</v>
      </c>
      <c r="N41" s="216">
        <f t="shared" si="11"/>
        <v>12.312095187165777</v>
      </c>
      <c r="O41" s="10">
        <f>[4]明细表!R27</f>
        <v>920944.72000000009</v>
      </c>
      <c r="P41" s="172">
        <f>O41/O46</f>
        <v>0.1633088673217532</v>
      </c>
      <c r="Q41" s="215">
        <f>[5]明细表!G26</f>
        <v>89900</v>
      </c>
      <c r="R41" s="217">
        <f>Q41/Q46</f>
        <v>0.17089922648614841</v>
      </c>
      <c r="S41" s="216">
        <f t="shared" si="12"/>
        <v>12.234769744160175</v>
      </c>
      <c r="T41" s="10">
        <f>[5]明细表!S26</f>
        <v>1099905.7999999998</v>
      </c>
      <c r="U41" s="158">
        <f>T41/T46</f>
        <v>0.1820637930654142</v>
      </c>
      <c r="V41" s="215">
        <f>[6]明细表!G26</f>
        <v>58700</v>
      </c>
      <c r="W41" s="217">
        <f>V41/V46</f>
        <v>0.11902444563401302</v>
      </c>
      <c r="X41" s="142">
        <f t="shared" si="9"/>
        <v>12.23872947189097</v>
      </c>
      <c r="Y41" s="10">
        <f>[6]明细表!S26</f>
        <v>718413.41999999993</v>
      </c>
      <c r="Z41" s="218">
        <f>Y41/Y46</f>
        <v>0.12442226344206161</v>
      </c>
      <c r="AD41" s="226"/>
    </row>
    <row r="42" spans="1:30" x14ac:dyDescent="0.15">
      <c r="A42" s="169" t="s">
        <v>170</v>
      </c>
      <c r="B42" s="169"/>
      <c r="C42" s="213"/>
      <c r="D42" s="213"/>
      <c r="E42" s="213"/>
      <c r="F42" s="214"/>
      <c r="G42" s="208"/>
      <c r="H42" s="171"/>
      <c r="I42" s="186"/>
      <c r="J42" s="186"/>
      <c r="K42" s="225"/>
      <c r="L42" s="215"/>
      <c r="M42" s="171"/>
      <c r="N42" s="216"/>
      <c r="O42" s="10"/>
      <c r="P42" s="172"/>
      <c r="Q42" s="215"/>
      <c r="R42" s="217"/>
      <c r="S42" s="216"/>
      <c r="T42" s="10"/>
      <c r="U42" s="158"/>
      <c r="V42" s="215"/>
      <c r="W42" s="217"/>
      <c r="X42" s="142"/>
      <c r="Y42" s="10"/>
      <c r="Z42" s="218"/>
      <c r="AD42" s="226"/>
    </row>
    <row r="43" spans="1:30" x14ac:dyDescent="0.15">
      <c r="A43" s="227" t="s">
        <v>171</v>
      </c>
      <c r="B43" s="175"/>
      <c r="C43" s="213"/>
      <c r="D43" s="213"/>
      <c r="E43" s="213"/>
      <c r="F43" s="214"/>
      <c r="G43" s="208"/>
      <c r="H43" s="164"/>
      <c r="I43" s="186"/>
      <c r="J43" s="186"/>
      <c r="K43" s="209"/>
      <c r="L43" s="215"/>
      <c r="M43" s="164"/>
      <c r="N43" s="216"/>
      <c r="O43" s="228"/>
      <c r="P43" s="160"/>
      <c r="Q43" s="215"/>
      <c r="R43" s="217"/>
      <c r="S43" s="216"/>
      <c r="T43" s="10"/>
      <c r="U43" s="158"/>
      <c r="V43" s="215"/>
      <c r="W43" s="217"/>
      <c r="X43" s="142"/>
      <c r="Y43" s="10"/>
      <c r="Z43" s="218"/>
    </row>
    <row r="44" spans="1:30" x14ac:dyDescent="0.15">
      <c r="A44" s="175" t="s">
        <v>172</v>
      </c>
      <c r="B44" s="175"/>
      <c r="C44" s="213"/>
      <c r="D44" s="213"/>
      <c r="E44" s="213"/>
      <c r="F44" s="214"/>
      <c r="G44" s="208">
        <f>L44+Q44+V44</f>
        <v>47</v>
      </c>
      <c r="H44" s="164"/>
      <c r="I44" s="186">
        <f t="shared" si="10"/>
        <v>11.959336610823444</v>
      </c>
      <c r="J44" s="186">
        <f>O44+T44+Y44</f>
        <v>562.08882070870186</v>
      </c>
      <c r="K44" s="209"/>
      <c r="L44" s="215"/>
      <c r="M44" s="164"/>
      <c r="N44" s="216"/>
      <c r="O44" s="10"/>
      <c r="P44" s="160"/>
      <c r="Q44" s="215">
        <f>[5]明细表!F27</f>
        <v>12</v>
      </c>
      <c r="R44" s="217">
        <f>Q44/Q46</f>
        <v>2.2811910098262302E-5</v>
      </c>
      <c r="S44" s="216">
        <f t="shared" si="12"/>
        <v>11.673587032258153</v>
      </c>
      <c r="T44" s="10">
        <f>[5]明细表!F16*[5]汇总表!S28+[5]明细表!F23*[5]汇总表!S27+[5]明细表!F19*[5]汇总表!S29</f>
        <v>140.08304438709783</v>
      </c>
      <c r="U44" s="158">
        <f>T44/T46</f>
        <v>2.3187486060411551E-5</v>
      </c>
      <c r="V44" s="215">
        <f>[6]明细表!F27</f>
        <v>35</v>
      </c>
      <c r="W44" s="217">
        <f>V44/V46</f>
        <v>7.096857916849157E-5</v>
      </c>
      <c r="X44" s="142">
        <f t="shared" si="9"/>
        <v>12.057307894902971</v>
      </c>
      <c r="Y44" s="10">
        <f>[6]明细表!F3*[6]汇总表!X36+[6]明细表!F5*[6]汇总表!X31+[6]明细表!F7*[6]汇总表!X32+[6]明细表!F16*[6]汇总表!X28+[6]明细表!F19*[6]汇总表!X29+[6]明细表!F23*[6]汇总表!X27</f>
        <v>422.005776321604</v>
      </c>
      <c r="Z44" s="218">
        <f>Y44/Y46</f>
        <v>7.3087323279064502E-5</v>
      </c>
    </row>
    <row r="45" spans="1:30" x14ac:dyDescent="0.15">
      <c r="A45" s="179" t="s">
        <v>173</v>
      </c>
      <c r="B45" s="179"/>
      <c r="C45" s="213"/>
      <c r="D45" s="213"/>
      <c r="E45" s="213"/>
      <c r="F45" s="214"/>
      <c r="G45" s="208">
        <f>SUM(G27:G41)-G43-G44</f>
        <v>1522401</v>
      </c>
      <c r="H45" s="9"/>
      <c r="I45" s="186">
        <f t="shared" si="10"/>
        <v>11.464807722261934</v>
      </c>
      <c r="J45" s="186">
        <f>SUM(J27:J42)-J43-J44</f>
        <v>17454034.741179291</v>
      </c>
      <c r="K45" s="229"/>
      <c r="L45" s="166">
        <f>SUM(L27:L41)-L43-L44</f>
        <v>503231</v>
      </c>
      <c r="M45" s="9"/>
      <c r="N45" s="216">
        <f t="shared" si="11"/>
        <v>11.206149422432242</v>
      </c>
      <c r="O45" s="10">
        <f>SUM(O27:O41)-O43-O44</f>
        <v>5639281.7799999993</v>
      </c>
      <c r="P45" s="230"/>
      <c r="Q45" s="166">
        <f>SUM(Q27:Q41)-Q43-Q44</f>
        <v>526029</v>
      </c>
      <c r="R45" s="217"/>
      <c r="S45" s="216">
        <f t="shared" si="12"/>
        <v>11.484501476069974</v>
      </c>
      <c r="T45" s="10">
        <f>SUM(T27:T41)-T43-T44</f>
        <v>6041180.8269556127</v>
      </c>
      <c r="U45" s="231"/>
      <c r="V45" s="166">
        <f>SUM(V27:V41)-V43-V44</f>
        <v>493141</v>
      </c>
      <c r="W45" s="217"/>
      <c r="X45" s="142">
        <f t="shared" si="9"/>
        <v>11.707751199400736</v>
      </c>
      <c r="Y45" s="10">
        <f>SUM(Y27:Y41)-Y43-Y44</f>
        <v>5773572.1342236781</v>
      </c>
      <c r="Z45" s="230"/>
    </row>
    <row r="46" spans="1:30" ht="14.25" thickBot="1" x14ac:dyDescent="0.2">
      <c r="A46" s="187" t="s">
        <v>177</v>
      </c>
      <c r="B46" s="232"/>
      <c r="C46" s="233"/>
      <c r="D46" s="233"/>
      <c r="E46" s="233"/>
      <c r="F46" s="234"/>
      <c r="G46" s="235">
        <f>SUM(G27:G41)</f>
        <v>1522448</v>
      </c>
      <c r="H46" s="236"/>
      <c r="I46" s="186">
        <f t="shared" si="10"/>
        <v>11.464822989028196</v>
      </c>
      <c r="J46" s="237">
        <f>SUM(J27:J41)</f>
        <v>17454596.829999998</v>
      </c>
      <c r="K46" s="238"/>
      <c r="L46" s="194">
        <f>SUM(L27:L41)</f>
        <v>503231</v>
      </c>
      <c r="M46" s="239"/>
      <c r="N46" s="240">
        <f t="shared" si="11"/>
        <v>11.206149422432242</v>
      </c>
      <c r="O46" s="241">
        <f>SUM(O27:O41)</f>
        <v>5639281.7799999993</v>
      </c>
      <c r="P46" s="242"/>
      <c r="Q46" s="243">
        <f>SUM(Q27:Q41)</f>
        <v>526041</v>
      </c>
      <c r="R46" s="244"/>
      <c r="S46" s="216">
        <f t="shared" si="12"/>
        <v>11.484505789472683</v>
      </c>
      <c r="T46" s="10">
        <f>SUM(T27:T41)</f>
        <v>6041320.9100000001</v>
      </c>
      <c r="U46" s="245"/>
      <c r="V46" s="243">
        <f>SUM(V27:V41)</f>
        <v>493176</v>
      </c>
      <c r="W46" s="244"/>
      <c r="X46" s="142">
        <f t="shared" si="9"/>
        <v>11.707776006942755</v>
      </c>
      <c r="Y46" s="10">
        <f>SUM(Y27:Y41)</f>
        <v>5773994.1399999997</v>
      </c>
      <c r="Z46" s="246"/>
    </row>
    <row r="47" spans="1:30" x14ac:dyDescent="0.15">
      <c r="A47" s="427" t="s">
        <v>145</v>
      </c>
      <c r="B47" s="429"/>
      <c r="C47" s="430"/>
      <c r="D47" s="430"/>
      <c r="E47" s="430"/>
      <c r="F47" s="431"/>
      <c r="G47" s="432" t="s">
        <v>178</v>
      </c>
      <c r="H47" s="430"/>
      <c r="I47" s="430"/>
      <c r="J47" s="430"/>
      <c r="K47" s="431"/>
      <c r="L47" s="433" t="s">
        <v>179</v>
      </c>
      <c r="M47" s="434"/>
      <c r="N47" s="434"/>
      <c r="O47" s="434"/>
      <c r="P47" s="435"/>
      <c r="Q47" s="433" t="s">
        <v>52</v>
      </c>
      <c r="R47" s="434"/>
      <c r="S47" s="434"/>
      <c r="T47" s="434"/>
      <c r="U47" s="435"/>
      <c r="V47" s="433" t="s">
        <v>53</v>
      </c>
      <c r="W47" s="434"/>
      <c r="X47" s="434"/>
      <c r="Y47" s="434"/>
      <c r="Z47" s="435"/>
    </row>
    <row r="48" spans="1:30" x14ac:dyDescent="0.15">
      <c r="A48" s="428"/>
      <c r="B48" s="201" t="s">
        <v>151</v>
      </c>
      <c r="C48" s="202" t="s">
        <v>152</v>
      </c>
      <c r="D48" s="203" t="s">
        <v>153</v>
      </c>
      <c r="E48" s="204" t="s">
        <v>154</v>
      </c>
      <c r="F48" s="205" t="s">
        <v>155</v>
      </c>
      <c r="G48" s="206" t="s">
        <v>151</v>
      </c>
      <c r="H48" s="202" t="s">
        <v>152</v>
      </c>
      <c r="I48" s="203" t="s">
        <v>153</v>
      </c>
      <c r="J48" s="204" t="s">
        <v>154</v>
      </c>
      <c r="K48" s="205" t="s">
        <v>155</v>
      </c>
      <c r="L48" s="145" t="s">
        <v>151</v>
      </c>
      <c r="M48" s="141" t="s">
        <v>152</v>
      </c>
      <c r="N48" s="142" t="s">
        <v>153</v>
      </c>
      <c r="O48" s="143" t="s">
        <v>154</v>
      </c>
      <c r="P48" s="144" t="s">
        <v>155</v>
      </c>
      <c r="Q48" s="145" t="s">
        <v>151</v>
      </c>
      <c r="R48" s="141" t="s">
        <v>152</v>
      </c>
      <c r="S48" s="142" t="s">
        <v>153</v>
      </c>
      <c r="T48" s="143" t="s">
        <v>154</v>
      </c>
      <c r="U48" s="144" t="s">
        <v>155</v>
      </c>
      <c r="V48" s="145" t="s">
        <v>151</v>
      </c>
      <c r="W48" s="141" t="s">
        <v>152</v>
      </c>
      <c r="X48" s="142" t="s">
        <v>153</v>
      </c>
      <c r="Y48" s="143" t="s">
        <v>154</v>
      </c>
      <c r="Z48" s="144" t="s">
        <v>155</v>
      </c>
    </row>
    <row r="49" spans="1:26" hidden="1" x14ac:dyDescent="0.15">
      <c r="A49" s="247" t="s">
        <v>156</v>
      </c>
      <c r="B49" s="201"/>
      <c r="C49" s="202"/>
      <c r="D49" s="203"/>
      <c r="E49" s="204"/>
      <c r="F49" s="205"/>
      <c r="G49" s="208">
        <f t="shared" ref="G49:G65" si="14">L49+Q49+V49</f>
        <v>0</v>
      </c>
      <c r="H49" s="248">
        <f>G49/G69</f>
        <v>0</v>
      </c>
      <c r="I49" s="249" t="e">
        <f t="shared" ref="I49:I69" si="15">J49/G49</f>
        <v>#DIV/0!</v>
      </c>
      <c r="J49" s="186">
        <f t="shared" ref="J49:J65" si="16">O49+T49+Y49</f>
        <v>0</v>
      </c>
      <c r="K49" s="250">
        <f>J49/J69</f>
        <v>0</v>
      </c>
      <c r="L49" s="155"/>
      <c r="M49" s="148">
        <f>L49/L69</f>
        <v>0</v>
      </c>
      <c r="N49" s="211" t="e">
        <f>O49/L49</f>
        <v>#DIV/0!</v>
      </c>
      <c r="O49" s="159"/>
      <c r="P49" s="160">
        <f>O49/O69</f>
        <v>0</v>
      </c>
      <c r="Q49" s="215"/>
      <c r="R49" s="148">
        <f>Q49/Q69</f>
        <v>0</v>
      </c>
      <c r="S49" s="211" t="e">
        <f t="shared" ref="S49:S63" si="17">T49/Q49</f>
        <v>#DIV/0!</v>
      </c>
      <c r="T49" s="10"/>
      <c r="U49" s="148">
        <f>T49/T69</f>
        <v>0</v>
      </c>
      <c r="V49" s="155"/>
      <c r="W49" s="148"/>
      <c r="X49" s="211"/>
      <c r="Y49" s="159"/>
      <c r="Z49" s="158"/>
    </row>
    <row r="50" spans="1:26" x14ac:dyDescent="0.15">
      <c r="A50" s="212" t="s">
        <v>157</v>
      </c>
      <c r="B50" s="163"/>
      <c r="C50" s="213"/>
      <c r="D50" s="213"/>
      <c r="E50" s="213"/>
      <c r="F50" s="214"/>
      <c r="G50" s="208">
        <f t="shared" si="14"/>
        <v>476929</v>
      </c>
      <c r="H50" s="164">
        <f>G50/G69</f>
        <v>0.26566249490319976</v>
      </c>
      <c r="I50" s="251">
        <f t="shared" si="15"/>
        <v>19.00265556553018</v>
      </c>
      <c r="J50" s="186">
        <f t="shared" si="16"/>
        <v>9062917.5162127428</v>
      </c>
      <c r="K50" s="160">
        <f>J50/J69</f>
        <v>0.44018591911873489</v>
      </c>
      <c r="L50" s="215">
        <f>[7]明细表!F24</f>
        <v>152278</v>
      </c>
      <c r="M50" s="164">
        <f>L50/L69</f>
        <v>0.25104810829435725</v>
      </c>
      <c r="N50" s="216">
        <f t="shared" ref="N50:N68" si="18">O50/L50</f>
        <v>19.418171783498153</v>
      </c>
      <c r="O50" s="159">
        <f>[7]明细表!R24</f>
        <v>2956960.3628475317</v>
      </c>
      <c r="P50" s="160">
        <f>O50/O69</f>
        <v>0.42548321340210887</v>
      </c>
      <c r="Q50" s="215">
        <f>[8]明细表!F23+[8]明细表!G23</f>
        <v>189280</v>
      </c>
      <c r="R50" s="148">
        <f>Q50/Q69</f>
        <v>0.27130305158599338</v>
      </c>
      <c r="S50" s="211">
        <f t="shared" si="17"/>
        <v>19.097227863603319</v>
      </c>
      <c r="T50" s="10">
        <f>[8]明细表!S23</f>
        <v>3614723.2900228361</v>
      </c>
      <c r="U50" s="148">
        <f>T50/T69</f>
        <v>0.44705665635459518</v>
      </c>
      <c r="V50" s="155">
        <f>明细表!F23</f>
        <v>135371</v>
      </c>
      <c r="W50" s="148">
        <f>V50/V69</f>
        <v>0.27570187676296576</v>
      </c>
      <c r="X50" s="211">
        <f>Y50/V50</f>
        <v>18.403009975122984</v>
      </c>
      <c r="Y50" s="10">
        <f>明细表!R23</f>
        <v>2491233.8633423736</v>
      </c>
      <c r="Z50" s="144">
        <f>Y50/Y69</f>
        <v>0.44858133235440517</v>
      </c>
    </row>
    <row r="51" spans="1:26" x14ac:dyDescent="0.15">
      <c r="A51" s="212" t="s">
        <v>158</v>
      </c>
      <c r="B51" s="163"/>
      <c r="C51" s="213"/>
      <c r="D51" s="213"/>
      <c r="E51" s="213"/>
      <c r="F51" s="214"/>
      <c r="G51" s="208">
        <f t="shared" si="14"/>
        <v>776732</v>
      </c>
      <c r="H51" s="164">
        <f>G51/G69</f>
        <v>0.43266096419205413</v>
      </c>
      <c r="I51" s="251">
        <f t="shared" si="15"/>
        <v>7.7753398126176627</v>
      </c>
      <c r="J51" s="186">
        <f t="shared" si="16"/>
        <v>6039355.2433341425</v>
      </c>
      <c r="K51" s="160">
        <f>J51/J69</f>
        <v>0.29333149440187251</v>
      </c>
      <c r="L51" s="215">
        <f>[7]明细表!F16</f>
        <v>273440</v>
      </c>
      <c r="M51" s="164">
        <f>L51/L69</f>
        <v>0.45079784822501645</v>
      </c>
      <c r="N51" s="216">
        <f t="shared" si="18"/>
        <v>7.937814469259223</v>
      </c>
      <c r="O51" s="159">
        <f>[7]明细表!R16</f>
        <v>2170515.9884742419</v>
      </c>
      <c r="P51" s="160">
        <f>O51/O69</f>
        <v>0.31232008691091612</v>
      </c>
      <c r="Q51" s="215">
        <f>[8]明细表!F16+[8]明细表!G16</f>
        <v>296537</v>
      </c>
      <c r="R51" s="148">
        <f>Q51/Q69</f>
        <v>0.42503905858070434</v>
      </c>
      <c r="S51" s="211">
        <f t="shared" si="17"/>
        <v>7.7680865254397098</v>
      </c>
      <c r="T51" s="10">
        <f>[8]明细表!S16</f>
        <v>2303525.0739943152</v>
      </c>
      <c r="U51" s="148">
        <f>T51/T69</f>
        <v>0.28489212998717922</v>
      </c>
      <c r="V51" s="155">
        <f>明细表!F16</f>
        <v>206755</v>
      </c>
      <c r="W51" s="148">
        <f>V51/V69</f>
        <v>0.42108532499669044</v>
      </c>
      <c r="X51" s="211">
        <f t="shared" ref="X51:X65" si="19">Y51/V51</f>
        <v>7.5708649409474287</v>
      </c>
      <c r="Y51" s="10">
        <f>明细表!R16</f>
        <v>1565314.1808655856</v>
      </c>
      <c r="Z51" s="144">
        <f>Y51/Y69</f>
        <v>0.28185660573185151</v>
      </c>
    </row>
    <row r="52" spans="1:26" x14ac:dyDescent="0.15">
      <c r="A52" s="212" t="s">
        <v>159</v>
      </c>
      <c r="B52" s="163"/>
      <c r="C52" s="213"/>
      <c r="D52" s="213"/>
      <c r="E52" s="213"/>
      <c r="F52" s="214"/>
      <c r="G52" s="208">
        <f t="shared" si="14"/>
        <v>145976</v>
      </c>
      <c r="H52" s="164">
        <f>G52/G69</f>
        <v>8.1312623799327563E-2</v>
      </c>
      <c r="I52" s="251">
        <f t="shared" si="15"/>
        <v>12.693953234052191</v>
      </c>
      <c r="J52" s="186">
        <f t="shared" si="16"/>
        <v>1853012.5172940027</v>
      </c>
      <c r="K52" s="160">
        <f>J52/J69</f>
        <v>9.0000821104729359E-2</v>
      </c>
      <c r="L52" s="215">
        <f>[7]明细表!F19</f>
        <v>50410</v>
      </c>
      <c r="M52" s="164">
        <f>L52/L69</f>
        <v>8.3106785872670716E-2</v>
      </c>
      <c r="N52" s="216">
        <f t="shared" si="18"/>
        <v>12.757252599040726</v>
      </c>
      <c r="O52" s="159">
        <f>[7]明细表!R19</f>
        <v>643093.10351764294</v>
      </c>
      <c r="P52" s="160">
        <f>O52/O69</f>
        <v>9.2536012196633752E-2</v>
      </c>
      <c r="Q52" s="215">
        <f>[8]明细表!F19+[8]明细表!G19</f>
        <v>53219</v>
      </c>
      <c r="R52" s="148">
        <f>Q52/Q69</f>
        <v>7.6281049779981944E-2</v>
      </c>
      <c r="S52" s="211">
        <f t="shared" si="17"/>
        <v>12.695195344214484</v>
      </c>
      <c r="T52" s="10">
        <f>[8]明细表!S19</f>
        <v>675625.60102375061</v>
      </c>
      <c r="U52" s="148">
        <f>T52/T69</f>
        <v>8.3559071582304592E-2</v>
      </c>
      <c r="V52" s="155">
        <f>明细表!F19</f>
        <v>42347</v>
      </c>
      <c r="W52" s="148">
        <f>V52/V69</f>
        <v>8.6245557580880025E-2</v>
      </c>
      <c r="X52" s="211">
        <f t="shared" si="19"/>
        <v>12.617040469280209</v>
      </c>
      <c r="Y52" s="10">
        <f>明细表!R19</f>
        <v>534293.81275260902</v>
      </c>
      <c r="Z52" s="144">
        <f>Y52/Y69</f>
        <v>9.6207037773531442E-2</v>
      </c>
    </row>
    <row r="53" spans="1:26" hidden="1" x14ac:dyDescent="0.15">
      <c r="A53" s="212" t="s">
        <v>160</v>
      </c>
      <c r="B53" s="163"/>
      <c r="C53" s="213"/>
      <c r="D53" s="213"/>
      <c r="E53" s="213"/>
      <c r="F53" s="214"/>
      <c r="G53" s="208"/>
      <c r="H53" s="164"/>
      <c r="I53" s="251"/>
      <c r="J53" s="186"/>
      <c r="K53" s="160"/>
      <c r="L53" s="215"/>
      <c r="M53" s="164"/>
      <c r="N53" s="216"/>
      <c r="O53" s="10"/>
      <c r="P53" s="160"/>
      <c r="Q53" s="215"/>
      <c r="R53" s="148"/>
      <c r="S53" s="211"/>
      <c r="T53" s="10"/>
      <c r="U53" s="148"/>
      <c r="V53" s="155"/>
      <c r="W53" s="148"/>
      <c r="X53" s="211"/>
      <c r="Y53" s="10"/>
      <c r="Z53" s="144"/>
    </row>
    <row r="54" spans="1:26" x14ac:dyDescent="0.15">
      <c r="A54" s="212" t="s">
        <v>161</v>
      </c>
      <c r="B54" s="163"/>
      <c r="C54" s="213"/>
      <c r="D54" s="213"/>
      <c r="E54" s="213"/>
      <c r="F54" s="214"/>
      <c r="G54" s="208">
        <f t="shared" si="14"/>
        <v>37348</v>
      </c>
      <c r="H54" s="164">
        <f>G54/G69</f>
        <v>2.0803857302962716E-2</v>
      </c>
      <c r="I54" s="251">
        <f t="shared" si="15"/>
        <v>5.0234590920046394</v>
      </c>
      <c r="J54" s="186">
        <f t="shared" si="16"/>
        <v>187616.15016818926</v>
      </c>
      <c r="K54" s="160">
        <f>J54/J69</f>
        <v>9.1125167315673009E-3</v>
      </c>
      <c r="L54" s="215">
        <f>[7]明细表!F5</f>
        <v>13255</v>
      </c>
      <c r="M54" s="164">
        <f>L54/L69</f>
        <v>2.1852419098239442E-2</v>
      </c>
      <c r="N54" s="216">
        <f t="shared" si="18"/>
        <v>5.2190145615822487</v>
      </c>
      <c r="O54" s="10">
        <f>[7]明细表!R5</f>
        <v>69178.038013772704</v>
      </c>
      <c r="P54" s="160">
        <f>O54/O69</f>
        <v>9.9541726296961345E-3</v>
      </c>
      <c r="Q54" s="215">
        <f>[8]明细表!G6</f>
        <v>13687</v>
      </c>
      <c r="R54" s="148">
        <f>Q54/Q69</f>
        <v>1.9618157581664682E-2</v>
      </c>
      <c r="S54" s="211">
        <f t="shared" si="17"/>
        <v>5.294796915614187</v>
      </c>
      <c r="T54" s="10">
        <f>[8]明细表!S6</f>
        <v>72469.885384011373</v>
      </c>
      <c r="U54" s="148">
        <f>T54/T69</f>
        <v>8.9628284232988135E-3</v>
      </c>
      <c r="V54" s="155">
        <f>明细表!F5</f>
        <v>10406</v>
      </c>
      <c r="W54" s="148">
        <f>V54/V69</f>
        <v>2.1193266871009461E-2</v>
      </c>
      <c r="X54" s="211">
        <f t="shared" si="19"/>
        <v>4.4174732625797795</v>
      </c>
      <c r="Y54" s="10">
        <f>明细表!R5</f>
        <v>45968.226770405185</v>
      </c>
      <c r="Z54" s="144">
        <f>Y54/Y69</f>
        <v>8.2772190576167887E-3</v>
      </c>
    </row>
    <row r="55" spans="1:26" x14ac:dyDescent="0.15">
      <c r="A55" s="219" t="s">
        <v>9</v>
      </c>
      <c r="B55" s="163"/>
      <c r="C55" s="213"/>
      <c r="D55" s="213"/>
      <c r="E55" s="213"/>
      <c r="F55" s="214"/>
      <c r="G55" s="208">
        <f t="shared" si="14"/>
        <v>18797</v>
      </c>
      <c r="H55" s="164">
        <f>G55/G69</f>
        <v>1.0470443014988493E-2</v>
      </c>
      <c r="I55" s="251">
        <f t="shared" si="15"/>
        <v>7.1085306171758011</v>
      </c>
      <c r="J55" s="186">
        <f t="shared" si="16"/>
        <v>133619.05001105354</v>
      </c>
      <c r="K55" s="160">
        <f>J55/J69</f>
        <v>6.4898774854420874E-3</v>
      </c>
      <c r="L55" s="215">
        <f>[7]明细表!F7</f>
        <v>7071</v>
      </c>
      <c r="M55" s="164">
        <f>L55/L69</f>
        <v>1.1657371214157004E-2</v>
      </c>
      <c r="N55" s="216">
        <f t="shared" si="18"/>
        <v>6.9359399551563126</v>
      </c>
      <c r="O55" s="10">
        <f>[7]明细表!R7</f>
        <v>49044.031422910288</v>
      </c>
      <c r="P55" s="160">
        <f>O55/O69</f>
        <v>7.0570482953375485E-3</v>
      </c>
      <c r="Q55" s="215">
        <f>[8]明细表!G8</f>
        <v>6805</v>
      </c>
      <c r="R55" s="148">
        <f>Q55/Q69</f>
        <v>9.7538951080023504E-3</v>
      </c>
      <c r="S55" s="211">
        <f t="shared" si="17"/>
        <v>7.4402625896950312</v>
      </c>
      <c r="T55" s="10">
        <f>[8]明细表!S8</f>
        <v>50630.98692287469</v>
      </c>
      <c r="U55" s="148">
        <f>T55/T69</f>
        <v>6.2618678957112083E-3</v>
      </c>
      <c r="V55" s="155">
        <f>明细表!F7</f>
        <v>4921</v>
      </c>
      <c r="W55" s="148">
        <f>V55/V69</f>
        <v>1.0022301198562133E-2</v>
      </c>
      <c r="X55" s="211">
        <f t="shared" si="19"/>
        <v>6.8977914377704863</v>
      </c>
      <c r="Y55" s="10">
        <f>明细表!R7</f>
        <v>33944.031665268565</v>
      </c>
      <c r="Z55" s="144">
        <f>Y55/Y69</f>
        <v>6.1120953652490035E-3</v>
      </c>
    </row>
    <row r="56" spans="1:26" hidden="1" x14ac:dyDescent="0.15">
      <c r="A56" s="219" t="s">
        <v>162</v>
      </c>
      <c r="B56" s="163"/>
      <c r="C56" s="29"/>
      <c r="D56" s="29"/>
      <c r="E56" s="29"/>
      <c r="F56" s="80"/>
      <c r="G56" s="208">
        <f t="shared" si="14"/>
        <v>0</v>
      </c>
      <c r="H56" s="164">
        <f>G56/G69</f>
        <v>0</v>
      </c>
      <c r="I56" s="251" t="e">
        <f t="shared" si="15"/>
        <v>#DIV/0!</v>
      </c>
      <c r="J56" s="174">
        <f t="shared" si="16"/>
        <v>0</v>
      </c>
      <c r="K56" s="160">
        <f>J56/J69</f>
        <v>0</v>
      </c>
      <c r="L56" s="215"/>
      <c r="M56" s="164">
        <f>L56/L69</f>
        <v>0</v>
      </c>
      <c r="N56" s="216" t="e">
        <f t="shared" si="18"/>
        <v>#DIV/0!</v>
      </c>
      <c r="O56" s="10"/>
      <c r="P56" s="160">
        <f>O56/O69</f>
        <v>0</v>
      </c>
      <c r="Q56" s="215"/>
      <c r="R56" s="148">
        <f>Q56/Q69</f>
        <v>0</v>
      </c>
      <c r="S56" s="211" t="e">
        <f t="shared" si="17"/>
        <v>#DIV/0!</v>
      </c>
      <c r="T56" s="10"/>
      <c r="U56" s="148">
        <f>T56/T69</f>
        <v>0</v>
      </c>
      <c r="V56" s="155"/>
      <c r="W56" s="148">
        <f>V56/V69</f>
        <v>0</v>
      </c>
      <c r="X56" s="211" t="e">
        <f t="shared" si="19"/>
        <v>#DIV/0!</v>
      </c>
      <c r="Y56" s="10"/>
      <c r="Z56" s="144">
        <f>Y56/Y69</f>
        <v>0</v>
      </c>
    </row>
    <row r="57" spans="1:26" hidden="1" x14ac:dyDescent="0.15">
      <c r="A57" s="219" t="s">
        <v>163</v>
      </c>
      <c r="B57" s="163"/>
      <c r="C57" s="29"/>
      <c r="D57" s="29"/>
      <c r="E57" s="29"/>
      <c r="F57" s="80"/>
      <c r="G57" s="208"/>
      <c r="H57" s="164"/>
      <c r="I57" s="251"/>
      <c r="J57" s="174"/>
      <c r="K57" s="160"/>
      <c r="L57" s="215"/>
      <c r="M57" s="164"/>
      <c r="N57" s="216"/>
      <c r="O57" s="10"/>
      <c r="P57" s="160"/>
      <c r="Q57" s="215"/>
      <c r="R57" s="148"/>
      <c r="S57" s="211"/>
      <c r="T57" s="10"/>
      <c r="U57" s="148"/>
      <c r="V57" s="155"/>
      <c r="W57" s="148"/>
      <c r="X57" s="211"/>
      <c r="Y57" s="10"/>
      <c r="Z57" s="144"/>
    </row>
    <row r="58" spans="1:26" hidden="1" x14ac:dyDescent="0.15">
      <c r="A58" s="219" t="s">
        <v>164</v>
      </c>
      <c r="B58" s="163"/>
      <c r="C58" s="29"/>
      <c r="D58" s="29"/>
      <c r="E58" s="29"/>
      <c r="F58" s="80"/>
      <c r="G58" s="208">
        <f t="shared" si="14"/>
        <v>0</v>
      </c>
      <c r="H58" s="164">
        <f>G58/G69</f>
        <v>0</v>
      </c>
      <c r="I58" s="251" t="e">
        <f t="shared" si="15"/>
        <v>#DIV/0!</v>
      </c>
      <c r="J58" s="174">
        <f t="shared" si="16"/>
        <v>0</v>
      </c>
      <c r="K58" s="160">
        <f>J58/J69</f>
        <v>0</v>
      </c>
      <c r="L58" s="215"/>
      <c r="M58" s="164">
        <f>L58/L69</f>
        <v>0</v>
      </c>
      <c r="N58" s="216" t="e">
        <f t="shared" si="18"/>
        <v>#DIV/0!</v>
      </c>
      <c r="O58" s="10"/>
      <c r="P58" s="160">
        <f>O58/O69</f>
        <v>0</v>
      </c>
      <c r="Q58" s="215"/>
      <c r="R58" s="148">
        <f>Q58/Q69</f>
        <v>0</v>
      </c>
      <c r="S58" s="211" t="e">
        <f t="shared" si="17"/>
        <v>#DIV/0!</v>
      </c>
      <c r="T58" s="10"/>
      <c r="U58" s="148">
        <f>T58/T69</f>
        <v>0</v>
      </c>
      <c r="V58" s="155"/>
      <c r="W58" s="148">
        <f>V58/V69</f>
        <v>0</v>
      </c>
      <c r="X58" s="211" t="e">
        <f t="shared" si="19"/>
        <v>#DIV/0!</v>
      </c>
      <c r="Y58" s="10"/>
      <c r="Z58" s="144">
        <f>Y58/Y69</f>
        <v>0</v>
      </c>
    </row>
    <row r="59" spans="1:26" x14ac:dyDescent="0.15">
      <c r="A59" s="212" t="s">
        <v>165</v>
      </c>
      <c r="B59" s="163"/>
      <c r="C59" s="29"/>
      <c r="D59" s="29"/>
      <c r="E59" s="29"/>
      <c r="F59" s="80"/>
      <c r="G59" s="208">
        <f t="shared" si="14"/>
        <v>91997</v>
      </c>
      <c r="H59" s="164">
        <f>G59/G69</f>
        <v>5.12448447119166E-2</v>
      </c>
      <c r="I59" s="251">
        <f t="shared" si="15"/>
        <v>3.2408951702758846</v>
      </c>
      <c r="J59" s="174">
        <f t="shared" si="16"/>
        <v>298152.63297987054</v>
      </c>
      <c r="K59" s="160">
        <f>J59/J69</f>
        <v>1.4481273889024586E-2</v>
      </c>
      <c r="L59" s="215">
        <f>[7]明细表!F3</f>
        <v>32366</v>
      </c>
      <c r="M59" s="164">
        <f>L59/L69</f>
        <v>5.335913968567467E-2</v>
      </c>
      <c r="N59" s="216">
        <f t="shared" si="18"/>
        <v>3.5645419799758824</v>
      </c>
      <c r="O59" s="10">
        <f>[7]明细表!R3</f>
        <v>115369.96572389941</v>
      </c>
      <c r="P59" s="160">
        <f>O59/O69</f>
        <v>1.6600825754398852E-2</v>
      </c>
      <c r="Q59" s="215">
        <f>[8]明细表!G4</f>
        <v>33991</v>
      </c>
      <c r="R59" s="148">
        <f>Q59/Q69</f>
        <v>4.8720741898032022E-2</v>
      </c>
      <c r="S59" s="211">
        <f t="shared" si="17"/>
        <v>3.3973676164929834</v>
      </c>
      <c r="T59" s="10">
        <f>[8]明细表!S4</f>
        <v>115479.92265221299</v>
      </c>
      <c r="U59" s="148">
        <f>T59/T69</f>
        <v>1.4282163240401028E-2</v>
      </c>
      <c r="V59" s="155">
        <f>明细表!F3</f>
        <v>25640</v>
      </c>
      <c r="W59" s="148">
        <f>V59/V69</f>
        <v>5.2219427500738283E-2</v>
      </c>
      <c r="X59" s="211">
        <f t="shared" si="19"/>
        <v>2.6249120360280078</v>
      </c>
      <c r="Y59" s="10">
        <f>明细表!R3</f>
        <v>67302.744603758125</v>
      </c>
      <c r="Z59" s="144">
        <f>Y59/Y69</f>
        <v>1.2118795946742844E-2</v>
      </c>
    </row>
    <row r="60" spans="1:26" hidden="1" x14ac:dyDescent="0.15">
      <c r="A60" s="212" t="s">
        <v>166</v>
      </c>
      <c r="B60" s="163"/>
      <c r="C60" s="29"/>
      <c r="D60" s="29"/>
      <c r="E60" s="29"/>
      <c r="F60" s="80"/>
      <c r="G60" s="208"/>
      <c r="H60" s="171"/>
      <c r="I60" s="251"/>
      <c r="J60" s="174"/>
      <c r="K60" s="172"/>
      <c r="L60" s="215"/>
      <c r="M60" s="171"/>
      <c r="N60" s="216"/>
      <c r="O60" s="10"/>
      <c r="P60" s="172"/>
      <c r="Q60" s="215"/>
      <c r="R60" s="148"/>
      <c r="S60" s="211"/>
      <c r="T60" s="10"/>
      <c r="U60" s="148"/>
      <c r="V60" s="155"/>
      <c r="W60" s="148"/>
      <c r="X60" s="211"/>
      <c r="Y60" s="10"/>
      <c r="Z60" s="144"/>
    </row>
    <row r="61" spans="1:26" hidden="1" x14ac:dyDescent="0.15">
      <c r="A61" s="212" t="s">
        <v>167</v>
      </c>
      <c r="B61" s="163"/>
      <c r="C61" s="29"/>
      <c r="D61" s="29"/>
      <c r="E61" s="29"/>
      <c r="F61" s="80"/>
      <c r="G61" s="208">
        <f t="shared" si="14"/>
        <v>0</v>
      </c>
      <c r="H61" s="170">
        <f>G61/G69</f>
        <v>0</v>
      </c>
      <c r="I61" s="251" t="e">
        <f t="shared" si="15"/>
        <v>#DIV/0!</v>
      </c>
      <c r="J61" s="174">
        <f t="shared" si="16"/>
        <v>0</v>
      </c>
      <c r="K61" s="222">
        <f>J61/J69</f>
        <v>0</v>
      </c>
      <c r="L61" s="252"/>
      <c r="M61" s="170">
        <f>L61/L69</f>
        <v>0</v>
      </c>
      <c r="N61" s="216" t="e">
        <f t="shared" si="18"/>
        <v>#DIV/0!</v>
      </c>
      <c r="O61" s="10"/>
      <c r="P61" s="222">
        <f>O61/O69</f>
        <v>0</v>
      </c>
      <c r="Q61" s="252"/>
      <c r="R61" s="148">
        <f>Q61/Q69</f>
        <v>0</v>
      </c>
      <c r="S61" s="211" t="e">
        <f t="shared" si="17"/>
        <v>#DIV/0!</v>
      </c>
      <c r="T61" s="253"/>
      <c r="U61" s="148">
        <f>T61/T69</f>
        <v>0</v>
      </c>
      <c r="V61" s="155"/>
      <c r="W61" s="148">
        <f>V61/V69</f>
        <v>0</v>
      </c>
      <c r="X61" s="211" t="e">
        <f t="shared" si="19"/>
        <v>#DIV/0!</v>
      </c>
      <c r="Y61" s="10"/>
      <c r="Z61" s="144">
        <f>Y61/Y69</f>
        <v>0</v>
      </c>
    </row>
    <row r="62" spans="1:26" hidden="1" x14ac:dyDescent="0.15">
      <c r="A62" s="212" t="s">
        <v>168</v>
      </c>
      <c r="B62" s="163"/>
      <c r="C62" s="29"/>
      <c r="D62" s="29"/>
      <c r="E62" s="29"/>
      <c r="F62" s="80"/>
      <c r="G62" s="208">
        <f t="shared" si="14"/>
        <v>0</v>
      </c>
      <c r="H62" s="170">
        <f>G62/G69</f>
        <v>0</v>
      </c>
      <c r="I62" s="251" t="e">
        <f t="shared" si="15"/>
        <v>#DIV/0!</v>
      </c>
      <c r="J62" s="174">
        <f t="shared" si="16"/>
        <v>0</v>
      </c>
      <c r="K62" s="222">
        <f>J62/J69</f>
        <v>0</v>
      </c>
      <c r="L62" s="252"/>
      <c r="M62" s="170">
        <f>L62/L69</f>
        <v>0</v>
      </c>
      <c r="N62" s="216" t="e">
        <f>O62/L62</f>
        <v>#DIV/0!</v>
      </c>
      <c r="O62" s="10"/>
      <c r="P62" s="222">
        <f>O62/O69</f>
        <v>0</v>
      </c>
      <c r="Q62" s="252"/>
      <c r="R62" s="148">
        <f>Q62/Q69</f>
        <v>0</v>
      </c>
      <c r="S62" s="211" t="e">
        <f t="shared" si="17"/>
        <v>#DIV/0!</v>
      </c>
      <c r="T62" s="253"/>
      <c r="U62" s="148">
        <f>T62/T69</f>
        <v>0</v>
      </c>
      <c r="V62" s="155"/>
      <c r="W62" s="148">
        <f>V62/V69</f>
        <v>0</v>
      </c>
      <c r="X62" s="211" t="e">
        <f t="shared" si="19"/>
        <v>#DIV/0!</v>
      </c>
      <c r="Y62" s="10"/>
      <c r="Z62" s="144">
        <f>Y62/Y69</f>
        <v>0</v>
      </c>
    </row>
    <row r="63" spans="1:26" s="87" customFormat="1" x14ac:dyDescent="0.15">
      <c r="A63" s="219" t="s">
        <v>169</v>
      </c>
      <c r="B63" s="169"/>
      <c r="C63" s="171"/>
      <c r="D63" s="189"/>
      <c r="E63" s="189"/>
      <c r="F63" s="172"/>
      <c r="G63" s="208">
        <f t="shared" si="14"/>
        <v>241900</v>
      </c>
      <c r="H63" s="164">
        <f>G63/G69</f>
        <v>0.13474491489736215</v>
      </c>
      <c r="I63" s="251">
        <f t="shared" si="15"/>
        <v>12.052802171788976</v>
      </c>
      <c r="J63" s="174">
        <f t="shared" si="16"/>
        <v>2915572.8453557533</v>
      </c>
      <c r="K63" s="160">
        <f>J63/J69</f>
        <v>0.14160937803909954</v>
      </c>
      <c r="L63" s="215">
        <f>[7]明细表!F27</f>
        <v>77749</v>
      </c>
      <c r="M63" s="164">
        <f>L63/L69</f>
        <v>0.12817832760988446</v>
      </c>
      <c r="N63" s="216">
        <f t="shared" si="18"/>
        <v>12.160809013620755</v>
      </c>
      <c r="O63" s="216">
        <f>[7]明细表!R27</f>
        <v>945490.74</v>
      </c>
      <c r="P63" s="160">
        <f>O63/O69</f>
        <v>0.13604864081090862</v>
      </c>
      <c r="Q63" s="215">
        <f>[8]明细表!G26</f>
        <v>104151</v>
      </c>
      <c r="R63" s="171">
        <f>Q63/Q69</f>
        <v>0.1492840454656213</v>
      </c>
      <c r="S63" s="211">
        <f t="shared" si="17"/>
        <v>12.03204664381523</v>
      </c>
      <c r="T63" s="228">
        <f>[8]明细表!S26</f>
        <v>1253149.69</v>
      </c>
      <c r="U63" s="171">
        <f>T63/T69</f>
        <v>0.15498528251650992</v>
      </c>
      <c r="V63" s="155">
        <f>明细表!F24</f>
        <v>60000</v>
      </c>
      <c r="W63" s="148">
        <f>V63/V69</f>
        <v>0.12219834828565901</v>
      </c>
      <c r="X63" s="211">
        <f t="shared" si="19"/>
        <v>11.948873589262563</v>
      </c>
      <c r="Y63" s="10">
        <f>明细表!R24</f>
        <v>716932.41535575374</v>
      </c>
      <c r="Z63" s="144">
        <f>Y63/Y69</f>
        <v>0.12909366030247621</v>
      </c>
    </row>
    <row r="64" spans="1:26" s="87" customFormat="1" x14ac:dyDescent="0.15">
      <c r="A64" s="219" t="s">
        <v>170</v>
      </c>
      <c r="B64" s="169"/>
      <c r="C64" s="171"/>
      <c r="D64" s="189"/>
      <c r="E64" s="189"/>
      <c r="F64" s="172"/>
      <c r="G64" s="208"/>
      <c r="H64" s="164"/>
      <c r="I64" s="251"/>
      <c r="J64" s="174"/>
      <c r="K64" s="160"/>
      <c r="L64" s="215"/>
      <c r="M64" s="164"/>
      <c r="N64" s="216"/>
      <c r="O64" s="216"/>
      <c r="P64" s="160"/>
      <c r="Q64" s="215"/>
      <c r="R64" s="171"/>
      <c r="S64" s="211"/>
      <c r="T64" s="228"/>
      <c r="U64" s="171"/>
      <c r="V64" s="155"/>
      <c r="W64" s="148"/>
      <c r="X64" s="211"/>
      <c r="Y64" s="10"/>
      <c r="Z64" s="144"/>
    </row>
    <row r="65" spans="1:26" s="87" customFormat="1" x14ac:dyDescent="0.15">
      <c r="A65" s="219" t="str">
        <f>明细表!C26</f>
        <v>高铁配餐【阿里年会专供】</v>
      </c>
      <c r="B65" s="169"/>
      <c r="C65" s="171"/>
      <c r="D65" s="189"/>
      <c r="E65" s="189"/>
      <c r="F65" s="172"/>
      <c r="G65" s="208">
        <f t="shared" si="14"/>
        <v>5565</v>
      </c>
      <c r="H65" s="164">
        <f>G65/G69</f>
        <v>3.0998571781885916E-3</v>
      </c>
      <c r="I65" s="251">
        <f t="shared" si="15"/>
        <v>17.716832820170023</v>
      </c>
      <c r="J65" s="174">
        <f t="shared" si="16"/>
        <v>98594.174644246174</v>
      </c>
      <c r="K65" s="160">
        <f>J65/J69</f>
        <v>4.7887192295298173E-3</v>
      </c>
      <c r="L65" s="215"/>
      <c r="M65" s="164"/>
      <c r="N65" s="216"/>
      <c r="O65" s="216"/>
      <c r="P65" s="160"/>
      <c r="Q65" s="215"/>
      <c r="R65" s="171"/>
      <c r="S65" s="211"/>
      <c r="T65" s="228"/>
      <c r="U65" s="171"/>
      <c r="V65" s="155">
        <f>明细表!F26</f>
        <v>5565</v>
      </c>
      <c r="W65" s="148">
        <f>V65/V69</f>
        <v>1.1333896803494873E-2</v>
      </c>
      <c r="X65" s="211">
        <f t="shared" si="19"/>
        <v>17.716832820170023</v>
      </c>
      <c r="Y65" s="10">
        <f>明细表!R26</f>
        <v>98594.174644246174</v>
      </c>
      <c r="Z65" s="144">
        <f>Y65/Y69</f>
        <v>1.7753253468127176E-2</v>
      </c>
    </row>
    <row r="66" spans="1:26" x14ac:dyDescent="0.15">
      <c r="A66" s="227" t="s">
        <v>171</v>
      </c>
      <c r="B66" s="175"/>
      <c r="C66" s="29"/>
      <c r="D66" s="29"/>
      <c r="E66" s="29"/>
      <c r="F66" s="80"/>
      <c r="G66" s="208"/>
      <c r="H66" s="164"/>
      <c r="I66" s="251"/>
      <c r="J66" s="174"/>
      <c r="K66" s="160"/>
      <c r="L66" s="215"/>
      <c r="M66" s="164"/>
      <c r="N66" s="216"/>
      <c r="O66" s="216"/>
      <c r="P66" s="160"/>
      <c r="Q66" s="215"/>
      <c r="R66" s="148"/>
      <c r="S66" s="211"/>
      <c r="T66" s="228"/>
      <c r="U66" s="148"/>
      <c r="V66" s="155"/>
      <c r="W66" s="148"/>
      <c r="X66" s="211"/>
      <c r="Y66" s="10"/>
      <c r="Z66" s="144"/>
    </row>
    <row r="67" spans="1:26" x14ac:dyDescent="0.15">
      <c r="A67" s="227" t="s">
        <v>172</v>
      </c>
      <c r="B67" s="175"/>
      <c r="C67" s="29"/>
      <c r="D67" s="29"/>
      <c r="E67" s="29"/>
      <c r="F67" s="80"/>
      <c r="G67" s="208">
        <f>L67+Q67+V67</f>
        <v>15</v>
      </c>
      <c r="H67" s="164">
        <f>G67/G69</f>
        <v>8.3554101837967428E-6</v>
      </c>
      <c r="I67" s="251">
        <f>J67/G67</f>
        <v>13.613638745711759</v>
      </c>
      <c r="J67" s="174">
        <f>O67+T67+Y67</f>
        <v>204.20458118567637</v>
      </c>
      <c r="K67" s="160">
        <f>J67/J69</f>
        <v>9.9182168541942227E-6</v>
      </c>
      <c r="L67" s="215"/>
      <c r="M67" s="164"/>
      <c r="N67" s="216"/>
      <c r="O67" s="216"/>
      <c r="P67" s="160"/>
      <c r="Q67" s="215">
        <f>[8]明细表!F27</f>
        <v>15</v>
      </c>
      <c r="R67" s="148">
        <f>Q67/Q69</f>
        <v>2.1500136167529062E-5</v>
      </c>
      <c r="S67" s="211">
        <f>S50</f>
        <v>19.097227863603319</v>
      </c>
      <c r="T67" s="216">
        <f>[8]明细表!F23*[8]汇总表!S49+[8]明细表!F19*[8]汇总表!S51+[8]汇总表!S50*[8]明细表!F16</f>
        <v>204.20458118567637</v>
      </c>
      <c r="U67" s="148">
        <f>T67/T69</f>
        <v>2.5255326605257861E-5</v>
      </c>
      <c r="V67" s="155"/>
      <c r="W67" s="148"/>
      <c r="X67" s="211"/>
      <c r="Y67" s="10"/>
      <c r="Z67" s="144"/>
    </row>
    <row r="68" spans="1:26" x14ac:dyDescent="0.15">
      <c r="A68" s="254" t="s">
        <v>173</v>
      </c>
      <c r="B68" s="179"/>
      <c r="C68" s="29"/>
      <c r="D68" s="29"/>
      <c r="E68" s="29"/>
      <c r="F68" s="80"/>
      <c r="G68" s="208">
        <f>L68+Q68+V68</f>
        <v>1795229</v>
      </c>
      <c r="H68" s="236"/>
      <c r="I68" s="251">
        <f t="shared" si="15"/>
        <v>11.468529043046217</v>
      </c>
      <c r="J68" s="174">
        <f>O68+T68+Y68</f>
        <v>20588635.925418817</v>
      </c>
      <c r="K68" s="246"/>
      <c r="L68" s="243">
        <f>SUM(L49:L63)-L66</f>
        <v>606569</v>
      </c>
      <c r="M68" s="236"/>
      <c r="N68" s="216">
        <f t="shared" si="18"/>
        <v>11.457315210635558</v>
      </c>
      <c r="O68" s="10">
        <f>SUM(O49:O63)-O66</f>
        <v>6949652.2299999995</v>
      </c>
      <c r="P68" s="246"/>
      <c r="Q68" s="243">
        <f>SUM(Q49:Q63)-Q66-Q67</f>
        <v>697655</v>
      </c>
      <c r="R68" s="148"/>
      <c r="S68" s="211">
        <f>T68/Q68</f>
        <v>11.589396256629446</v>
      </c>
      <c r="T68" s="10">
        <f>SUM(T49:T63)-T66-T67</f>
        <v>8085400.2454188159</v>
      </c>
      <c r="U68" s="141"/>
      <c r="V68" s="145">
        <f>SUM(V49:V65)-V66</f>
        <v>491005</v>
      </c>
      <c r="W68" s="5"/>
      <c r="X68" s="211">
        <f>Y68/V68</f>
        <v>11.310645410942861</v>
      </c>
      <c r="Y68" s="10">
        <f>SUM(Y49:Y65)-Y66</f>
        <v>5553583.4499999993</v>
      </c>
      <c r="Z68" s="144"/>
    </row>
    <row r="69" spans="1:26" ht="14.25" thickBot="1" x14ac:dyDescent="0.2">
      <c r="A69" s="255" t="s">
        <v>177</v>
      </c>
      <c r="B69" s="232"/>
      <c r="C69" s="256"/>
      <c r="D69" s="256"/>
      <c r="E69" s="256"/>
      <c r="F69" s="257"/>
      <c r="G69" s="208">
        <f>L69+Q69+V69</f>
        <v>1795244</v>
      </c>
      <c r="H69" s="164"/>
      <c r="I69" s="251">
        <f t="shared" si="15"/>
        <v>11.468546966317669</v>
      </c>
      <c r="J69" s="253">
        <f>O69+T69+Y69</f>
        <v>20588840.129999999</v>
      </c>
      <c r="K69" s="160"/>
      <c r="L69" s="166">
        <f>SUM(L49:L63)</f>
        <v>606569</v>
      </c>
      <c r="M69" s="164"/>
      <c r="N69" s="216">
        <f>O69/L69</f>
        <v>11.457315210635558</v>
      </c>
      <c r="O69" s="149">
        <f>SUM(O49:O63)</f>
        <v>6949652.2299999995</v>
      </c>
      <c r="P69" s="160"/>
      <c r="Q69" s="166">
        <f>SUM(Q49:Q63)</f>
        <v>697670</v>
      </c>
      <c r="R69" s="148"/>
      <c r="S69" s="258">
        <f>T69/Q69</f>
        <v>11.589439778118596</v>
      </c>
      <c r="T69" s="149">
        <f>SUM(T49:T63)</f>
        <v>8085604.4500000011</v>
      </c>
      <c r="U69" s="141"/>
      <c r="V69" s="145">
        <f>SUM(V49:V65)</f>
        <v>491005</v>
      </c>
      <c r="W69" s="5"/>
      <c r="X69" s="211">
        <f>Y69/V69</f>
        <v>11.310645410942861</v>
      </c>
      <c r="Y69" s="10">
        <f>SUM(Y49:Y65)</f>
        <v>5553583.4499999993</v>
      </c>
      <c r="Z69" s="144"/>
    </row>
    <row r="70" spans="1:26" x14ac:dyDescent="0.15">
      <c r="A70" s="427" t="s">
        <v>145</v>
      </c>
      <c r="B70" s="436"/>
      <c r="C70" s="437"/>
      <c r="D70" s="437"/>
      <c r="E70" s="437"/>
      <c r="F70" s="438"/>
      <c r="G70" s="439" t="s">
        <v>180</v>
      </c>
      <c r="H70" s="440"/>
      <c r="I70" s="440"/>
      <c r="J70" s="440"/>
      <c r="K70" s="441"/>
      <c r="L70" s="424" t="s">
        <v>54</v>
      </c>
      <c r="M70" s="425"/>
      <c r="N70" s="425"/>
      <c r="O70" s="425"/>
      <c r="P70" s="426"/>
      <c r="Q70" s="424" t="s">
        <v>55</v>
      </c>
      <c r="R70" s="425"/>
      <c r="S70" s="425"/>
      <c r="T70" s="425"/>
      <c r="U70" s="426"/>
      <c r="V70" s="424" t="s">
        <v>56</v>
      </c>
      <c r="W70" s="425"/>
      <c r="X70" s="425"/>
      <c r="Y70" s="425"/>
      <c r="Z70" s="426"/>
    </row>
    <row r="71" spans="1:26" x14ac:dyDescent="0.15">
      <c r="A71" s="428"/>
      <c r="B71" s="259" t="s">
        <v>151</v>
      </c>
      <c r="C71" s="260" t="s">
        <v>152</v>
      </c>
      <c r="D71" s="224" t="s">
        <v>153</v>
      </c>
      <c r="E71" s="261" t="s">
        <v>154</v>
      </c>
      <c r="F71" s="262" t="s">
        <v>155</v>
      </c>
      <c r="G71" s="263" t="s">
        <v>151</v>
      </c>
      <c r="H71" s="264" t="s">
        <v>152</v>
      </c>
      <c r="I71" s="265" t="s">
        <v>153</v>
      </c>
      <c r="J71" s="266" t="s">
        <v>154</v>
      </c>
      <c r="K71" s="267" t="s">
        <v>155</v>
      </c>
      <c r="L71" s="145" t="s">
        <v>151</v>
      </c>
      <c r="M71" s="141" t="s">
        <v>152</v>
      </c>
      <c r="N71" s="142" t="s">
        <v>153</v>
      </c>
      <c r="O71" s="143" t="s">
        <v>154</v>
      </c>
      <c r="P71" s="144" t="s">
        <v>155</v>
      </c>
      <c r="Q71" s="145" t="s">
        <v>151</v>
      </c>
      <c r="R71" s="141" t="s">
        <v>152</v>
      </c>
      <c r="S71" s="142" t="s">
        <v>153</v>
      </c>
      <c r="T71" s="143" t="s">
        <v>154</v>
      </c>
      <c r="U71" s="144" t="s">
        <v>155</v>
      </c>
      <c r="V71" s="145" t="s">
        <v>151</v>
      </c>
      <c r="W71" s="141" t="s">
        <v>152</v>
      </c>
      <c r="X71" s="142" t="s">
        <v>153</v>
      </c>
      <c r="Y71" s="143" t="s">
        <v>154</v>
      </c>
      <c r="Z71" s="144" t="s">
        <v>155</v>
      </c>
    </row>
    <row r="72" spans="1:26" x14ac:dyDescent="0.15">
      <c r="A72" s="146" t="s">
        <v>156</v>
      </c>
      <c r="B72" s="259"/>
      <c r="C72" s="260"/>
      <c r="D72" s="224"/>
      <c r="E72" s="261"/>
      <c r="F72" s="262"/>
      <c r="G72" s="268"/>
      <c r="H72" s="269"/>
      <c r="I72" s="174"/>
      <c r="J72" s="174"/>
      <c r="K72" s="270"/>
      <c r="L72" s="155"/>
      <c r="M72" s="148"/>
      <c r="N72" s="211"/>
      <c r="O72" s="159"/>
      <c r="P72" s="271"/>
      <c r="Q72" s="155"/>
      <c r="R72" s="148"/>
      <c r="S72" s="211"/>
      <c r="T72" s="159"/>
      <c r="U72" s="158"/>
      <c r="V72" s="155"/>
      <c r="W72" s="148"/>
      <c r="X72" s="211"/>
      <c r="Y72" s="159"/>
      <c r="Z72" s="271"/>
    </row>
    <row r="73" spans="1:26" x14ac:dyDescent="0.15">
      <c r="A73" s="212" t="s">
        <v>157</v>
      </c>
      <c r="B73" s="163"/>
      <c r="C73" s="29"/>
      <c r="D73" s="29"/>
      <c r="E73" s="29"/>
      <c r="F73" s="80"/>
      <c r="G73" s="268">
        <f>L73+Q73+V73</f>
        <v>0</v>
      </c>
      <c r="H73" s="171" t="e">
        <f>G73/G91</f>
        <v>#DIV/0!</v>
      </c>
      <c r="I73" s="272" t="e">
        <f>J73/G73</f>
        <v>#DIV/0!</v>
      </c>
      <c r="J73" s="174">
        <f>O73+T73+Y73</f>
        <v>0</v>
      </c>
      <c r="K73" s="172" t="e">
        <f>J73/J91</f>
        <v>#DIV/0!</v>
      </c>
      <c r="L73" s="165"/>
      <c r="M73" s="164" t="e">
        <f>L73/L91</f>
        <v>#DIV/0!</v>
      </c>
      <c r="N73" s="273" t="e">
        <f>O73/L73</f>
        <v>#DIV/0!</v>
      </c>
      <c r="O73" s="156"/>
      <c r="P73" s="160" t="e">
        <f>O73/O91</f>
        <v>#DIV/0!</v>
      </c>
      <c r="Q73" s="274"/>
      <c r="R73" s="148" t="e">
        <f>Q73/Q91</f>
        <v>#DIV/0!</v>
      </c>
      <c r="S73" s="211" t="e">
        <f>T73/Q73</f>
        <v>#DIV/0!</v>
      </c>
      <c r="T73" s="275"/>
      <c r="U73" s="158" t="e">
        <f>T73/T91</f>
        <v>#DIV/0!</v>
      </c>
      <c r="V73" s="145"/>
      <c r="W73" s="141" t="e">
        <f>V73/V91</f>
        <v>#DIV/0!</v>
      </c>
      <c r="X73" s="142" t="e">
        <f>Y73/V73</f>
        <v>#DIV/0!</v>
      </c>
      <c r="Y73" s="156"/>
      <c r="Z73" s="144" t="e">
        <f>Y73/Y91</f>
        <v>#DIV/0!</v>
      </c>
    </row>
    <row r="74" spans="1:26" x14ac:dyDescent="0.15">
      <c r="A74" s="212" t="s">
        <v>158</v>
      </c>
      <c r="B74" s="163"/>
      <c r="C74" s="29"/>
      <c r="D74" s="29"/>
      <c r="E74" s="29"/>
      <c r="F74" s="80"/>
      <c r="G74" s="268">
        <f t="shared" ref="G74:G91" si="20">L74+Q74+V74</f>
        <v>0</v>
      </c>
      <c r="H74" s="171" t="e">
        <f>G74/G91</f>
        <v>#DIV/0!</v>
      </c>
      <c r="I74" s="272" t="e">
        <f t="shared" ref="I74:I91" si="21">J74/G74</f>
        <v>#DIV/0!</v>
      </c>
      <c r="J74" s="174">
        <f t="shared" ref="J74:J91" si="22">O74+T74+Y74</f>
        <v>0</v>
      </c>
      <c r="K74" s="172" t="e">
        <f>J74/J91</f>
        <v>#DIV/0!</v>
      </c>
      <c r="L74" s="165"/>
      <c r="M74" s="164" t="e">
        <f>L74/L91</f>
        <v>#DIV/0!</v>
      </c>
      <c r="N74" s="273" t="e">
        <f t="shared" ref="N74:N91" si="23">O74/L74</f>
        <v>#DIV/0!</v>
      </c>
      <c r="O74" s="156"/>
      <c r="P74" s="160" t="e">
        <f>O74/O91</f>
        <v>#DIV/0!</v>
      </c>
      <c r="Q74" s="274"/>
      <c r="R74" s="148" t="e">
        <f>Q74/Q91</f>
        <v>#DIV/0!</v>
      </c>
      <c r="S74" s="211" t="e">
        <f t="shared" ref="S74:S91" si="24">T74/Q74</f>
        <v>#DIV/0!</v>
      </c>
      <c r="T74" s="159"/>
      <c r="U74" s="158" t="e">
        <f>T74/T91</f>
        <v>#DIV/0!</v>
      </c>
      <c r="V74" s="145"/>
      <c r="W74" s="141" t="e">
        <f>V74/V91</f>
        <v>#DIV/0!</v>
      </c>
      <c r="X74" s="142" t="e">
        <f t="shared" ref="X74:X86" si="25">Y74/V74</f>
        <v>#DIV/0!</v>
      </c>
      <c r="Y74" s="156"/>
      <c r="Z74" s="144" t="e">
        <f>Y74/Y91</f>
        <v>#DIV/0!</v>
      </c>
    </row>
    <row r="75" spans="1:26" x14ac:dyDescent="0.15">
      <c r="A75" s="163" t="s">
        <v>159</v>
      </c>
      <c r="B75" s="163"/>
      <c r="C75" s="29"/>
      <c r="D75" s="29"/>
      <c r="E75" s="29"/>
      <c r="F75" s="80"/>
      <c r="G75" s="268">
        <f t="shared" si="20"/>
        <v>0</v>
      </c>
      <c r="H75" s="171" t="e">
        <f>G75/G91</f>
        <v>#DIV/0!</v>
      </c>
      <c r="I75" s="272" t="e">
        <f t="shared" si="21"/>
        <v>#DIV/0!</v>
      </c>
      <c r="J75" s="174">
        <f t="shared" si="22"/>
        <v>0</v>
      </c>
      <c r="K75" s="172" t="e">
        <f>J75/J91</f>
        <v>#DIV/0!</v>
      </c>
      <c r="L75" s="165"/>
      <c r="M75" s="164" t="e">
        <f>L75/L91</f>
        <v>#DIV/0!</v>
      </c>
      <c r="N75" s="273" t="e">
        <f t="shared" si="23"/>
        <v>#DIV/0!</v>
      </c>
      <c r="O75" s="156"/>
      <c r="P75" s="160" t="e">
        <f>O75/O91</f>
        <v>#DIV/0!</v>
      </c>
      <c r="Q75" s="274"/>
      <c r="R75" s="148" t="e">
        <f>Q75/Q91</f>
        <v>#DIV/0!</v>
      </c>
      <c r="S75" s="211" t="e">
        <f t="shared" si="24"/>
        <v>#DIV/0!</v>
      </c>
      <c r="T75" s="159"/>
      <c r="U75" s="158" t="e">
        <f>T75/T91</f>
        <v>#DIV/0!</v>
      </c>
      <c r="V75" s="145"/>
      <c r="W75" s="141" t="e">
        <f>V75/V91</f>
        <v>#DIV/0!</v>
      </c>
      <c r="X75" s="142" t="e">
        <f t="shared" si="25"/>
        <v>#DIV/0!</v>
      </c>
      <c r="Y75" s="156"/>
      <c r="Z75" s="144" t="e">
        <f>Y75/Y91</f>
        <v>#DIV/0!</v>
      </c>
    </row>
    <row r="76" spans="1:26" x14ac:dyDescent="0.15">
      <c r="A76" s="212" t="s">
        <v>160</v>
      </c>
      <c r="B76" s="163"/>
      <c r="C76" s="29"/>
      <c r="D76" s="29"/>
      <c r="E76" s="29"/>
      <c r="F76" s="80"/>
      <c r="G76" s="268"/>
      <c r="H76" s="171"/>
      <c r="I76" s="272"/>
      <c r="J76" s="174"/>
      <c r="K76" s="172"/>
      <c r="L76" s="165"/>
      <c r="M76" s="164"/>
      <c r="N76" s="273"/>
      <c r="O76" s="156"/>
      <c r="P76" s="160"/>
      <c r="Q76" s="274"/>
      <c r="R76" s="148"/>
      <c r="S76" s="211"/>
      <c r="T76" s="275"/>
      <c r="U76" s="158"/>
      <c r="V76" s="145"/>
      <c r="W76" s="141"/>
      <c r="X76" s="142"/>
      <c r="Y76" s="156"/>
      <c r="Z76" s="144"/>
    </row>
    <row r="77" spans="1:26" x14ac:dyDescent="0.15">
      <c r="A77" s="212" t="s">
        <v>161</v>
      </c>
      <c r="B77" s="163"/>
      <c r="C77" s="29"/>
      <c r="D77" s="29"/>
      <c r="E77" s="29"/>
      <c r="F77" s="80"/>
      <c r="G77" s="268">
        <f t="shared" si="20"/>
        <v>0</v>
      </c>
      <c r="H77" s="171" t="e">
        <f>G77/G91</f>
        <v>#DIV/0!</v>
      </c>
      <c r="I77" s="272" t="e">
        <f t="shared" si="21"/>
        <v>#DIV/0!</v>
      </c>
      <c r="J77" s="174">
        <f t="shared" si="22"/>
        <v>0</v>
      </c>
      <c r="K77" s="172" t="e">
        <f>J77/J91</f>
        <v>#DIV/0!</v>
      </c>
      <c r="L77" s="165"/>
      <c r="M77" s="164" t="e">
        <f>L77/L91</f>
        <v>#DIV/0!</v>
      </c>
      <c r="N77" s="273" t="e">
        <f t="shared" si="23"/>
        <v>#DIV/0!</v>
      </c>
      <c r="O77" s="156"/>
      <c r="P77" s="160" t="e">
        <f>O77/O91</f>
        <v>#DIV/0!</v>
      </c>
      <c r="Q77" s="274"/>
      <c r="R77" s="148" t="e">
        <f>Q77/Q91</f>
        <v>#DIV/0!</v>
      </c>
      <c r="S77" s="211" t="e">
        <f t="shared" si="24"/>
        <v>#DIV/0!</v>
      </c>
      <c r="T77" s="159"/>
      <c r="U77" s="158" t="e">
        <f>T77/T91</f>
        <v>#DIV/0!</v>
      </c>
      <c r="V77" s="145"/>
      <c r="W77" s="141" t="e">
        <f>V77/V91</f>
        <v>#DIV/0!</v>
      </c>
      <c r="X77" s="142" t="e">
        <f t="shared" si="25"/>
        <v>#DIV/0!</v>
      </c>
      <c r="Y77" s="156"/>
      <c r="Z77" s="144" t="e">
        <f>Y77/Y91</f>
        <v>#DIV/0!</v>
      </c>
    </row>
    <row r="78" spans="1:26" x14ac:dyDescent="0.15">
      <c r="A78" s="219" t="s">
        <v>9</v>
      </c>
      <c r="B78" s="169"/>
      <c r="C78" s="29"/>
      <c r="D78" s="29"/>
      <c r="E78" s="29"/>
      <c r="F78" s="80"/>
      <c r="G78" s="268">
        <f t="shared" si="20"/>
        <v>0</v>
      </c>
      <c r="H78" s="171" t="e">
        <f>G78/G91</f>
        <v>#DIV/0!</v>
      </c>
      <c r="I78" s="272" t="e">
        <f t="shared" si="21"/>
        <v>#DIV/0!</v>
      </c>
      <c r="J78" s="174">
        <f t="shared" si="22"/>
        <v>0</v>
      </c>
      <c r="K78" s="172" t="e">
        <f>J78/J91</f>
        <v>#DIV/0!</v>
      </c>
      <c r="L78" s="165"/>
      <c r="M78" s="164" t="e">
        <f>L78/L91</f>
        <v>#DIV/0!</v>
      </c>
      <c r="N78" s="273" t="e">
        <f t="shared" si="23"/>
        <v>#DIV/0!</v>
      </c>
      <c r="O78" s="156"/>
      <c r="P78" s="160" t="e">
        <f>O78/O91</f>
        <v>#DIV/0!</v>
      </c>
      <c r="Q78" s="274"/>
      <c r="R78" s="148" t="e">
        <f>Q78/Q91</f>
        <v>#DIV/0!</v>
      </c>
      <c r="S78" s="211" t="e">
        <f t="shared" si="24"/>
        <v>#DIV/0!</v>
      </c>
      <c r="T78" s="159"/>
      <c r="U78" s="158" t="e">
        <f>T78/T91</f>
        <v>#DIV/0!</v>
      </c>
      <c r="V78" s="145"/>
      <c r="W78" s="141" t="e">
        <f>V78/V91</f>
        <v>#DIV/0!</v>
      </c>
      <c r="X78" s="142" t="e">
        <f t="shared" si="25"/>
        <v>#DIV/0!</v>
      </c>
      <c r="Y78" s="156"/>
      <c r="Z78" s="144" t="e">
        <f>Y78/Y91</f>
        <v>#DIV/0!</v>
      </c>
    </row>
    <row r="79" spans="1:26" x14ac:dyDescent="0.15">
      <c r="A79" s="219" t="s">
        <v>162</v>
      </c>
      <c r="B79" s="169"/>
      <c r="C79" s="29"/>
      <c r="D79" s="29"/>
      <c r="E79" s="29"/>
      <c r="F79" s="80"/>
      <c r="G79" s="268">
        <f t="shared" si="20"/>
        <v>0</v>
      </c>
      <c r="H79" s="171" t="e">
        <f>G79/G91</f>
        <v>#DIV/0!</v>
      </c>
      <c r="I79" s="272" t="e">
        <f t="shared" si="21"/>
        <v>#DIV/0!</v>
      </c>
      <c r="J79" s="174">
        <f t="shared" si="22"/>
        <v>0</v>
      </c>
      <c r="K79" s="172" t="e">
        <f>J79/J91</f>
        <v>#DIV/0!</v>
      </c>
      <c r="L79" s="165"/>
      <c r="M79" s="164" t="e">
        <f>L79/L91</f>
        <v>#DIV/0!</v>
      </c>
      <c r="N79" s="273" t="e">
        <f t="shared" si="23"/>
        <v>#DIV/0!</v>
      </c>
      <c r="O79" s="156"/>
      <c r="P79" s="160" t="e">
        <f>O79/O91</f>
        <v>#DIV/0!</v>
      </c>
      <c r="Q79" s="274"/>
      <c r="R79" s="148" t="e">
        <f>Q79/Q91</f>
        <v>#DIV/0!</v>
      </c>
      <c r="S79" s="211" t="e">
        <f t="shared" si="24"/>
        <v>#DIV/0!</v>
      </c>
      <c r="T79" s="275"/>
      <c r="U79" s="158" t="e">
        <f>T79/T91</f>
        <v>#DIV/0!</v>
      </c>
      <c r="V79" s="145"/>
      <c r="W79" s="141"/>
      <c r="X79" s="142"/>
      <c r="Y79" s="156"/>
      <c r="Z79" s="144"/>
    </row>
    <row r="80" spans="1:26" x14ac:dyDescent="0.15">
      <c r="A80" s="219" t="s">
        <v>163</v>
      </c>
      <c r="B80" s="169"/>
      <c r="C80" s="29"/>
      <c r="D80" s="29"/>
      <c r="E80" s="29"/>
      <c r="F80" s="80"/>
      <c r="G80" s="268"/>
      <c r="H80" s="171"/>
      <c r="I80" s="272"/>
      <c r="J80" s="174"/>
      <c r="K80" s="172"/>
      <c r="L80" s="165"/>
      <c r="M80" s="164"/>
      <c r="N80" s="273"/>
      <c r="O80" s="156"/>
      <c r="P80" s="160"/>
      <c r="Q80" s="274"/>
      <c r="R80" s="148"/>
      <c r="S80" s="211"/>
      <c r="T80" s="275"/>
      <c r="U80" s="158"/>
      <c r="V80" s="145"/>
      <c r="W80" s="141"/>
      <c r="X80" s="142"/>
      <c r="Y80" s="156"/>
      <c r="Z80" s="144"/>
    </row>
    <row r="81" spans="1:26" x14ac:dyDescent="0.15">
      <c r="A81" s="219" t="s">
        <v>164</v>
      </c>
      <c r="B81" s="169"/>
      <c r="C81" s="29"/>
      <c r="D81" s="29"/>
      <c r="E81" s="29"/>
      <c r="F81" s="80"/>
      <c r="G81" s="268">
        <f t="shared" si="20"/>
        <v>0</v>
      </c>
      <c r="H81" s="171" t="e">
        <f>G81/G91</f>
        <v>#DIV/0!</v>
      </c>
      <c r="I81" s="272" t="e">
        <f t="shared" si="21"/>
        <v>#DIV/0!</v>
      </c>
      <c r="J81" s="174">
        <f t="shared" si="22"/>
        <v>0</v>
      </c>
      <c r="K81" s="172" t="e">
        <f>J81/J91</f>
        <v>#DIV/0!</v>
      </c>
      <c r="L81" s="165"/>
      <c r="M81" s="164" t="e">
        <f>L81/L91</f>
        <v>#DIV/0!</v>
      </c>
      <c r="N81" s="273" t="e">
        <f t="shared" si="23"/>
        <v>#DIV/0!</v>
      </c>
      <c r="O81" s="156"/>
      <c r="P81" s="160" t="e">
        <f>O81/O91</f>
        <v>#DIV/0!</v>
      </c>
      <c r="Q81" s="274"/>
      <c r="R81" s="148" t="e">
        <f>Q81/Q91</f>
        <v>#DIV/0!</v>
      </c>
      <c r="S81" s="211" t="e">
        <f t="shared" si="24"/>
        <v>#DIV/0!</v>
      </c>
      <c r="T81" s="275"/>
      <c r="U81" s="158" t="e">
        <f>T81/T91</f>
        <v>#DIV/0!</v>
      </c>
      <c r="V81" s="145"/>
      <c r="W81" s="141"/>
      <c r="X81" s="142"/>
      <c r="Y81" s="156"/>
      <c r="Z81" s="144"/>
    </row>
    <row r="82" spans="1:26" x14ac:dyDescent="0.15">
      <c r="A82" s="212" t="s">
        <v>165</v>
      </c>
      <c r="B82" s="163"/>
      <c r="C82" s="29"/>
      <c r="D82" s="29"/>
      <c r="E82" s="29"/>
      <c r="F82" s="80"/>
      <c r="G82" s="268">
        <f t="shared" si="20"/>
        <v>0</v>
      </c>
      <c r="H82" s="171" t="e">
        <f>G82/G91</f>
        <v>#DIV/0!</v>
      </c>
      <c r="I82" s="272" t="e">
        <f t="shared" si="21"/>
        <v>#DIV/0!</v>
      </c>
      <c r="J82" s="174">
        <f t="shared" si="22"/>
        <v>0</v>
      </c>
      <c r="K82" s="172" t="e">
        <f>J82/J91</f>
        <v>#DIV/0!</v>
      </c>
      <c r="L82" s="165"/>
      <c r="M82" s="164" t="e">
        <f>L82/L91</f>
        <v>#DIV/0!</v>
      </c>
      <c r="N82" s="273" t="e">
        <f t="shared" si="23"/>
        <v>#DIV/0!</v>
      </c>
      <c r="O82" s="156"/>
      <c r="P82" s="160" t="e">
        <f>O82/O91</f>
        <v>#DIV/0!</v>
      </c>
      <c r="Q82" s="274"/>
      <c r="R82" s="148" t="e">
        <f>Q82/Q91</f>
        <v>#DIV/0!</v>
      </c>
      <c r="S82" s="211" t="e">
        <f t="shared" si="24"/>
        <v>#DIV/0!</v>
      </c>
      <c r="T82" s="159"/>
      <c r="U82" s="158" t="e">
        <f>T82/T91</f>
        <v>#DIV/0!</v>
      </c>
      <c r="V82" s="145"/>
      <c r="W82" s="141" t="e">
        <f>V82/V91</f>
        <v>#DIV/0!</v>
      </c>
      <c r="X82" s="142" t="e">
        <f t="shared" si="25"/>
        <v>#DIV/0!</v>
      </c>
      <c r="Y82" s="156"/>
      <c r="Z82" s="144" t="e">
        <f>Y82/Y91</f>
        <v>#DIV/0!</v>
      </c>
    </row>
    <row r="83" spans="1:26" x14ac:dyDescent="0.15">
      <c r="A83" s="212" t="s">
        <v>166</v>
      </c>
      <c r="B83" s="163"/>
      <c r="C83" s="29"/>
      <c r="D83" s="29"/>
      <c r="E83" s="29"/>
      <c r="F83" s="80"/>
      <c r="G83" s="268"/>
      <c r="H83" s="171"/>
      <c r="I83" s="272"/>
      <c r="J83" s="174"/>
      <c r="K83" s="172"/>
      <c r="L83" s="165"/>
      <c r="M83" s="171"/>
      <c r="N83" s="273"/>
      <c r="O83" s="156"/>
      <c r="P83" s="172"/>
      <c r="Q83" s="274"/>
      <c r="R83" s="148"/>
      <c r="S83" s="211"/>
      <c r="T83" s="275"/>
      <c r="U83" s="158"/>
      <c r="V83" s="145"/>
      <c r="W83" s="141"/>
      <c r="X83" s="142"/>
      <c r="Y83" s="156"/>
      <c r="Z83" s="144"/>
    </row>
    <row r="84" spans="1:26" s="87" customFormat="1" x14ac:dyDescent="0.15">
      <c r="A84" s="212" t="s">
        <v>167</v>
      </c>
      <c r="B84" s="163"/>
      <c r="C84" s="171"/>
      <c r="D84" s="189"/>
      <c r="E84" s="189"/>
      <c r="F84" s="172"/>
      <c r="G84" s="268">
        <f t="shared" si="20"/>
        <v>0</v>
      </c>
      <c r="H84" s="171" t="e">
        <f>G84/G91</f>
        <v>#DIV/0!</v>
      </c>
      <c r="I84" s="272" t="e">
        <f t="shared" si="21"/>
        <v>#DIV/0!</v>
      </c>
      <c r="J84" s="174">
        <f t="shared" si="22"/>
        <v>0</v>
      </c>
      <c r="K84" s="172" t="e">
        <f>J84/J91</f>
        <v>#DIV/0!</v>
      </c>
      <c r="L84" s="165"/>
      <c r="M84" s="171" t="e">
        <f>L84/L91</f>
        <v>#DIV/0!</v>
      </c>
      <c r="N84" s="273" t="e">
        <f t="shared" si="23"/>
        <v>#DIV/0!</v>
      </c>
      <c r="O84" s="156"/>
      <c r="P84" s="172" t="e">
        <f>O84/O91</f>
        <v>#DIV/0!</v>
      </c>
      <c r="Q84" s="173"/>
      <c r="R84" s="148" t="e">
        <f>Q84/Q91</f>
        <v>#DIV/0!</v>
      </c>
      <c r="S84" s="211" t="e">
        <f t="shared" si="24"/>
        <v>#DIV/0!</v>
      </c>
      <c r="T84" s="159"/>
      <c r="U84" s="158" t="e">
        <f>T84/T91</f>
        <v>#DIV/0!</v>
      </c>
      <c r="V84" s="145"/>
      <c r="W84" s="141"/>
      <c r="X84" s="142"/>
      <c r="Y84" s="156"/>
      <c r="Z84" s="144"/>
    </row>
    <row r="85" spans="1:26" s="87" customFormat="1" x14ac:dyDescent="0.15">
      <c r="A85" s="212" t="s">
        <v>168</v>
      </c>
      <c r="B85" s="163"/>
      <c r="C85" s="171"/>
      <c r="D85" s="189"/>
      <c r="E85" s="189"/>
      <c r="F85" s="172"/>
      <c r="G85" s="268">
        <f t="shared" si="20"/>
        <v>0</v>
      </c>
      <c r="H85" s="171" t="e">
        <f>G85/G91</f>
        <v>#DIV/0!</v>
      </c>
      <c r="I85" s="272" t="e">
        <f t="shared" si="21"/>
        <v>#DIV/0!</v>
      </c>
      <c r="J85" s="174">
        <f t="shared" si="22"/>
        <v>0</v>
      </c>
      <c r="K85" s="172" t="e">
        <f>J85/J91</f>
        <v>#DIV/0!</v>
      </c>
      <c r="L85" s="165"/>
      <c r="M85" s="171" t="e">
        <f>L85/L91</f>
        <v>#DIV/0!</v>
      </c>
      <c r="N85" s="273" t="e">
        <f t="shared" si="23"/>
        <v>#DIV/0!</v>
      </c>
      <c r="O85" s="156"/>
      <c r="P85" s="172" t="e">
        <f>O85/O91</f>
        <v>#DIV/0!</v>
      </c>
      <c r="Q85" s="173"/>
      <c r="R85" s="148" t="e">
        <f>Q85/Q91</f>
        <v>#DIV/0!</v>
      </c>
      <c r="S85" s="211" t="e">
        <f t="shared" si="24"/>
        <v>#DIV/0!</v>
      </c>
      <c r="T85" s="159"/>
      <c r="U85" s="158" t="e">
        <f>T85/T91</f>
        <v>#DIV/0!</v>
      </c>
      <c r="V85" s="145"/>
      <c r="W85" s="141" t="e">
        <f>V85/V91</f>
        <v>#DIV/0!</v>
      </c>
      <c r="X85" s="142" t="e">
        <f t="shared" si="25"/>
        <v>#DIV/0!</v>
      </c>
      <c r="Y85" s="156"/>
      <c r="Z85" s="144" t="e">
        <f>Y85/Y91</f>
        <v>#DIV/0!</v>
      </c>
    </row>
    <row r="86" spans="1:26" s="87" customFormat="1" x14ac:dyDescent="0.15">
      <c r="A86" s="219" t="s">
        <v>169</v>
      </c>
      <c r="B86" s="169"/>
      <c r="C86" s="171"/>
      <c r="D86" s="189"/>
      <c r="E86" s="189"/>
      <c r="F86" s="172"/>
      <c r="G86" s="268">
        <f t="shared" si="20"/>
        <v>0</v>
      </c>
      <c r="H86" s="171" t="e">
        <f>G86/G91</f>
        <v>#DIV/0!</v>
      </c>
      <c r="I86" s="272" t="e">
        <f t="shared" si="21"/>
        <v>#DIV/0!</v>
      </c>
      <c r="J86" s="174">
        <f t="shared" si="22"/>
        <v>0</v>
      </c>
      <c r="K86" s="172" t="e">
        <f>J86/J91</f>
        <v>#DIV/0!</v>
      </c>
      <c r="L86" s="165"/>
      <c r="M86" s="171" t="e">
        <f>L86/L91</f>
        <v>#DIV/0!</v>
      </c>
      <c r="N86" s="273" t="e">
        <f t="shared" si="23"/>
        <v>#DIV/0!</v>
      </c>
      <c r="O86" s="156"/>
      <c r="P86" s="172" t="e">
        <f>O86/O91</f>
        <v>#DIV/0!</v>
      </c>
      <c r="Q86" s="173"/>
      <c r="R86" s="148" t="e">
        <f>Q86/Q91</f>
        <v>#DIV/0!</v>
      </c>
      <c r="S86" s="211" t="e">
        <f t="shared" si="24"/>
        <v>#DIV/0!</v>
      </c>
      <c r="T86" s="275"/>
      <c r="U86" s="158" t="e">
        <f>T86/T91</f>
        <v>#DIV/0!</v>
      </c>
      <c r="V86" s="145"/>
      <c r="W86" s="141" t="e">
        <f>V86/V91</f>
        <v>#DIV/0!</v>
      </c>
      <c r="X86" s="142" t="e">
        <f t="shared" si="25"/>
        <v>#DIV/0!</v>
      </c>
      <c r="Y86" s="156"/>
      <c r="Z86" s="144" t="e">
        <f>Y86/Y91</f>
        <v>#DIV/0!</v>
      </c>
    </row>
    <row r="87" spans="1:26" s="87" customFormat="1" x14ac:dyDescent="0.15">
      <c r="A87" s="169" t="s">
        <v>170</v>
      </c>
      <c r="B87" s="169"/>
      <c r="C87" s="171"/>
      <c r="D87" s="189"/>
      <c r="E87" s="189"/>
      <c r="F87" s="172"/>
      <c r="G87" s="268"/>
      <c r="H87" s="171"/>
      <c r="I87" s="272"/>
      <c r="J87" s="174"/>
      <c r="K87" s="172"/>
      <c r="L87" s="165"/>
      <c r="M87" s="171"/>
      <c r="N87" s="273"/>
      <c r="O87" s="156"/>
      <c r="P87" s="172"/>
      <c r="Q87" s="173"/>
      <c r="R87" s="148"/>
      <c r="S87" s="211"/>
      <c r="T87" s="275"/>
      <c r="U87" s="158"/>
      <c r="V87" s="145"/>
      <c r="W87" s="141"/>
      <c r="X87" s="142"/>
      <c r="Y87" s="156"/>
      <c r="Z87" s="144"/>
    </row>
    <row r="88" spans="1:26" x14ac:dyDescent="0.15">
      <c r="A88" s="227" t="s">
        <v>171</v>
      </c>
      <c r="B88" s="175"/>
      <c r="C88" s="29"/>
      <c r="D88" s="29"/>
      <c r="E88" s="29"/>
      <c r="F88" s="80"/>
      <c r="G88" s="268">
        <f>L88+Q88+V88</f>
        <v>0</v>
      </c>
      <c r="H88" s="171" t="e">
        <f>G88/G91</f>
        <v>#DIV/0!</v>
      </c>
      <c r="I88" s="272" t="e">
        <f t="shared" si="21"/>
        <v>#DIV/0!</v>
      </c>
      <c r="J88" s="174">
        <f t="shared" si="22"/>
        <v>0</v>
      </c>
      <c r="K88" s="172" t="e">
        <f>J88/J91</f>
        <v>#DIV/0!</v>
      </c>
      <c r="L88" s="165"/>
      <c r="M88" s="164"/>
      <c r="N88" s="273"/>
      <c r="O88" s="156"/>
      <c r="P88" s="160"/>
      <c r="Q88" s="274"/>
      <c r="R88" s="148" t="e">
        <f>Q88/Q91</f>
        <v>#DIV/0!</v>
      </c>
      <c r="S88" s="211" t="e">
        <f t="shared" si="24"/>
        <v>#DIV/0!</v>
      </c>
      <c r="T88" s="159"/>
      <c r="U88" s="158" t="e">
        <f>T88/T91</f>
        <v>#DIV/0!</v>
      </c>
      <c r="V88" s="145"/>
      <c r="W88" s="141"/>
      <c r="X88" s="142"/>
      <c r="Y88" s="156"/>
      <c r="Z88" s="144"/>
    </row>
    <row r="89" spans="1:26" x14ac:dyDescent="0.15">
      <c r="A89" s="175" t="s">
        <v>172</v>
      </c>
      <c r="B89" s="175"/>
      <c r="C89" s="29"/>
      <c r="D89" s="29"/>
      <c r="E89" s="29"/>
      <c r="F89" s="80"/>
      <c r="G89" s="268">
        <f>L89+Q89+V89</f>
        <v>0</v>
      </c>
      <c r="H89" s="171" t="e">
        <f>G89/G91</f>
        <v>#DIV/0!</v>
      </c>
      <c r="I89" s="272" t="e">
        <f t="shared" si="21"/>
        <v>#DIV/0!</v>
      </c>
      <c r="J89" s="174">
        <f>O89+T89+Y89</f>
        <v>0</v>
      </c>
      <c r="K89" s="172" t="e">
        <f>J89/J91</f>
        <v>#DIV/0!</v>
      </c>
      <c r="L89" s="165"/>
      <c r="M89" s="164"/>
      <c r="N89" s="273"/>
      <c r="O89" s="156"/>
      <c r="P89" s="160"/>
      <c r="Q89" s="274"/>
      <c r="R89" s="148" t="e">
        <f>Q89/Q91</f>
        <v>#DIV/0!</v>
      </c>
      <c r="S89" s="211" t="e">
        <f t="shared" si="24"/>
        <v>#DIV/0!</v>
      </c>
      <c r="T89" s="275"/>
      <c r="U89" s="158" t="e">
        <f>T89/T91</f>
        <v>#DIV/0!</v>
      </c>
      <c r="V89" s="145"/>
      <c r="W89" s="141" t="e">
        <f>V89/V91</f>
        <v>#DIV/0!</v>
      </c>
      <c r="X89" s="142" t="e">
        <f>Y89/V89</f>
        <v>#DIV/0!</v>
      </c>
      <c r="Y89" s="156"/>
      <c r="Z89" s="144" t="e">
        <f>Y89/Y91</f>
        <v>#DIV/0!</v>
      </c>
    </row>
    <row r="90" spans="1:26" x14ac:dyDescent="0.15">
      <c r="A90" s="179" t="s">
        <v>173</v>
      </c>
      <c r="B90" s="179"/>
      <c r="C90" s="29"/>
      <c r="D90" s="29"/>
      <c r="E90" s="29"/>
      <c r="F90" s="80"/>
      <c r="G90" s="268">
        <f>L90+Q90+V90</f>
        <v>0</v>
      </c>
      <c r="H90" s="29"/>
      <c r="I90" s="272" t="e">
        <f t="shared" si="21"/>
        <v>#DIV/0!</v>
      </c>
      <c r="J90" s="174">
        <f t="shared" si="22"/>
        <v>0</v>
      </c>
      <c r="K90" s="80"/>
      <c r="L90" s="165">
        <f>L91-L88-L89</f>
        <v>0</v>
      </c>
      <c r="M90" s="5"/>
      <c r="N90" s="273" t="e">
        <f t="shared" si="23"/>
        <v>#DIV/0!</v>
      </c>
      <c r="O90" s="156">
        <f>O91-O88-O89</f>
        <v>0</v>
      </c>
      <c r="P90" s="27"/>
      <c r="Q90" s="276">
        <f>Q91-Q88-Q89</f>
        <v>0</v>
      </c>
      <c r="R90" s="277"/>
      <c r="S90" s="211" t="e">
        <f t="shared" si="24"/>
        <v>#DIV/0!</v>
      </c>
      <c r="T90" s="159">
        <f>T91-T88-T89</f>
        <v>0</v>
      </c>
      <c r="U90" s="278"/>
      <c r="V90" s="145">
        <f>V91-V88-V89</f>
        <v>0</v>
      </c>
      <c r="W90" s="141"/>
      <c r="X90" s="142" t="e">
        <f>Y90/V90</f>
        <v>#DIV/0!</v>
      </c>
      <c r="Y90" s="156">
        <f>Y91-Y88-AB89-Y89</f>
        <v>0</v>
      </c>
      <c r="Z90" s="144"/>
    </row>
    <row r="91" spans="1:26" ht="14.25" thickBot="1" x14ac:dyDescent="0.2">
      <c r="A91" s="187" t="s">
        <v>177</v>
      </c>
      <c r="B91" s="232"/>
      <c r="C91" s="256"/>
      <c r="D91" s="256"/>
      <c r="E91" s="256"/>
      <c r="F91" s="257"/>
      <c r="G91" s="279">
        <f t="shared" si="20"/>
        <v>0</v>
      </c>
      <c r="H91" s="256"/>
      <c r="I91" s="280" t="e">
        <f t="shared" si="21"/>
        <v>#DIV/0!</v>
      </c>
      <c r="J91" s="281">
        <f t="shared" si="22"/>
        <v>0</v>
      </c>
      <c r="K91" s="257"/>
      <c r="L91" s="198">
        <f>SUM(L72:L86)</f>
        <v>0</v>
      </c>
      <c r="M91" s="282"/>
      <c r="N91" s="283" t="e">
        <f t="shared" si="23"/>
        <v>#DIV/0!</v>
      </c>
      <c r="O91" s="196">
        <f>SUM(O72:O86)</f>
        <v>0</v>
      </c>
      <c r="P91" s="284"/>
      <c r="Q91" s="285">
        <f>SUM(Q72:Q86)</f>
        <v>0</v>
      </c>
      <c r="R91" s="286"/>
      <c r="S91" s="287" t="e">
        <f t="shared" si="24"/>
        <v>#DIV/0!</v>
      </c>
      <c r="T91" s="288">
        <f>SUM(T72:T86)</f>
        <v>0</v>
      </c>
      <c r="U91" s="289"/>
      <c r="V91" s="290">
        <f>SUM(V72:V86)</f>
        <v>0</v>
      </c>
      <c r="W91" s="291"/>
      <c r="X91" s="199" t="e">
        <f>Y91/V91</f>
        <v>#DIV/0!</v>
      </c>
      <c r="Y91" s="196">
        <f>SUM(Y72:Y86)</f>
        <v>0</v>
      </c>
      <c r="Z91" s="292"/>
    </row>
    <row r="94" spans="1:26" x14ac:dyDescent="0.15">
      <c r="A94" s="293"/>
      <c r="B94" s="294"/>
      <c r="C94" s="295"/>
      <c r="D94" s="296"/>
      <c r="E94" s="297"/>
      <c r="F94" s="293"/>
      <c r="G94" s="294"/>
      <c r="H94" s="295"/>
      <c r="I94" s="298"/>
      <c r="J94" s="299"/>
      <c r="K94" s="295"/>
      <c r="L94" s="298"/>
      <c r="M94" s="4"/>
      <c r="N94" s="4"/>
      <c r="O94" s="4"/>
      <c r="P94" s="4"/>
    </row>
    <row r="95" spans="1:26" x14ac:dyDescent="0.15">
      <c r="A95" s="293"/>
      <c r="B95" s="294"/>
      <c r="C95" s="295"/>
      <c r="D95" s="296"/>
      <c r="E95" s="297"/>
      <c r="F95" s="293"/>
      <c r="G95" s="294"/>
      <c r="H95" s="295"/>
      <c r="I95" s="298"/>
      <c r="J95" s="299"/>
      <c r="K95" s="295"/>
      <c r="L95" s="298"/>
      <c r="M95" s="4"/>
      <c r="N95" s="4"/>
      <c r="O95" s="4"/>
      <c r="P95" s="4"/>
    </row>
    <row r="96" spans="1:26" x14ac:dyDescent="0.15">
      <c r="A96" s="293"/>
      <c r="B96" s="294"/>
      <c r="C96" s="295"/>
      <c r="D96" s="296"/>
      <c r="E96" s="297"/>
      <c r="F96" s="293"/>
      <c r="G96" s="294"/>
      <c r="H96" s="295"/>
      <c r="I96" s="298"/>
      <c r="J96" s="299"/>
      <c r="K96" s="295"/>
      <c r="L96" s="298"/>
      <c r="M96" s="4"/>
      <c r="N96" s="4"/>
      <c r="O96" s="4"/>
      <c r="P96" s="4"/>
    </row>
    <row r="97" spans="1:16" x14ac:dyDescent="0.15">
      <c r="A97" s="293"/>
      <c r="B97" s="294"/>
      <c r="C97" s="295"/>
      <c r="D97" s="296"/>
      <c r="E97" s="297"/>
      <c r="F97" s="293"/>
      <c r="G97" s="294"/>
      <c r="H97" s="295"/>
      <c r="I97" s="298"/>
      <c r="J97" s="299"/>
      <c r="K97" s="295"/>
      <c r="L97" s="298"/>
      <c r="M97" s="4"/>
      <c r="N97" s="4"/>
      <c r="O97" s="4"/>
      <c r="P97" s="4"/>
    </row>
    <row r="98" spans="1:16" x14ac:dyDescent="0.15">
      <c r="A98" s="293"/>
      <c r="B98" s="294"/>
      <c r="C98" s="295"/>
      <c r="D98" s="296"/>
      <c r="E98" s="297"/>
      <c r="F98" s="293"/>
      <c r="G98" s="294"/>
      <c r="H98" s="295"/>
      <c r="I98" s="298"/>
      <c r="J98" s="299"/>
      <c r="K98" s="295"/>
      <c r="L98" s="298"/>
      <c r="M98" s="4"/>
      <c r="N98" s="4"/>
      <c r="O98" s="4"/>
      <c r="P98" s="4"/>
    </row>
    <row r="99" spans="1:16" x14ac:dyDescent="0.15">
      <c r="A99" s="293"/>
      <c r="B99" s="294"/>
      <c r="C99" s="295"/>
      <c r="D99" s="296"/>
      <c r="E99" s="297"/>
      <c r="F99" s="293"/>
      <c r="G99" s="294"/>
      <c r="H99" s="295"/>
      <c r="I99" s="298"/>
      <c r="J99" s="299"/>
      <c r="K99" s="295"/>
      <c r="L99" s="298"/>
      <c r="M99" s="4"/>
      <c r="N99" s="4"/>
      <c r="O99" s="4"/>
      <c r="P99" s="4"/>
    </row>
    <row r="100" spans="1:16" x14ac:dyDescent="0.15">
      <c r="A100" s="293"/>
      <c r="B100" s="294"/>
      <c r="C100" s="295"/>
      <c r="D100" s="296"/>
      <c r="E100" s="297"/>
      <c r="F100" s="293"/>
      <c r="G100" s="294"/>
      <c r="H100" s="295"/>
      <c r="I100" s="298"/>
      <c r="J100" s="299"/>
      <c r="K100" s="295"/>
      <c r="L100" s="298"/>
      <c r="M100" s="4"/>
      <c r="N100" s="4"/>
      <c r="O100" s="4"/>
      <c r="P100" s="4"/>
    </row>
    <row r="101" spans="1:16" x14ac:dyDescent="0.1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x14ac:dyDescent="0.1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x14ac:dyDescent="0.1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x14ac:dyDescent="0.1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x14ac:dyDescent="0.1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x14ac:dyDescent="0.1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x14ac:dyDescent="0.1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x14ac:dyDescent="0.1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x14ac:dyDescent="0.1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1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x14ac:dyDescent="0.1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1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2:16" x14ac:dyDescent="0.1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</sheetData>
  <mergeCells count="25">
    <mergeCell ref="V25:Z25"/>
    <mergeCell ref="A1:Z1"/>
    <mergeCell ref="A2:A3"/>
    <mergeCell ref="B2:F2"/>
    <mergeCell ref="G2:K2"/>
    <mergeCell ref="L2:P2"/>
    <mergeCell ref="Q2:U2"/>
    <mergeCell ref="V2:Z2"/>
    <mergeCell ref="A25:A26"/>
    <mergeCell ref="B25:F25"/>
    <mergeCell ref="G25:K25"/>
    <mergeCell ref="L25:P25"/>
    <mergeCell ref="Q25:U25"/>
    <mergeCell ref="V70:Z70"/>
    <mergeCell ref="A47:A48"/>
    <mergeCell ref="B47:F47"/>
    <mergeCell ref="G47:K47"/>
    <mergeCell ref="L47:P47"/>
    <mergeCell ref="Q47:U47"/>
    <mergeCell ref="V47:Z47"/>
    <mergeCell ref="A70:A71"/>
    <mergeCell ref="B70:F70"/>
    <mergeCell ref="G70:K70"/>
    <mergeCell ref="L70:P70"/>
    <mergeCell ref="Q70:U70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B1" workbookViewId="0">
      <selection activeCell="Q22" activeCellId="7" sqref="Q5 Q9:Q11 Q13 Q14 Q17 Q20 Q21 Q22"/>
    </sheetView>
  </sheetViews>
  <sheetFormatPr defaultRowHeight="13.5" x14ac:dyDescent="0.15"/>
  <cols>
    <col min="1" max="1" width="3.25" style="121" customWidth="1"/>
    <col min="2" max="2" width="5" style="4" bestFit="1" customWidth="1"/>
    <col min="3" max="3" width="27.25" style="4" bestFit="1" customWidth="1"/>
    <col min="4" max="4" width="9" style="4" hidden="1" customWidth="1"/>
    <col min="5" max="5" width="5" style="4" hidden="1" customWidth="1"/>
    <col min="6" max="6" width="9" style="4" hidden="1" customWidth="1"/>
    <col min="7" max="7" width="11.25" style="4" hidden="1" customWidth="1"/>
    <col min="8" max="8" width="0" style="4" hidden="1" customWidth="1"/>
    <col min="9" max="12" width="9.875" style="4" hidden="1" customWidth="1"/>
    <col min="13" max="14" width="0" style="4" hidden="1" customWidth="1"/>
    <col min="15" max="15" width="11.375" style="4" hidden="1" customWidth="1"/>
    <col min="16" max="16" width="13" style="4" hidden="1" customWidth="1"/>
    <col min="17" max="17" width="9.125" style="4"/>
    <col min="18" max="18" width="13.125" style="4" customWidth="1"/>
    <col min="19" max="19" width="12.25" style="4" bestFit="1" customWidth="1"/>
    <col min="20" max="20" width="9.125" style="4"/>
    <col min="21" max="22" width="9.875" style="4" bestFit="1" customWidth="1"/>
    <col min="23" max="23" width="11.25" style="4" bestFit="1" customWidth="1"/>
    <col min="24" max="24" width="9.875" style="4" bestFit="1" customWidth="1"/>
    <col min="25" max="26" width="11.25" style="4" bestFit="1" customWidth="1"/>
    <col min="27" max="252" width="9.125" style="4"/>
    <col min="253" max="253" width="29.25" style="4" bestFit="1" customWidth="1"/>
    <col min="254" max="256" width="11.375" style="4" customWidth="1"/>
    <col min="257" max="257" width="14.125" style="4" customWidth="1"/>
    <col min="258" max="260" width="10.75" style="4" customWidth="1"/>
    <col min="261" max="262" width="15.875" style="4" customWidth="1"/>
    <col min="263" max="263" width="11" style="4" bestFit="1" customWidth="1"/>
    <col min="264" max="508" width="9.125" style="4"/>
    <col min="509" max="509" width="29.25" style="4" bestFit="1" customWidth="1"/>
    <col min="510" max="512" width="11.375" style="4" customWidth="1"/>
    <col min="513" max="513" width="14.125" style="4" customWidth="1"/>
    <col min="514" max="516" width="10.75" style="4" customWidth="1"/>
    <col min="517" max="518" width="15.875" style="4" customWidth="1"/>
    <col min="519" max="519" width="11" style="4" bestFit="1" customWidth="1"/>
    <col min="520" max="764" width="9.125" style="4"/>
    <col min="765" max="765" width="29.25" style="4" bestFit="1" customWidth="1"/>
    <col min="766" max="768" width="11.375" style="4" customWidth="1"/>
    <col min="769" max="769" width="14.125" style="4" customWidth="1"/>
    <col min="770" max="772" width="10.75" style="4" customWidth="1"/>
    <col min="773" max="774" width="15.875" style="4" customWidth="1"/>
    <col min="775" max="775" width="11" style="4" bestFit="1" customWidth="1"/>
    <col min="776" max="1020" width="9.125" style="4"/>
    <col min="1021" max="1021" width="29.25" style="4" bestFit="1" customWidth="1"/>
    <col min="1022" max="1024" width="11.375" style="4" customWidth="1"/>
    <col min="1025" max="1025" width="14.125" style="4" customWidth="1"/>
    <col min="1026" max="1028" width="10.75" style="4" customWidth="1"/>
    <col min="1029" max="1030" width="15.875" style="4" customWidth="1"/>
    <col min="1031" max="1031" width="11" style="4" bestFit="1" customWidth="1"/>
    <col min="1032" max="1276" width="9.125" style="4"/>
    <col min="1277" max="1277" width="29.25" style="4" bestFit="1" customWidth="1"/>
    <col min="1278" max="1280" width="11.375" style="4" customWidth="1"/>
    <col min="1281" max="1281" width="14.125" style="4" customWidth="1"/>
    <col min="1282" max="1284" width="10.75" style="4" customWidth="1"/>
    <col min="1285" max="1286" width="15.875" style="4" customWidth="1"/>
    <col min="1287" max="1287" width="11" style="4" bestFit="1" customWidth="1"/>
    <col min="1288" max="1532" width="9.125" style="4"/>
    <col min="1533" max="1533" width="29.25" style="4" bestFit="1" customWidth="1"/>
    <col min="1534" max="1536" width="11.375" style="4" customWidth="1"/>
    <col min="1537" max="1537" width="14.125" style="4" customWidth="1"/>
    <col min="1538" max="1540" width="10.75" style="4" customWidth="1"/>
    <col min="1541" max="1542" width="15.875" style="4" customWidth="1"/>
    <col min="1543" max="1543" width="11" style="4" bestFit="1" customWidth="1"/>
    <col min="1544" max="1788" width="9.125" style="4"/>
    <col min="1789" max="1789" width="29.25" style="4" bestFit="1" customWidth="1"/>
    <col min="1790" max="1792" width="11.375" style="4" customWidth="1"/>
    <col min="1793" max="1793" width="14.125" style="4" customWidth="1"/>
    <col min="1794" max="1796" width="10.75" style="4" customWidth="1"/>
    <col min="1797" max="1798" width="15.875" style="4" customWidth="1"/>
    <col min="1799" max="1799" width="11" style="4" bestFit="1" customWidth="1"/>
    <col min="1800" max="2044" width="9.125" style="4"/>
    <col min="2045" max="2045" width="29.25" style="4" bestFit="1" customWidth="1"/>
    <col min="2046" max="2048" width="11.375" style="4" customWidth="1"/>
    <col min="2049" max="2049" width="14.125" style="4" customWidth="1"/>
    <col min="2050" max="2052" width="10.75" style="4" customWidth="1"/>
    <col min="2053" max="2054" width="15.875" style="4" customWidth="1"/>
    <col min="2055" max="2055" width="11" style="4" bestFit="1" customWidth="1"/>
    <col min="2056" max="2300" width="9.125" style="4"/>
    <col min="2301" max="2301" width="29.25" style="4" bestFit="1" customWidth="1"/>
    <col min="2302" max="2304" width="11.375" style="4" customWidth="1"/>
    <col min="2305" max="2305" width="14.125" style="4" customWidth="1"/>
    <col min="2306" max="2308" width="10.75" style="4" customWidth="1"/>
    <col min="2309" max="2310" width="15.875" style="4" customWidth="1"/>
    <col min="2311" max="2311" width="11" style="4" bestFit="1" customWidth="1"/>
    <col min="2312" max="2556" width="9.125" style="4"/>
    <col min="2557" max="2557" width="29.25" style="4" bestFit="1" customWidth="1"/>
    <col min="2558" max="2560" width="11.375" style="4" customWidth="1"/>
    <col min="2561" max="2561" width="14.125" style="4" customWidth="1"/>
    <col min="2562" max="2564" width="10.75" style="4" customWidth="1"/>
    <col min="2565" max="2566" width="15.875" style="4" customWidth="1"/>
    <col min="2567" max="2567" width="11" style="4" bestFit="1" customWidth="1"/>
    <col min="2568" max="2812" width="9.125" style="4"/>
    <col min="2813" max="2813" width="29.25" style="4" bestFit="1" customWidth="1"/>
    <col min="2814" max="2816" width="11.375" style="4" customWidth="1"/>
    <col min="2817" max="2817" width="14.125" style="4" customWidth="1"/>
    <col min="2818" max="2820" width="10.75" style="4" customWidth="1"/>
    <col min="2821" max="2822" width="15.875" style="4" customWidth="1"/>
    <col min="2823" max="2823" width="11" style="4" bestFit="1" customWidth="1"/>
    <col min="2824" max="3068" width="9.125" style="4"/>
    <col min="3069" max="3069" width="29.25" style="4" bestFit="1" customWidth="1"/>
    <col min="3070" max="3072" width="11.375" style="4" customWidth="1"/>
    <col min="3073" max="3073" width="14.125" style="4" customWidth="1"/>
    <col min="3074" max="3076" width="10.75" style="4" customWidth="1"/>
    <col min="3077" max="3078" width="15.875" style="4" customWidth="1"/>
    <col min="3079" max="3079" width="11" style="4" bestFit="1" customWidth="1"/>
    <col min="3080" max="3324" width="9.125" style="4"/>
    <col min="3325" max="3325" width="29.25" style="4" bestFit="1" customWidth="1"/>
    <col min="3326" max="3328" width="11.375" style="4" customWidth="1"/>
    <col min="3329" max="3329" width="14.125" style="4" customWidth="1"/>
    <col min="3330" max="3332" width="10.75" style="4" customWidth="1"/>
    <col min="3333" max="3334" width="15.875" style="4" customWidth="1"/>
    <col min="3335" max="3335" width="11" style="4" bestFit="1" customWidth="1"/>
    <col min="3336" max="3580" width="9.125" style="4"/>
    <col min="3581" max="3581" width="29.25" style="4" bestFit="1" customWidth="1"/>
    <col min="3582" max="3584" width="11.375" style="4" customWidth="1"/>
    <col min="3585" max="3585" width="14.125" style="4" customWidth="1"/>
    <col min="3586" max="3588" width="10.75" style="4" customWidth="1"/>
    <col min="3589" max="3590" width="15.875" style="4" customWidth="1"/>
    <col min="3591" max="3591" width="11" style="4" bestFit="1" customWidth="1"/>
    <col min="3592" max="3836" width="9.125" style="4"/>
    <col min="3837" max="3837" width="29.25" style="4" bestFit="1" customWidth="1"/>
    <col min="3838" max="3840" width="11.375" style="4" customWidth="1"/>
    <col min="3841" max="3841" width="14.125" style="4" customWidth="1"/>
    <col min="3842" max="3844" width="10.75" style="4" customWidth="1"/>
    <col min="3845" max="3846" width="15.875" style="4" customWidth="1"/>
    <col min="3847" max="3847" width="11" style="4" bestFit="1" customWidth="1"/>
    <col min="3848" max="4092" width="9.125" style="4"/>
    <col min="4093" max="4093" width="29.25" style="4" bestFit="1" customWidth="1"/>
    <col min="4094" max="4096" width="11.375" style="4" customWidth="1"/>
    <col min="4097" max="4097" width="14.125" style="4" customWidth="1"/>
    <col min="4098" max="4100" width="10.75" style="4" customWidth="1"/>
    <col min="4101" max="4102" width="15.875" style="4" customWidth="1"/>
    <col min="4103" max="4103" width="11" style="4" bestFit="1" customWidth="1"/>
    <col min="4104" max="4348" width="9.125" style="4"/>
    <col min="4349" max="4349" width="29.25" style="4" bestFit="1" customWidth="1"/>
    <col min="4350" max="4352" width="11.375" style="4" customWidth="1"/>
    <col min="4353" max="4353" width="14.125" style="4" customWidth="1"/>
    <col min="4354" max="4356" width="10.75" style="4" customWidth="1"/>
    <col min="4357" max="4358" width="15.875" style="4" customWidth="1"/>
    <col min="4359" max="4359" width="11" style="4" bestFit="1" customWidth="1"/>
    <col min="4360" max="4604" width="9.125" style="4"/>
    <col min="4605" max="4605" width="29.25" style="4" bestFit="1" customWidth="1"/>
    <col min="4606" max="4608" width="11.375" style="4" customWidth="1"/>
    <col min="4609" max="4609" width="14.125" style="4" customWidth="1"/>
    <col min="4610" max="4612" width="10.75" style="4" customWidth="1"/>
    <col min="4613" max="4614" width="15.875" style="4" customWidth="1"/>
    <col min="4615" max="4615" width="11" style="4" bestFit="1" customWidth="1"/>
    <col min="4616" max="4860" width="9.125" style="4"/>
    <col min="4861" max="4861" width="29.25" style="4" bestFit="1" customWidth="1"/>
    <col min="4862" max="4864" width="11.375" style="4" customWidth="1"/>
    <col min="4865" max="4865" width="14.125" style="4" customWidth="1"/>
    <col min="4866" max="4868" width="10.75" style="4" customWidth="1"/>
    <col min="4869" max="4870" width="15.875" style="4" customWidth="1"/>
    <col min="4871" max="4871" width="11" style="4" bestFit="1" customWidth="1"/>
    <col min="4872" max="5116" width="9.125" style="4"/>
    <col min="5117" max="5117" width="29.25" style="4" bestFit="1" customWidth="1"/>
    <col min="5118" max="5120" width="11.375" style="4" customWidth="1"/>
    <col min="5121" max="5121" width="14.125" style="4" customWidth="1"/>
    <col min="5122" max="5124" width="10.75" style="4" customWidth="1"/>
    <col min="5125" max="5126" width="15.875" style="4" customWidth="1"/>
    <col min="5127" max="5127" width="11" style="4" bestFit="1" customWidth="1"/>
    <col min="5128" max="5372" width="9.125" style="4"/>
    <col min="5373" max="5373" width="29.25" style="4" bestFit="1" customWidth="1"/>
    <col min="5374" max="5376" width="11.375" style="4" customWidth="1"/>
    <col min="5377" max="5377" width="14.125" style="4" customWidth="1"/>
    <col min="5378" max="5380" width="10.75" style="4" customWidth="1"/>
    <col min="5381" max="5382" width="15.875" style="4" customWidth="1"/>
    <col min="5383" max="5383" width="11" style="4" bestFit="1" customWidth="1"/>
    <col min="5384" max="5628" width="9.125" style="4"/>
    <col min="5629" max="5629" width="29.25" style="4" bestFit="1" customWidth="1"/>
    <col min="5630" max="5632" width="11.375" style="4" customWidth="1"/>
    <col min="5633" max="5633" width="14.125" style="4" customWidth="1"/>
    <col min="5634" max="5636" width="10.75" style="4" customWidth="1"/>
    <col min="5637" max="5638" width="15.875" style="4" customWidth="1"/>
    <col min="5639" max="5639" width="11" style="4" bestFit="1" customWidth="1"/>
    <col min="5640" max="5884" width="9.125" style="4"/>
    <col min="5885" max="5885" width="29.25" style="4" bestFit="1" customWidth="1"/>
    <col min="5886" max="5888" width="11.375" style="4" customWidth="1"/>
    <col min="5889" max="5889" width="14.125" style="4" customWidth="1"/>
    <col min="5890" max="5892" width="10.75" style="4" customWidth="1"/>
    <col min="5893" max="5894" width="15.875" style="4" customWidth="1"/>
    <col min="5895" max="5895" width="11" style="4" bestFit="1" customWidth="1"/>
    <col min="5896" max="6140" width="9.125" style="4"/>
    <col min="6141" max="6141" width="29.25" style="4" bestFit="1" customWidth="1"/>
    <col min="6142" max="6144" width="11.375" style="4" customWidth="1"/>
    <col min="6145" max="6145" width="14.125" style="4" customWidth="1"/>
    <col min="6146" max="6148" width="10.75" style="4" customWidth="1"/>
    <col min="6149" max="6150" width="15.875" style="4" customWidth="1"/>
    <col min="6151" max="6151" width="11" style="4" bestFit="1" customWidth="1"/>
    <col min="6152" max="6396" width="9.125" style="4"/>
    <col min="6397" max="6397" width="29.25" style="4" bestFit="1" customWidth="1"/>
    <col min="6398" max="6400" width="11.375" style="4" customWidth="1"/>
    <col min="6401" max="6401" width="14.125" style="4" customWidth="1"/>
    <col min="6402" max="6404" width="10.75" style="4" customWidth="1"/>
    <col min="6405" max="6406" width="15.875" style="4" customWidth="1"/>
    <col min="6407" max="6407" width="11" style="4" bestFit="1" customWidth="1"/>
    <col min="6408" max="6652" width="9.125" style="4"/>
    <col min="6653" max="6653" width="29.25" style="4" bestFit="1" customWidth="1"/>
    <col min="6654" max="6656" width="11.375" style="4" customWidth="1"/>
    <col min="6657" max="6657" width="14.125" style="4" customWidth="1"/>
    <col min="6658" max="6660" width="10.75" style="4" customWidth="1"/>
    <col min="6661" max="6662" width="15.875" style="4" customWidth="1"/>
    <col min="6663" max="6663" width="11" style="4" bestFit="1" customWidth="1"/>
    <col min="6664" max="6908" width="9.125" style="4"/>
    <col min="6909" max="6909" width="29.25" style="4" bestFit="1" customWidth="1"/>
    <col min="6910" max="6912" width="11.375" style="4" customWidth="1"/>
    <col min="6913" max="6913" width="14.125" style="4" customWidth="1"/>
    <col min="6914" max="6916" width="10.75" style="4" customWidth="1"/>
    <col min="6917" max="6918" width="15.875" style="4" customWidth="1"/>
    <col min="6919" max="6919" width="11" style="4" bestFit="1" customWidth="1"/>
    <col min="6920" max="7164" width="9.125" style="4"/>
    <col min="7165" max="7165" width="29.25" style="4" bestFit="1" customWidth="1"/>
    <col min="7166" max="7168" width="11.375" style="4" customWidth="1"/>
    <col min="7169" max="7169" width="14.125" style="4" customWidth="1"/>
    <col min="7170" max="7172" width="10.75" style="4" customWidth="1"/>
    <col min="7173" max="7174" width="15.875" style="4" customWidth="1"/>
    <col min="7175" max="7175" width="11" style="4" bestFit="1" customWidth="1"/>
    <col min="7176" max="7420" width="9.125" style="4"/>
    <col min="7421" max="7421" width="29.25" style="4" bestFit="1" customWidth="1"/>
    <col min="7422" max="7424" width="11.375" style="4" customWidth="1"/>
    <col min="7425" max="7425" width="14.125" style="4" customWidth="1"/>
    <col min="7426" max="7428" width="10.75" style="4" customWidth="1"/>
    <col min="7429" max="7430" width="15.875" style="4" customWidth="1"/>
    <col min="7431" max="7431" width="11" style="4" bestFit="1" customWidth="1"/>
    <col min="7432" max="7676" width="9.125" style="4"/>
    <col min="7677" max="7677" width="29.25" style="4" bestFit="1" customWidth="1"/>
    <col min="7678" max="7680" width="11.375" style="4" customWidth="1"/>
    <col min="7681" max="7681" width="14.125" style="4" customWidth="1"/>
    <col min="7682" max="7684" width="10.75" style="4" customWidth="1"/>
    <col min="7685" max="7686" width="15.875" style="4" customWidth="1"/>
    <col min="7687" max="7687" width="11" style="4" bestFit="1" customWidth="1"/>
    <col min="7688" max="7932" width="9.125" style="4"/>
    <col min="7933" max="7933" width="29.25" style="4" bestFit="1" customWidth="1"/>
    <col min="7934" max="7936" width="11.375" style="4" customWidth="1"/>
    <col min="7937" max="7937" width="14.125" style="4" customWidth="1"/>
    <col min="7938" max="7940" width="10.75" style="4" customWidth="1"/>
    <col min="7941" max="7942" width="15.875" style="4" customWidth="1"/>
    <col min="7943" max="7943" width="11" style="4" bestFit="1" customWidth="1"/>
    <col min="7944" max="8188" width="9.125" style="4"/>
    <col min="8189" max="8189" width="29.25" style="4" bestFit="1" customWidth="1"/>
    <col min="8190" max="8192" width="11.375" style="4" customWidth="1"/>
    <col min="8193" max="8193" width="14.125" style="4" customWidth="1"/>
    <col min="8194" max="8196" width="10.75" style="4" customWidth="1"/>
    <col min="8197" max="8198" width="15.875" style="4" customWidth="1"/>
    <col min="8199" max="8199" width="11" style="4" bestFit="1" customWidth="1"/>
    <col min="8200" max="8444" width="9.125" style="4"/>
    <col min="8445" max="8445" width="29.25" style="4" bestFit="1" customWidth="1"/>
    <col min="8446" max="8448" width="11.375" style="4" customWidth="1"/>
    <col min="8449" max="8449" width="14.125" style="4" customWidth="1"/>
    <col min="8450" max="8452" width="10.75" style="4" customWidth="1"/>
    <col min="8453" max="8454" width="15.875" style="4" customWidth="1"/>
    <col min="8455" max="8455" width="11" style="4" bestFit="1" customWidth="1"/>
    <col min="8456" max="8700" width="9.125" style="4"/>
    <col min="8701" max="8701" width="29.25" style="4" bestFit="1" customWidth="1"/>
    <col min="8702" max="8704" width="11.375" style="4" customWidth="1"/>
    <col min="8705" max="8705" width="14.125" style="4" customWidth="1"/>
    <col min="8706" max="8708" width="10.75" style="4" customWidth="1"/>
    <col min="8709" max="8710" width="15.875" style="4" customWidth="1"/>
    <col min="8711" max="8711" width="11" style="4" bestFit="1" customWidth="1"/>
    <col min="8712" max="8956" width="9.125" style="4"/>
    <col min="8957" max="8957" width="29.25" style="4" bestFit="1" customWidth="1"/>
    <col min="8958" max="8960" width="11.375" style="4" customWidth="1"/>
    <col min="8961" max="8961" width="14.125" style="4" customWidth="1"/>
    <col min="8962" max="8964" width="10.75" style="4" customWidth="1"/>
    <col min="8965" max="8966" width="15.875" style="4" customWidth="1"/>
    <col min="8967" max="8967" width="11" style="4" bestFit="1" customWidth="1"/>
    <col min="8968" max="9212" width="9.125" style="4"/>
    <col min="9213" max="9213" width="29.25" style="4" bestFit="1" customWidth="1"/>
    <col min="9214" max="9216" width="11.375" style="4" customWidth="1"/>
    <col min="9217" max="9217" width="14.125" style="4" customWidth="1"/>
    <col min="9218" max="9220" width="10.75" style="4" customWidth="1"/>
    <col min="9221" max="9222" width="15.875" style="4" customWidth="1"/>
    <col min="9223" max="9223" width="11" style="4" bestFit="1" customWidth="1"/>
    <col min="9224" max="9468" width="9.125" style="4"/>
    <col min="9469" max="9469" width="29.25" style="4" bestFit="1" customWidth="1"/>
    <col min="9470" max="9472" width="11.375" style="4" customWidth="1"/>
    <col min="9473" max="9473" width="14.125" style="4" customWidth="1"/>
    <col min="9474" max="9476" width="10.75" style="4" customWidth="1"/>
    <col min="9477" max="9478" width="15.875" style="4" customWidth="1"/>
    <col min="9479" max="9479" width="11" style="4" bestFit="1" customWidth="1"/>
    <col min="9480" max="9724" width="9.125" style="4"/>
    <col min="9725" max="9725" width="29.25" style="4" bestFit="1" customWidth="1"/>
    <col min="9726" max="9728" width="11.375" style="4" customWidth="1"/>
    <col min="9729" max="9729" width="14.125" style="4" customWidth="1"/>
    <col min="9730" max="9732" width="10.75" style="4" customWidth="1"/>
    <col min="9733" max="9734" width="15.875" style="4" customWidth="1"/>
    <col min="9735" max="9735" width="11" style="4" bestFit="1" customWidth="1"/>
    <col min="9736" max="9980" width="9.125" style="4"/>
    <col min="9981" max="9981" width="29.25" style="4" bestFit="1" customWidth="1"/>
    <col min="9982" max="9984" width="11.375" style="4" customWidth="1"/>
    <col min="9985" max="9985" width="14.125" style="4" customWidth="1"/>
    <col min="9986" max="9988" width="10.75" style="4" customWidth="1"/>
    <col min="9989" max="9990" width="15.875" style="4" customWidth="1"/>
    <col min="9991" max="9991" width="11" style="4" bestFit="1" customWidth="1"/>
    <col min="9992" max="10236" width="9.125" style="4"/>
    <col min="10237" max="10237" width="29.25" style="4" bestFit="1" customWidth="1"/>
    <col min="10238" max="10240" width="11.375" style="4" customWidth="1"/>
    <col min="10241" max="10241" width="14.125" style="4" customWidth="1"/>
    <col min="10242" max="10244" width="10.75" style="4" customWidth="1"/>
    <col min="10245" max="10246" width="15.875" style="4" customWidth="1"/>
    <col min="10247" max="10247" width="11" style="4" bestFit="1" customWidth="1"/>
    <col min="10248" max="10492" width="9.125" style="4"/>
    <col min="10493" max="10493" width="29.25" style="4" bestFit="1" customWidth="1"/>
    <col min="10494" max="10496" width="11.375" style="4" customWidth="1"/>
    <col min="10497" max="10497" width="14.125" style="4" customWidth="1"/>
    <col min="10498" max="10500" width="10.75" style="4" customWidth="1"/>
    <col min="10501" max="10502" width="15.875" style="4" customWidth="1"/>
    <col min="10503" max="10503" width="11" style="4" bestFit="1" customWidth="1"/>
    <col min="10504" max="10748" width="9.125" style="4"/>
    <col min="10749" max="10749" width="29.25" style="4" bestFit="1" customWidth="1"/>
    <col min="10750" max="10752" width="11.375" style="4" customWidth="1"/>
    <col min="10753" max="10753" width="14.125" style="4" customWidth="1"/>
    <col min="10754" max="10756" width="10.75" style="4" customWidth="1"/>
    <col min="10757" max="10758" width="15.875" style="4" customWidth="1"/>
    <col min="10759" max="10759" width="11" style="4" bestFit="1" customWidth="1"/>
    <col min="10760" max="11004" width="9.125" style="4"/>
    <col min="11005" max="11005" width="29.25" style="4" bestFit="1" customWidth="1"/>
    <col min="11006" max="11008" width="11.375" style="4" customWidth="1"/>
    <col min="11009" max="11009" width="14.125" style="4" customWidth="1"/>
    <col min="11010" max="11012" width="10.75" style="4" customWidth="1"/>
    <col min="11013" max="11014" width="15.875" style="4" customWidth="1"/>
    <col min="11015" max="11015" width="11" style="4" bestFit="1" customWidth="1"/>
    <col min="11016" max="11260" width="9.125" style="4"/>
    <col min="11261" max="11261" width="29.25" style="4" bestFit="1" customWidth="1"/>
    <col min="11262" max="11264" width="11.375" style="4" customWidth="1"/>
    <col min="11265" max="11265" width="14.125" style="4" customWidth="1"/>
    <col min="11266" max="11268" width="10.75" style="4" customWidth="1"/>
    <col min="11269" max="11270" width="15.875" style="4" customWidth="1"/>
    <col min="11271" max="11271" width="11" style="4" bestFit="1" customWidth="1"/>
    <col min="11272" max="11516" width="9.125" style="4"/>
    <col min="11517" max="11517" width="29.25" style="4" bestFit="1" customWidth="1"/>
    <col min="11518" max="11520" width="11.375" style="4" customWidth="1"/>
    <col min="11521" max="11521" width="14.125" style="4" customWidth="1"/>
    <col min="11522" max="11524" width="10.75" style="4" customWidth="1"/>
    <col min="11525" max="11526" width="15.875" style="4" customWidth="1"/>
    <col min="11527" max="11527" width="11" style="4" bestFit="1" customWidth="1"/>
    <col min="11528" max="11772" width="9.125" style="4"/>
    <col min="11773" max="11773" width="29.25" style="4" bestFit="1" customWidth="1"/>
    <col min="11774" max="11776" width="11.375" style="4" customWidth="1"/>
    <col min="11777" max="11777" width="14.125" style="4" customWidth="1"/>
    <col min="11778" max="11780" width="10.75" style="4" customWidth="1"/>
    <col min="11781" max="11782" width="15.875" style="4" customWidth="1"/>
    <col min="11783" max="11783" width="11" style="4" bestFit="1" customWidth="1"/>
    <col min="11784" max="12028" width="9.125" style="4"/>
    <col min="12029" max="12029" width="29.25" style="4" bestFit="1" customWidth="1"/>
    <col min="12030" max="12032" width="11.375" style="4" customWidth="1"/>
    <col min="12033" max="12033" width="14.125" style="4" customWidth="1"/>
    <col min="12034" max="12036" width="10.75" style="4" customWidth="1"/>
    <col min="12037" max="12038" width="15.875" style="4" customWidth="1"/>
    <col min="12039" max="12039" width="11" style="4" bestFit="1" customWidth="1"/>
    <col min="12040" max="12284" width="9.125" style="4"/>
    <col min="12285" max="12285" width="29.25" style="4" bestFit="1" customWidth="1"/>
    <col min="12286" max="12288" width="11.375" style="4" customWidth="1"/>
    <col min="12289" max="12289" width="14.125" style="4" customWidth="1"/>
    <col min="12290" max="12292" width="10.75" style="4" customWidth="1"/>
    <col min="12293" max="12294" width="15.875" style="4" customWidth="1"/>
    <col min="12295" max="12295" width="11" style="4" bestFit="1" customWidth="1"/>
    <col min="12296" max="12540" width="9.125" style="4"/>
    <col min="12541" max="12541" width="29.25" style="4" bestFit="1" customWidth="1"/>
    <col min="12542" max="12544" width="11.375" style="4" customWidth="1"/>
    <col min="12545" max="12545" width="14.125" style="4" customWidth="1"/>
    <col min="12546" max="12548" width="10.75" style="4" customWidth="1"/>
    <col min="12549" max="12550" width="15.875" style="4" customWidth="1"/>
    <col min="12551" max="12551" width="11" style="4" bestFit="1" customWidth="1"/>
    <col min="12552" max="12796" width="9.125" style="4"/>
    <col min="12797" max="12797" width="29.25" style="4" bestFit="1" customWidth="1"/>
    <col min="12798" max="12800" width="11.375" style="4" customWidth="1"/>
    <col min="12801" max="12801" width="14.125" style="4" customWidth="1"/>
    <col min="12802" max="12804" width="10.75" style="4" customWidth="1"/>
    <col min="12805" max="12806" width="15.875" style="4" customWidth="1"/>
    <col min="12807" max="12807" width="11" style="4" bestFit="1" customWidth="1"/>
    <col min="12808" max="13052" width="9.125" style="4"/>
    <col min="13053" max="13053" width="29.25" style="4" bestFit="1" customWidth="1"/>
    <col min="13054" max="13056" width="11.375" style="4" customWidth="1"/>
    <col min="13057" max="13057" width="14.125" style="4" customWidth="1"/>
    <col min="13058" max="13060" width="10.75" style="4" customWidth="1"/>
    <col min="13061" max="13062" width="15.875" style="4" customWidth="1"/>
    <col min="13063" max="13063" width="11" style="4" bestFit="1" customWidth="1"/>
    <col min="13064" max="13308" width="9.125" style="4"/>
    <col min="13309" max="13309" width="29.25" style="4" bestFit="1" customWidth="1"/>
    <col min="13310" max="13312" width="11.375" style="4" customWidth="1"/>
    <col min="13313" max="13313" width="14.125" style="4" customWidth="1"/>
    <col min="13314" max="13316" width="10.75" style="4" customWidth="1"/>
    <col min="13317" max="13318" width="15.875" style="4" customWidth="1"/>
    <col min="13319" max="13319" width="11" style="4" bestFit="1" customWidth="1"/>
    <col min="13320" max="13564" width="9.125" style="4"/>
    <col min="13565" max="13565" width="29.25" style="4" bestFit="1" customWidth="1"/>
    <col min="13566" max="13568" width="11.375" style="4" customWidth="1"/>
    <col min="13569" max="13569" width="14.125" style="4" customWidth="1"/>
    <col min="13570" max="13572" width="10.75" style="4" customWidth="1"/>
    <col min="13573" max="13574" width="15.875" style="4" customWidth="1"/>
    <col min="13575" max="13575" width="11" style="4" bestFit="1" customWidth="1"/>
    <col min="13576" max="13820" width="9.125" style="4"/>
    <col min="13821" max="13821" width="29.25" style="4" bestFit="1" customWidth="1"/>
    <col min="13822" max="13824" width="11.375" style="4" customWidth="1"/>
    <col min="13825" max="13825" width="14.125" style="4" customWidth="1"/>
    <col min="13826" max="13828" width="10.75" style="4" customWidth="1"/>
    <col min="13829" max="13830" width="15.875" style="4" customWidth="1"/>
    <col min="13831" max="13831" width="11" style="4" bestFit="1" customWidth="1"/>
    <col min="13832" max="14076" width="9.125" style="4"/>
    <col min="14077" max="14077" width="29.25" style="4" bestFit="1" customWidth="1"/>
    <col min="14078" max="14080" width="11.375" style="4" customWidth="1"/>
    <col min="14081" max="14081" width="14.125" style="4" customWidth="1"/>
    <col min="14082" max="14084" width="10.75" style="4" customWidth="1"/>
    <col min="14085" max="14086" width="15.875" style="4" customWidth="1"/>
    <col min="14087" max="14087" width="11" style="4" bestFit="1" customWidth="1"/>
    <col min="14088" max="14332" width="9.125" style="4"/>
    <col min="14333" max="14333" width="29.25" style="4" bestFit="1" customWidth="1"/>
    <col min="14334" max="14336" width="11.375" style="4" customWidth="1"/>
    <col min="14337" max="14337" width="14.125" style="4" customWidth="1"/>
    <col min="14338" max="14340" width="10.75" style="4" customWidth="1"/>
    <col min="14341" max="14342" width="15.875" style="4" customWidth="1"/>
    <col min="14343" max="14343" width="11" style="4" bestFit="1" customWidth="1"/>
    <col min="14344" max="14588" width="9.125" style="4"/>
    <col min="14589" max="14589" width="29.25" style="4" bestFit="1" customWidth="1"/>
    <col min="14590" max="14592" width="11.375" style="4" customWidth="1"/>
    <col min="14593" max="14593" width="14.125" style="4" customWidth="1"/>
    <col min="14594" max="14596" width="10.75" style="4" customWidth="1"/>
    <col min="14597" max="14598" width="15.875" style="4" customWidth="1"/>
    <col min="14599" max="14599" width="11" style="4" bestFit="1" customWidth="1"/>
    <col min="14600" max="14844" width="9.125" style="4"/>
    <col min="14845" max="14845" width="29.25" style="4" bestFit="1" customWidth="1"/>
    <col min="14846" max="14848" width="11.375" style="4" customWidth="1"/>
    <col min="14849" max="14849" width="14.125" style="4" customWidth="1"/>
    <col min="14850" max="14852" width="10.75" style="4" customWidth="1"/>
    <col min="14853" max="14854" width="15.875" style="4" customWidth="1"/>
    <col min="14855" max="14855" width="11" style="4" bestFit="1" customWidth="1"/>
    <col min="14856" max="15100" width="9.125" style="4"/>
    <col min="15101" max="15101" width="29.25" style="4" bestFit="1" customWidth="1"/>
    <col min="15102" max="15104" width="11.375" style="4" customWidth="1"/>
    <col min="15105" max="15105" width="14.125" style="4" customWidth="1"/>
    <col min="15106" max="15108" width="10.75" style="4" customWidth="1"/>
    <col min="15109" max="15110" width="15.875" style="4" customWidth="1"/>
    <col min="15111" max="15111" width="11" style="4" bestFit="1" customWidth="1"/>
    <col min="15112" max="15356" width="9.125" style="4"/>
    <col min="15357" max="15357" width="29.25" style="4" bestFit="1" customWidth="1"/>
    <col min="15358" max="15360" width="11.375" style="4" customWidth="1"/>
    <col min="15361" max="15361" width="14.125" style="4" customWidth="1"/>
    <col min="15362" max="15364" width="10.75" style="4" customWidth="1"/>
    <col min="15365" max="15366" width="15.875" style="4" customWidth="1"/>
    <col min="15367" max="15367" width="11" style="4" bestFit="1" customWidth="1"/>
    <col min="15368" max="15612" width="9.125" style="4"/>
    <col min="15613" max="15613" width="29.25" style="4" bestFit="1" customWidth="1"/>
    <col min="15614" max="15616" width="11.375" style="4" customWidth="1"/>
    <col min="15617" max="15617" width="14.125" style="4" customWidth="1"/>
    <col min="15618" max="15620" width="10.75" style="4" customWidth="1"/>
    <col min="15621" max="15622" width="15.875" style="4" customWidth="1"/>
    <col min="15623" max="15623" width="11" style="4" bestFit="1" customWidth="1"/>
    <col min="15624" max="15868" width="9.125" style="4"/>
    <col min="15869" max="15869" width="29.25" style="4" bestFit="1" customWidth="1"/>
    <col min="15870" max="15872" width="11.375" style="4" customWidth="1"/>
    <col min="15873" max="15873" width="14.125" style="4" customWidth="1"/>
    <col min="15874" max="15876" width="10.75" style="4" customWidth="1"/>
    <col min="15877" max="15878" width="15.875" style="4" customWidth="1"/>
    <col min="15879" max="15879" width="11" style="4" bestFit="1" customWidth="1"/>
    <col min="15880" max="16124" width="9.125" style="4"/>
    <col min="16125" max="16125" width="29.25" style="4" bestFit="1" customWidth="1"/>
    <col min="16126" max="16128" width="11.375" style="4" customWidth="1"/>
    <col min="16129" max="16129" width="14.125" style="4" customWidth="1"/>
    <col min="16130" max="16132" width="10.75" style="4" customWidth="1"/>
    <col min="16133" max="16134" width="15.875" style="4" customWidth="1"/>
    <col min="16135" max="16135" width="11" style="4" bestFit="1" customWidth="1"/>
    <col min="16136" max="16384" width="9.125" style="4"/>
  </cols>
  <sheetData>
    <row r="1" spans="1:27" ht="20.25" customHeight="1" x14ac:dyDescent="0.15">
      <c r="A1" s="456" t="s">
        <v>250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456"/>
    </row>
    <row r="2" spans="1:27" s="13" customFormat="1" ht="24" x14ac:dyDescent="0.15">
      <c r="A2" s="452" t="s">
        <v>43</v>
      </c>
      <c r="B2" s="122" t="s">
        <v>0</v>
      </c>
      <c r="C2" s="12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2" t="s">
        <v>31</v>
      </c>
      <c r="P2" s="2" t="s">
        <v>32</v>
      </c>
      <c r="Q2" s="2" t="s">
        <v>24</v>
      </c>
      <c r="R2" s="2" t="s">
        <v>33</v>
      </c>
      <c r="S2" s="3" t="s">
        <v>34</v>
      </c>
      <c r="T2" s="3" t="s">
        <v>35</v>
      </c>
      <c r="U2" s="3" t="s">
        <v>36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</row>
    <row r="3" spans="1:27" s="8" customFormat="1" ht="15" customHeight="1" x14ac:dyDescent="0.15">
      <c r="A3" s="452"/>
      <c r="B3" s="9">
        <v>1</v>
      </c>
      <c r="C3" s="9" t="s">
        <v>7</v>
      </c>
      <c r="D3" s="9">
        <v>25702</v>
      </c>
      <c r="E3" s="9">
        <v>62</v>
      </c>
      <c r="F3" s="9">
        <f>D3-E3</f>
        <v>25640</v>
      </c>
      <c r="G3" s="10">
        <f>[9]导出数据!$L$3</f>
        <v>55276.361469643583</v>
      </c>
      <c r="H3" s="10">
        <f>G3/F3</f>
        <v>2.1558643318893753</v>
      </c>
      <c r="I3" s="10">
        <f>[10]Sheet2!$H$6</f>
        <v>1.4123903611525475</v>
      </c>
      <c r="J3" s="10">
        <f>I3*F3</f>
        <v>36213.688859951319</v>
      </c>
      <c r="K3" s="10">
        <f>[11]Sheet1!$N$74</f>
        <v>0.72126144697254591</v>
      </c>
      <c r="L3" s="10">
        <f>K3*F3</f>
        <v>18493.143500376078</v>
      </c>
      <c r="M3" s="10">
        <f>M28/(F28-F27-F25)</f>
        <v>5.5234815720195561E-3</v>
      </c>
      <c r="N3" s="10">
        <f>M3*F3</f>
        <v>141.62206750658143</v>
      </c>
      <c r="O3" s="10">
        <f>O28/(F28-F27-F24)</f>
        <v>-1.6701275855584805</v>
      </c>
      <c r="P3" s="10">
        <f>O3*F3</f>
        <v>-42822.07129371944</v>
      </c>
      <c r="Q3" s="10">
        <f>H3+I3+K3+M3+O3</f>
        <v>2.6249120360280083</v>
      </c>
      <c r="R3" s="10">
        <f>Q3*F3</f>
        <v>67302.744603758125</v>
      </c>
      <c r="S3" s="10">
        <f>S28/F28</f>
        <v>17.347084938035266</v>
      </c>
      <c r="T3" s="10">
        <f>T28/F28</f>
        <v>0.17003006079367827</v>
      </c>
      <c r="U3" s="10">
        <f>U28/F28</f>
        <v>1.3157246463885297</v>
      </c>
      <c r="V3" s="10">
        <f>V28/F28</f>
        <v>0.35560906711744278</v>
      </c>
      <c r="W3" s="10">
        <f>W28/F28</f>
        <v>5.7690022708526385</v>
      </c>
      <c r="X3" s="10">
        <f>X28/F28</f>
        <v>1.4831094999032597</v>
      </c>
      <c r="Y3" s="10">
        <f>Y28/F28</f>
        <v>2.9402726652478082</v>
      </c>
      <c r="Z3" s="10">
        <f>Z28/F28</f>
        <v>2.084247634952801</v>
      </c>
      <c r="AA3" s="10">
        <f>Q3+S3+T3+U3+V3+W3+X3+Y3+Z3</f>
        <v>34.089992819319434</v>
      </c>
    </row>
    <row r="4" spans="1:27" s="375" customFormat="1" ht="15" customHeight="1" x14ac:dyDescent="0.15">
      <c r="A4" s="452"/>
      <c r="B4" s="453" t="s">
        <v>251</v>
      </c>
      <c r="C4" s="455"/>
      <c r="D4" s="373">
        <f t="shared" ref="D4:G4" si="0">SUM(D3)</f>
        <v>25702</v>
      </c>
      <c r="E4" s="373">
        <f t="shared" si="0"/>
        <v>62</v>
      </c>
      <c r="F4" s="373">
        <f t="shared" si="0"/>
        <v>25640</v>
      </c>
      <c r="G4" s="374">
        <f t="shared" si="0"/>
        <v>55276.361469643583</v>
      </c>
      <c r="H4" s="374">
        <f t="shared" ref="H4:H28" si="1">G4/F4</f>
        <v>2.1558643318893753</v>
      </c>
      <c r="I4" s="374">
        <f>I3</f>
        <v>1.4123903611525475</v>
      </c>
      <c r="J4" s="374">
        <f t="shared" ref="J4:J27" si="2">I4*F4</f>
        <v>36213.688859951319</v>
      </c>
      <c r="K4" s="374">
        <f>K3</f>
        <v>0.72126144697254591</v>
      </c>
      <c r="L4" s="374">
        <f t="shared" ref="L4:L23" si="3">K4*F4</f>
        <v>18493.143500376078</v>
      </c>
      <c r="M4" s="374">
        <f>M3</f>
        <v>5.5234815720195561E-3</v>
      </c>
      <c r="N4" s="374">
        <f t="shared" ref="N4:N23" si="4">M4*F4</f>
        <v>141.62206750658143</v>
      </c>
      <c r="O4" s="374">
        <f>O3</f>
        <v>-1.6701275855584805</v>
      </c>
      <c r="P4" s="374">
        <f t="shared" ref="P4:P23" si="5">O4*F4</f>
        <v>-42822.07129371944</v>
      </c>
      <c r="Q4" s="374">
        <f t="shared" ref="Q4:Q27" si="6">H4+I4+K4+M4+O4</f>
        <v>2.6249120360280083</v>
      </c>
      <c r="R4" s="374">
        <f t="shared" ref="R4:R27" si="7">Q4*F4</f>
        <v>67302.744603758125</v>
      </c>
      <c r="S4" s="374">
        <f>S3</f>
        <v>17.347084938035266</v>
      </c>
      <c r="T4" s="374">
        <f t="shared" ref="T4:Z4" si="8">T3</f>
        <v>0.17003006079367827</v>
      </c>
      <c r="U4" s="374">
        <f t="shared" si="8"/>
        <v>1.3157246463885297</v>
      </c>
      <c r="V4" s="374">
        <f t="shared" si="8"/>
        <v>0.35560906711744278</v>
      </c>
      <c r="W4" s="374">
        <f t="shared" si="8"/>
        <v>5.7690022708526385</v>
      </c>
      <c r="X4" s="374">
        <f t="shared" si="8"/>
        <v>1.4831094999032597</v>
      </c>
      <c r="Y4" s="374">
        <f t="shared" si="8"/>
        <v>2.9402726652478082</v>
      </c>
      <c r="Z4" s="374">
        <f t="shared" si="8"/>
        <v>2.084247634952801</v>
      </c>
      <c r="AA4" s="374">
        <f t="shared" ref="AA4:AA27" si="9">Q4+S4+T4+U4+V4+W4+X4+Y4+Z4</f>
        <v>34.089992819319434</v>
      </c>
    </row>
    <row r="5" spans="1:27" s="8" customFormat="1" ht="15" customHeight="1" x14ac:dyDescent="0.15">
      <c r="A5" s="452"/>
      <c r="B5" s="9">
        <v>2</v>
      </c>
      <c r="C5" s="9" t="s">
        <v>8</v>
      </c>
      <c r="D5" s="9">
        <v>10468</v>
      </c>
      <c r="E5" s="9">
        <v>62</v>
      </c>
      <c r="F5" s="9">
        <f t="shared" ref="F5:F26" si="10">D5-E5</f>
        <v>10406</v>
      </c>
      <c r="G5" s="10">
        <f>[9]导出数据!$L$5</f>
        <v>41081.015190058934</v>
      </c>
      <c r="H5" s="10">
        <f t="shared" si="1"/>
        <v>3.9478200259522329</v>
      </c>
      <c r="I5" s="10">
        <f>[10]Sheet2!$C$24</f>
        <v>1.4129958936414615</v>
      </c>
      <c r="J5" s="10">
        <f t="shared" si="2"/>
        <v>14703.635269233047</v>
      </c>
      <c r="K5" s="10">
        <f>K3</f>
        <v>0.72126144697254591</v>
      </c>
      <c r="L5" s="10">
        <f t="shared" si="3"/>
        <v>7505.4466171963131</v>
      </c>
      <c r="M5" s="10">
        <f>M3</f>
        <v>5.5234815720195561E-3</v>
      </c>
      <c r="N5" s="10">
        <f t="shared" si="4"/>
        <v>57.477349238435501</v>
      </c>
      <c r="O5" s="10">
        <f>O3</f>
        <v>-1.6701275855584805</v>
      </c>
      <c r="P5" s="10">
        <f t="shared" si="5"/>
        <v>-17379.347655321548</v>
      </c>
      <c r="Q5" s="535">
        <f t="shared" si="6"/>
        <v>4.4174732625797795</v>
      </c>
      <c r="R5" s="10">
        <f t="shared" si="7"/>
        <v>45968.226770405185</v>
      </c>
      <c r="S5" s="10">
        <f>S3</f>
        <v>17.347084938035266</v>
      </c>
      <c r="T5" s="10">
        <f t="shared" ref="T5:Z5" si="11">T3</f>
        <v>0.17003006079367827</v>
      </c>
      <c r="U5" s="10">
        <f t="shared" si="11"/>
        <v>1.3157246463885297</v>
      </c>
      <c r="V5" s="10">
        <f t="shared" si="11"/>
        <v>0.35560906711744278</v>
      </c>
      <c r="W5" s="10">
        <f t="shared" si="11"/>
        <v>5.7690022708526385</v>
      </c>
      <c r="X5" s="10">
        <f t="shared" si="11"/>
        <v>1.4831094999032597</v>
      </c>
      <c r="Y5" s="10">
        <f t="shared" si="11"/>
        <v>2.9402726652478082</v>
      </c>
      <c r="Z5" s="10">
        <f t="shared" si="11"/>
        <v>2.084247634952801</v>
      </c>
      <c r="AA5" s="10">
        <f t="shared" si="9"/>
        <v>35.882554045871203</v>
      </c>
    </row>
    <row r="6" spans="1:27" s="375" customFormat="1" ht="15" customHeight="1" x14ac:dyDescent="0.15">
      <c r="A6" s="452"/>
      <c r="B6" s="453" t="s">
        <v>251</v>
      </c>
      <c r="C6" s="455"/>
      <c r="D6" s="373">
        <f t="shared" ref="D6:G6" si="12">SUM(D5)</f>
        <v>10468</v>
      </c>
      <c r="E6" s="373">
        <f t="shared" si="12"/>
        <v>62</v>
      </c>
      <c r="F6" s="373">
        <f t="shared" si="12"/>
        <v>10406</v>
      </c>
      <c r="G6" s="374">
        <f t="shared" si="12"/>
        <v>41081.015190058934</v>
      </c>
      <c r="H6" s="374">
        <f t="shared" si="1"/>
        <v>3.9478200259522329</v>
      </c>
      <c r="I6" s="374">
        <f>I5</f>
        <v>1.4129958936414615</v>
      </c>
      <c r="J6" s="374">
        <f t="shared" si="2"/>
        <v>14703.635269233047</v>
      </c>
      <c r="K6" s="374">
        <f>K3</f>
        <v>0.72126144697254591</v>
      </c>
      <c r="L6" s="374">
        <f t="shared" si="3"/>
        <v>7505.4466171963131</v>
      </c>
      <c r="M6" s="374">
        <f>M3</f>
        <v>5.5234815720195561E-3</v>
      </c>
      <c r="N6" s="374">
        <f t="shared" si="4"/>
        <v>57.477349238435501</v>
      </c>
      <c r="O6" s="374">
        <f>O3</f>
        <v>-1.6701275855584805</v>
      </c>
      <c r="P6" s="374">
        <f t="shared" si="5"/>
        <v>-17379.347655321548</v>
      </c>
      <c r="Q6" s="374">
        <f t="shared" si="6"/>
        <v>4.4174732625797795</v>
      </c>
      <c r="R6" s="374">
        <f t="shared" si="7"/>
        <v>45968.226770405185</v>
      </c>
      <c r="S6" s="374">
        <f>S3</f>
        <v>17.347084938035266</v>
      </c>
      <c r="T6" s="374">
        <f t="shared" ref="T6:Z6" si="13">T3</f>
        <v>0.17003006079367827</v>
      </c>
      <c r="U6" s="374">
        <f t="shared" si="13"/>
        <v>1.3157246463885297</v>
      </c>
      <c r="V6" s="374">
        <f t="shared" si="13"/>
        <v>0.35560906711744278</v>
      </c>
      <c r="W6" s="374">
        <f t="shared" si="13"/>
        <v>5.7690022708526385</v>
      </c>
      <c r="X6" s="374">
        <f t="shared" si="13"/>
        <v>1.4831094999032597</v>
      </c>
      <c r="Y6" s="374">
        <f t="shared" si="13"/>
        <v>2.9402726652478082</v>
      </c>
      <c r="Z6" s="374">
        <f t="shared" si="13"/>
        <v>2.084247634952801</v>
      </c>
      <c r="AA6" s="374">
        <f t="shared" si="9"/>
        <v>35.882554045871203</v>
      </c>
    </row>
    <row r="7" spans="1:27" s="8" customFormat="1" ht="15" customHeight="1" x14ac:dyDescent="0.15">
      <c r="A7" s="452"/>
      <c r="B7" s="9">
        <v>3</v>
      </c>
      <c r="C7" s="9" t="s">
        <v>9</v>
      </c>
      <c r="D7" s="9">
        <v>4983</v>
      </c>
      <c r="E7" s="9">
        <v>62</v>
      </c>
      <c r="F7" s="9">
        <f t="shared" si="10"/>
        <v>4921</v>
      </c>
      <c r="G7" s="10">
        <f>[9]导出数据!$L$7</f>
        <v>31795.89</v>
      </c>
      <c r="H7" s="10">
        <f t="shared" si="1"/>
        <v>6.4612660028449502</v>
      </c>
      <c r="I7" s="10">
        <f>[10]Sheet2!$C$28</f>
        <v>1.3798680919394517</v>
      </c>
      <c r="J7" s="10">
        <f t="shared" si="2"/>
        <v>6790.3308804340422</v>
      </c>
      <c r="K7" s="10">
        <f>K3</f>
        <v>0.72126144697254591</v>
      </c>
      <c r="L7" s="10">
        <f t="shared" si="3"/>
        <v>3549.3275805518983</v>
      </c>
      <c r="M7" s="10">
        <f>M3</f>
        <v>5.5234815720195561E-3</v>
      </c>
      <c r="N7" s="10">
        <f t="shared" si="4"/>
        <v>27.181052815908235</v>
      </c>
      <c r="O7" s="10">
        <f>O3</f>
        <v>-1.6701275855584805</v>
      </c>
      <c r="P7" s="10">
        <f t="shared" si="5"/>
        <v>-8218.697848533282</v>
      </c>
      <c r="Q7" s="10">
        <f t="shared" si="6"/>
        <v>6.8977914377704863</v>
      </c>
      <c r="R7" s="10">
        <f t="shared" si="7"/>
        <v>33944.031665268565</v>
      </c>
      <c r="S7" s="10">
        <f>S3</f>
        <v>17.347084938035266</v>
      </c>
      <c r="T7" s="10">
        <f t="shared" ref="T7:Z7" si="14">T3</f>
        <v>0.17003006079367827</v>
      </c>
      <c r="U7" s="10">
        <f t="shared" si="14"/>
        <v>1.3157246463885297</v>
      </c>
      <c r="V7" s="10">
        <f t="shared" si="14"/>
        <v>0.35560906711744278</v>
      </c>
      <c r="W7" s="10">
        <f t="shared" si="14"/>
        <v>5.7690022708526385</v>
      </c>
      <c r="X7" s="10">
        <f t="shared" si="14"/>
        <v>1.4831094999032597</v>
      </c>
      <c r="Y7" s="10">
        <f t="shared" si="14"/>
        <v>2.9402726652478082</v>
      </c>
      <c r="Z7" s="10">
        <f t="shared" si="14"/>
        <v>2.084247634952801</v>
      </c>
      <c r="AA7" s="10">
        <f t="shared" si="9"/>
        <v>38.362872221061913</v>
      </c>
    </row>
    <row r="8" spans="1:27" s="375" customFormat="1" ht="15" customHeight="1" x14ac:dyDescent="0.15">
      <c r="A8" s="452"/>
      <c r="B8" s="453" t="s">
        <v>251</v>
      </c>
      <c r="C8" s="455"/>
      <c r="D8" s="373">
        <f t="shared" ref="D8:G8" si="15">SUM(D7)</f>
        <v>4983</v>
      </c>
      <c r="E8" s="373">
        <f t="shared" si="15"/>
        <v>62</v>
      </c>
      <c r="F8" s="373">
        <f t="shared" si="15"/>
        <v>4921</v>
      </c>
      <c r="G8" s="374">
        <f t="shared" si="15"/>
        <v>31795.89</v>
      </c>
      <c r="H8" s="374">
        <f t="shared" si="1"/>
        <v>6.4612660028449502</v>
      </c>
      <c r="I8" s="374">
        <f>I7</f>
        <v>1.3798680919394517</v>
      </c>
      <c r="J8" s="374">
        <f t="shared" si="2"/>
        <v>6790.3308804340422</v>
      </c>
      <c r="K8" s="374">
        <f>K3</f>
        <v>0.72126144697254591</v>
      </c>
      <c r="L8" s="374">
        <f t="shared" si="3"/>
        <v>3549.3275805518983</v>
      </c>
      <c r="M8" s="374">
        <f>M3</f>
        <v>5.5234815720195561E-3</v>
      </c>
      <c r="N8" s="374">
        <f t="shared" si="4"/>
        <v>27.181052815908235</v>
      </c>
      <c r="O8" s="374">
        <f>O3</f>
        <v>-1.6701275855584805</v>
      </c>
      <c r="P8" s="374">
        <f t="shared" si="5"/>
        <v>-8218.697848533282</v>
      </c>
      <c r="Q8" s="374">
        <f t="shared" si="6"/>
        <v>6.8977914377704863</v>
      </c>
      <c r="R8" s="374">
        <f t="shared" si="7"/>
        <v>33944.031665268565</v>
      </c>
      <c r="S8" s="374">
        <f>S3</f>
        <v>17.347084938035266</v>
      </c>
      <c r="T8" s="374">
        <f t="shared" ref="T8:Z8" si="16">T3</f>
        <v>0.17003006079367827</v>
      </c>
      <c r="U8" s="374">
        <f t="shared" si="16"/>
        <v>1.3157246463885297</v>
      </c>
      <c r="V8" s="374">
        <f t="shared" si="16"/>
        <v>0.35560906711744278</v>
      </c>
      <c r="W8" s="374">
        <f t="shared" si="16"/>
        <v>5.7690022708526385</v>
      </c>
      <c r="X8" s="374">
        <f t="shared" si="16"/>
        <v>1.4831094999032597</v>
      </c>
      <c r="Y8" s="374">
        <f t="shared" si="16"/>
        <v>2.9402726652478082</v>
      </c>
      <c r="Z8" s="374">
        <f t="shared" si="16"/>
        <v>2.084247634952801</v>
      </c>
      <c r="AA8" s="374">
        <f t="shared" si="9"/>
        <v>38.362872221061913</v>
      </c>
    </row>
    <row r="9" spans="1:27" s="8" customFormat="1" ht="15" customHeight="1" x14ac:dyDescent="0.15">
      <c r="A9" s="452"/>
      <c r="B9" s="9">
        <v>4</v>
      </c>
      <c r="C9" s="9" t="s">
        <v>10</v>
      </c>
      <c r="D9" s="9">
        <v>23847</v>
      </c>
      <c r="E9" s="9">
        <v>62</v>
      </c>
      <c r="F9" s="9">
        <f t="shared" si="10"/>
        <v>23785</v>
      </c>
      <c r="G9" s="10">
        <f>[9]导出数据!$L$9</f>
        <v>208497.35095575167</v>
      </c>
      <c r="H9" s="10">
        <f t="shared" si="1"/>
        <v>8.7659176353059358</v>
      </c>
      <c r="I9" s="10">
        <f>[10]Sheet2!$C$7</f>
        <v>1.4129958936414613</v>
      </c>
      <c r="J9" s="10">
        <f t="shared" si="2"/>
        <v>33608.107330262159</v>
      </c>
      <c r="K9" s="10">
        <f>K3</f>
        <v>0.72126144697254591</v>
      </c>
      <c r="L9" s="10">
        <f t="shared" si="3"/>
        <v>17155.203516242003</v>
      </c>
      <c r="M9" s="10">
        <f>M3</f>
        <v>5.5234815720195561E-3</v>
      </c>
      <c r="N9" s="10">
        <f t="shared" si="4"/>
        <v>131.37600919048515</v>
      </c>
      <c r="O9" s="10">
        <f>O3</f>
        <v>-1.6701275855584805</v>
      </c>
      <c r="P9" s="10">
        <f t="shared" si="5"/>
        <v>-39723.984622508462</v>
      </c>
      <c r="Q9" s="535">
        <f t="shared" si="6"/>
        <v>9.2355708719334828</v>
      </c>
      <c r="R9" s="10">
        <f t="shared" si="7"/>
        <v>219668.05318893789</v>
      </c>
      <c r="S9" s="10">
        <f>S3</f>
        <v>17.347084938035266</v>
      </c>
      <c r="T9" s="10">
        <f t="shared" ref="T9:Z9" si="17">T3</f>
        <v>0.17003006079367827</v>
      </c>
      <c r="U9" s="10">
        <f t="shared" si="17"/>
        <v>1.3157246463885297</v>
      </c>
      <c r="V9" s="10">
        <f t="shared" si="17"/>
        <v>0.35560906711744278</v>
      </c>
      <c r="W9" s="10">
        <f t="shared" si="17"/>
        <v>5.7690022708526385</v>
      </c>
      <c r="X9" s="10">
        <f t="shared" si="17"/>
        <v>1.4831094999032597</v>
      </c>
      <c r="Y9" s="10">
        <f t="shared" si="17"/>
        <v>2.9402726652478082</v>
      </c>
      <c r="Z9" s="10">
        <f t="shared" si="17"/>
        <v>2.084247634952801</v>
      </c>
      <c r="AA9" s="10">
        <f t="shared" si="9"/>
        <v>40.70065165522491</v>
      </c>
    </row>
    <row r="10" spans="1:27" s="8" customFormat="1" ht="15" customHeight="1" x14ac:dyDescent="0.15">
      <c r="A10" s="452"/>
      <c r="B10" s="9">
        <v>5</v>
      </c>
      <c r="C10" s="9" t="s">
        <v>11</v>
      </c>
      <c r="D10" s="9">
        <v>69067</v>
      </c>
      <c r="E10" s="9">
        <v>62</v>
      </c>
      <c r="F10" s="9">
        <f t="shared" si="10"/>
        <v>69005</v>
      </c>
      <c r="G10" s="10">
        <f>[9]导出数据!$L$10</f>
        <v>414549.82876609813</v>
      </c>
      <c r="H10" s="10">
        <f t="shared" si="1"/>
        <v>6.0075332043489329</v>
      </c>
      <c r="I10" s="10">
        <f>I9</f>
        <v>1.4129958936414613</v>
      </c>
      <c r="J10" s="10">
        <f t="shared" si="2"/>
        <v>97503.781640729037</v>
      </c>
      <c r="K10" s="10">
        <f>K3</f>
        <v>0.72126144697254591</v>
      </c>
      <c r="L10" s="10">
        <f t="shared" si="3"/>
        <v>49770.646148340529</v>
      </c>
      <c r="M10" s="10">
        <f>M3</f>
        <v>5.5234815720195561E-3</v>
      </c>
      <c r="N10" s="10">
        <f t="shared" si="4"/>
        <v>381.14784587720948</v>
      </c>
      <c r="O10" s="10">
        <f>O3</f>
        <v>-1.6701275855584805</v>
      </c>
      <c r="P10" s="10">
        <f t="shared" si="5"/>
        <v>-115247.15404146294</v>
      </c>
      <c r="Q10" s="535">
        <f t="shared" si="6"/>
        <v>6.4771864409764799</v>
      </c>
      <c r="R10" s="10">
        <f t="shared" si="7"/>
        <v>446958.25035958202</v>
      </c>
      <c r="S10" s="10">
        <f>S3</f>
        <v>17.347084938035266</v>
      </c>
      <c r="T10" s="10">
        <f t="shared" ref="T10:Z10" si="18">T3</f>
        <v>0.17003006079367827</v>
      </c>
      <c r="U10" s="10">
        <f t="shared" si="18"/>
        <v>1.3157246463885297</v>
      </c>
      <c r="V10" s="10">
        <f t="shared" si="18"/>
        <v>0.35560906711744278</v>
      </c>
      <c r="W10" s="10">
        <f t="shared" si="18"/>
        <v>5.7690022708526385</v>
      </c>
      <c r="X10" s="10">
        <f t="shared" si="18"/>
        <v>1.4831094999032597</v>
      </c>
      <c r="Y10" s="10">
        <f t="shared" si="18"/>
        <v>2.9402726652478082</v>
      </c>
      <c r="Z10" s="10">
        <f t="shared" si="18"/>
        <v>2.084247634952801</v>
      </c>
      <c r="AA10" s="10">
        <f t="shared" si="9"/>
        <v>37.942267224267908</v>
      </c>
    </row>
    <row r="11" spans="1:27" s="8" customFormat="1" ht="15" customHeight="1" x14ac:dyDescent="0.15">
      <c r="A11" s="452"/>
      <c r="B11" s="9">
        <v>6</v>
      </c>
      <c r="C11" s="9" t="s">
        <v>12</v>
      </c>
      <c r="D11" s="9">
        <v>55330</v>
      </c>
      <c r="E11" s="9">
        <v>62</v>
      </c>
      <c r="F11" s="9">
        <f t="shared" si="10"/>
        <v>55268</v>
      </c>
      <c r="G11" s="10">
        <f>[9]导出数据!$L$11</f>
        <v>393009.71945648442</v>
      </c>
      <c r="H11" s="10">
        <f t="shared" si="1"/>
        <v>7.1109813898907941</v>
      </c>
      <c r="I11" s="10">
        <f>I9</f>
        <v>1.4129958936414613</v>
      </c>
      <c r="J11" s="10">
        <f t="shared" si="2"/>
        <v>78093.457049776276</v>
      </c>
      <c r="K11" s="10">
        <f>K3</f>
        <v>0.72126144697254591</v>
      </c>
      <c r="L11" s="10">
        <f t="shared" si="3"/>
        <v>39862.677651278667</v>
      </c>
      <c r="M11" s="10">
        <f>M3</f>
        <v>5.5234815720195561E-3</v>
      </c>
      <c r="N11" s="10">
        <f t="shared" si="4"/>
        <v>305.27177952237685</v>
      </c>
      <c r="O11" s="10">
        <f>O3</f>
        <v>-1.6701275855584805</v>
      </c>
      <c r="P11" s="10">
        <f t="shared" si="5"/>
        <v>-92304.611398646099</v>
      </c>
      <c r="Q11" s="535">
        <f t="shared" si="6"/>
        <v>7.5806346265183411</v>
      </c>
      <c r="R11" s="10">
        <f t="shared" si="7"/>
        <v>418966.51453841565</v>
      </c>
      <c r="S11" s="10">
        <f>S3</f>
        <v>17.347084938035266</v>
      </c>
      <c r="T11" s="10">
        <f t="shared" ref="T11:Z11" si="19">T3</f>
        <v>0.17003006079367827</v>
      </c>
      <c r="U11" s="10">
        <f t="shared" si="19"/>
        <v>1.3157246463885297</v>
      </c>
      <c r="V11" s="10">
        <f t="shared" si="19"/>
        <v>0.35560906711744278</v>
      </c>
      <c r="W11" s="10">
        <f t="shared" si="19"/>
        <v>5.7690022708526385</v>
      </c>
      <c r="X11" s="10">
        <f t="shared" si="19"/>
        <v>1.4831094999032597</v>
      </c>
      <c r="Y11" s="10">
        <f t="shared" si="19"/>
        <v>2.9402726652478082</v>
      </c>
      <c r="Z11" s="10">
        <f t="shared" si="19"/>
        <v>2.084247634952801</v>
      </c>
      <c r="AA11" s="10">
        <f t="shared" si="9"/>
        <v>39.045715409809766</v>
      </c>
    </row>
    <row r="12" spans="1:27" s="8" customFormat="1" ht="15" customHeight="1" x14ac:dyDescent="0.15">
      <c r="A12" s="452"/>
      <c r="B12" s="9">
        <v>7</v>
      </c>
      <c r="C12" s="9" t="s">
        <v>13</v>
      </c>
      <c r="D12" s="9">
        <v>3812</v>
      </c>
      <c r="E12" s="9">
        <v>62</v>
      </c>
      <c r="F12" s="9">
        <f t="shared" si="10"/>
        <v>3750</v>
      </c>
      <c r="G12" s="10">
        <f>[9]导出数据!$L$12</f>
        <v>31066.805055037577</v>
      </c>
      <c r="H12" s="10">
        <f t="shared" si="1"/>
        <v>8.2844813480100203</v>
      </c>
      <c r="I12" s="10">
        <f>I9</f>
        <v>1.4129958936414613</v>
      </c>
      <c r="J12" s="10">
        <f t="shared" si="2"/>
        <v>5298.73460115548</v>
      </c>
      <c r="K12" s="10">
        <f>K3</f>
        <v>0.72126144697254591</v>
      </c>
      <c r="L12" s="10">
        <f t="shared" si="3"/>
        <v>2704.7304261470472</v>
      </c>
      <c r="M12" s="10">
        <f>M3</f>
        <v>5.5234815720195561E-3</v>
      </c>
      <c r="N12" s="10">
        <f t="shared" si="4"/>
        <v>20.713055895073335</v>
      </c>
      <c r="O12" s="10">
        <f>O3</f>
        <v>-1.6701275855584805</v>
      </c>
      <c r="P12" s="10">
        <f t="shared" si="5"/>
        <v>-6262.9784458443019</v>
      </c>
      <c r="Q12" s="10">
        <f t="shared" si="6"/>
        <v>8.7541345846375673</v>
      </c>
      <c r="R12" s="10">
        <f t="shared" si="7"/>
        <v>32828.004692390874</v>
      </c>
      <c r="S12" s="10">
        <f>S3</f>
        <v>17.347084938035266</v>
      </c>
      <c r="T12" s="10">
        <f t="shared" ref="T12:Z12" si="20">T3</f>
        <v>0.17003006079367827</v>
      </c>
      <c r="U12" s="10">
        <f t="shared" si="20"/>
        <v>1.3157246463885297</v>
      </c>
      <c r="V12" s="10">
        <f t="shared" si="20"/>
        <v>0.35560906711744278</v>
      </c>
      <c r="W12" s="10">
        <f t="shared" si="20"/>
        <v>5.7690022708526385</v>
      </c>
      <c r="X12" s="10">
        <f t="shared" si="20"/>
        <v>1.4831094999032597</v>
      </c>
      <c r="Y12" s="10">
        <f t="shared" si="20"/>
        <v>2.9402726652478082</v>
      </c>
      <c r="Z12" s="10">
        <f t="shared" si="20"/>
        <v>2.084247634952801</v>
      </c>
      <c r="AA12" s="10">
        <f t="shared" si="9"/>
        <v>40.219215367928996</v>
      </c>
    </row>
    <row r="13" spans="1:27" s="8" customFormat="1" ht="15" customHeight="1" x14ac:dyDescent="0.15">
      <c r="A13" s="452"/>
      <c r="B13" s="9">
        <v>8</v>
      </c>
      <c r="C13" s="9" t="s">
        <v>16</v>
      </c>
      <c r="D13" s="9">
        <v>43051</v>
      </c>
      <c r="E13" s="9">
        <v>62</v>
      </c>
      <c r="F13" s="9">
        <f>D13-E13</f>
        <v>42989</v>
      </c>
      <c r="G13" s="10">
        <f>[9]导出数据!$L$15</f>
        <v>280561.08955087443</v>
      </c>
      <c r="H13" s="10">
        <f>G13/F13</f>
        <v>6.5263460315632935</v>
      </c>
      <c r="I13" s="10">
        <f>I9</f>
        <v>1.4129958936414613</v>
      </c>
      <c r="J13" s="10">
        <f t="shared" si="2"/>
        <v>60743.280471752776</v>
      </c>
      <c r="K13" s="10">
        <f>K3</f>
        <v>0.72126144697254591</v>
      </c>
      <c r="L13" s="10">
        <f t="shared" si="3"/>
        <v>31006.308343902776</v>
      </c>
      <c r="M13" s="10">
        <f>M3</f>
        <v>5.5234815720195561E-3</v>
      </c>
      <c r="N13" s="10">
        <f t="shared" si="4"/>
        <v>237.4489492995487</v>
      </c>
      <c r="O13" s="10">
        <f>O3</f>
        <v>-1.6701275855584805</v>
      </c>
      <c r="P13" s="10">
        <f t="shared" si="5"/>
        <v>-71797.114775573515</v>
      </c>
      <c r="Q13" s="535">
        <f t="shared" si="6"/>
        <v>6.9959992681908396</v>
      </c>
      <c r="R13" s="10">
        <f t="shared" si="7"/>
        <v>300751.01254025602</v>
      </c>
      <c r="S13" s="10">
        <f>S3</f>
        <v>17.347084938035266</v>
      </c>
      <c r="T13" s="10">
        <f t="shared" ref="T13:Z13" si="21">T3</f>
        <v>0.17003006079367827</v>
      </c>
      <c r="U13" s="10">
        <f t="shared" si="21"/>
        <v>1.3157246463885297</v>
      </c>
      <c r="V13" s="10">
        <f t="shared" si="21"/>
        <v>0.35560906711744278</v>
      </c>
      <c r="W13" s="10">
        <f t="shared" si="21"/>
        <v>5.7690022708526385</v>
      </c>
      <c r="X13" s="10">
        <f t="shared" si="21"/>
        <v>1.4831094999032597</v>
      </c>
      <c r="Y13" s="10">
        <f t="shared" si="21"/>
        <v>2.9402726652478082</v>
      </c>
      <c r="Z13" s="10">
        <f t="shared" si="21"/>
        <v>2.084247634952801</v>
      </c>
      <c r="AA13" s="10">
        <f t="shared" si="9"/>
        <v>38.461080051482263</v>
      </c>
    </row>
    <row r="14" spans="1:27" s="8" customFormat="1" ht="15" customHeight="1" x14ac:dyDescent="0.15">
      <c r="A14" s="452"/>
      <c r="B14" s="9">
        <v>9</v>
      </c>
      <c r="C14" s="9" t="s">
        <v>15</v>
      </c>
      <c r="D14" s="9">
        <v>8220</v>
      </c>
      <c r="E14" s="9">
        <v>62</v>
      </c>
      <c r="F14" s="9">
        <f>D14-E14</f>
        <v>8158</v>
      </c>
      <c r="G14" s="10">
        <f>[9]导出数据!$L$14</f>
        <v>94692.077692340681</v>
      </c>
      <c r="H14" s="10">
        <f t="shared" si="1"/>
        <v>11.607266204013323</v>
      </c>
      <c r="I14" s="10">
        <f>[10]Sheet2!$C$14</f>
        <v>1.7647312892733102</v>
      </c>
      <c r="J14" s="10">
        <f t="shared" si="2"/>
        <v>14396.677857891666</v>
      </c>
      <c r="K14" s="10">
        <f>K3</f>
        <v>0.72126144697254591</v>
      </c>
      <c r="L14" s="10">
        <f t="shared" si="3"/>
        <v>5884.0508844020296</v>
      </c>
      <c r="M14" s="10">
        <f>M3</f>
        <v>5.5234815720195561E-3</v>
      </c>
      <c r="N14" s="10">
        <f t="shared" si="4"/>
        <v>45.060562664535539</v>
      </c>
      <c r="O14" s="10">
        <f>O3</f>
        <v>-1.6701275855584805</v>
      </c>
      <c r="P14" s="10">
        <f t="shared" si="5"/>
        <v>-13624.900842986084</v>
      </c>
      <c r="Q14" s="535">
        <f t="shared" si="6"/>
        <v>12.428654836272718</v>
      </c>
      <c r="R14" s="10">
        <f t="shared" si="7"/>
        <v>101392.96615431283</v>
      </c>
      <c r="S14" s="10">
        <f>S3</f>
        <v>17.347084938035266</v>
      </c>
      <c r="T14" s="10">
        <f t="shared" ref="T14:Z14" si="22">T3</f>
        <v>0.17003006079367827</v>
      </c>
      <c r="U14" s="10">
        <f t="shared" si="22"/>
        <v>1.3157246463885297</v>
      </c>
      <c r="V14" s="10">
        <f t="shared" si="22"/>
        <v>0.35560906711744278</v>
      </c>
      <c r="W14" s="10">
        <f t="shared" si="22"/>
        <v>5.7690022708526385</v>
      </c>
      <c r="X14" s="10">
        <f t="shared" si="22"/>
        <v>1.4831094999032597</v>
      </c>
      <c r="Y14" s="10">
        <f t="shared" si="22"/>
        <v>2.9402726652478082</v>
      </c>
      <c r="Z14" s="10">
        <f t="shared" si="22"/>
        <v>2.084247634952801</v>
      </c>
      <c r="AA14" s="10">
        <f t="shared" si="9"/>
        <v>43.893735619564147</v>
      </c>
    </row>
    <row r="15" spans="1:27" s="8" customFormat="1" ht="15" customHeight="1" x14ac:dyDescent="0.15">
      <c r="A15" s="452"/>
      <c r="B15" s="9">
        <v>10</v>
      </c>
      <c r="C15" s="9" t="s">
        <v>14</v>
      </c>
      <c r="D15" s="9">
        <v>3862</v>
      </c>
      <c r="E15" s="9">
        <v>62</v>
      </c>
      <c r="F15" s="9">
        <f>D15-E15</f>
        <v>3800</v>
      </c>
      <c r="G15" s="10">
        <f>[9]导出数据!$L$13</f>
        <v>41628.102589104747</v>
      </c>
      <c r="H15" s="10">
        <f>G15/F15</f>
        <v>10.95476383923809</v>
      </c>
      <c r="I15" s="10">
        <f>I14</f>
        <v>1.7647312892733102</v>
      </c>
      <c r="J15" s="10">
        <f t="shared" si="2"/>
        <v>6705.9788992385793</v>
      </c>
      <c r="K15" s="10">
        <f>K3</f>
        <v>0.72126144697254591</v>
      </c>
      <c r="L15" s="10">
        <f t="shared" si="3"/>
        <v>2740.7934984956746</v>
      </c>
      <c r="M15" s="10">
        <f>M3</f>
        <v>5.5234815720195561E-3</v>
      </c>
      <c r="N15" s="10">
        <f t="shared" si="4"/>
        <v>20.989229973674313</v>
      </c>
      <c r="O15" s="10">
        <f>O3</f>
        <v>-1.6701275855584805</v>
      </c>
      <c r="P15" s="10">
        <f t="shared" si="5"/>
        <v>-6346.4848251222256</v>
      </c>
      <c r="Q15" s="10">
        <f t="shared" si="6"/>
        <v>11.776152471497486</v>
      </c>
      <c r="R15" s="10">
        <f t="shared" si="7"/>
        <v>44749.379391690447</v>
      </c>
      <c r="S15" s="10">
        <f>S3</f>
        <v>17.347084938035266</v>
      </c>
      <c r="T15" s="10">
        <f t="shared" ref="T15:Z15" si="23">T3</f>
        <v>0.17003006079367827</v>
      </c>
      <c r="U15" s="10">
        <f t="shared" si="23"/>
        <v>1.3157246463885297</v>
      </c>
      <c r="V15" s="10">
        <f t="shared" si="23"/>
        <v>0.35560906711744278</v>
      </c>
      <c r="W15" s="10">
        <f t="shared" si="23"/>
        <v>5.7690022708526385</v>
      </c>
      <c r="X15" s="10">
        <f t="shared" si="23"/>
        <v>1.4831094999032597</v>
      </c>
      <c r="Y15" s="10">
        <f t="shared" si="23"/>
        <v>2.9402726652478082</v>
      </c>
      <c r="Z15" s="10">
        <f t="shared" si="23"/>
        <v>2.084247634952801</v>
      </c>
      <c r="AA15" s="10">
        <f t="shared" si="9"/>
        <v>43.241233254788909</v>
      </c>
    </row>
    <row r="16" spans="1:27" s="375" customFormat="1" ht="15" customHeight="1" x14ac:dyDescent="0.15">
      <c r="A16" s="452"/>
      <c r="B16" s="453" t="s">
        <v>251</v>
      </c>
      <c r="C16" s="455"/>
      <c r="D16" s="373">
        <f>SUM(D9:D15)</f>
        <v>207189</v>
      </c>
      <c r="E16" s="373">
        <f t="shared" ref="E16:F16" si="24">SUM(E9:E15)</f>
        <v>434</v>
      </c>
      <c r="F16" s="373">
        <f t="shared" si="24"/>
        <v>206755</v>
      </c>
      <c r="G16" s="374">
        <f>SUM(G9:G15)</f>
        <v>1464004.9740656917</v>
      </c>
      <c r="H16" s="374">
        <f t="shared" si="1"/>
        <v>7.0808685355405752</v>
      </c>
      <c r="I16" s="374">
        <f>J16/F16</f>
        <v>1.4333390624207683</v>
      </c>
      <c r="J16" s="374">
        <f>SUM(J9:J15)</f>
        <v>296350.01785080595</v>
      </c>
      <c r="K16" s="374">
        <f>K3</f>
        <v>0.72126144697254591</v>
      </c>
      <c r="L16" s="374">
        <f t="shared" si="3"/>
        <v>149124.41046880872</v>
      </c>
      <c r="M16" s="374">
        <f>M3</f>
        <v>5.5234815720195561E-3</v>
      </c>
      <c r="N16" s="374">
        <f t="shared" si="4"/>
        <v>1142.0074324229033</v>
      </c>
      <c r="O16" s="374">
        <f>O3</f>
        <v>-1.6701275855584805</v>
      </c>
      <c r="P16" s="374">
        <f t="shared" si="5"/>
        <v>-345307.22895214363</v>
      </c>
      <c r="Q16" s="374">
        <f t="shared" si="6"/>
        <v>7.5708649409474287</v>
      </c>
      <c r="R16" s="374">
        <f t="shared" si="7"/>
        <v>1565314.1808655856</v>
      </c>
      <c r="S16" s="374">
        <f>S3</f>
        <v>17.347084938035266</v>
      </c>
      <c r="T16" s="374">
        <f t="shared" ref="T16:Z16" si="25">T3</f>
        <v>0.17003006079367827</v>
      </c>
      <c r="U16" s="374">
        <f t="shared" si="25"/>
        <v>1.3157246463885297</v>
      </c>
      <c r="V16" s="374">
        <f t="shared" si="25"/>
        <v>0.35560906711744278</v>
      </c>
      <c r="W16" s="374">
        <f t="shared" si="25"/>
        <v>5.7690022708526385</v>
      </c>
      <c r="X16" s="374">
        <f t="shared" si="25"/>
        <v>1.4831094999032597</v>
      </c>
      <c r="Y16" s="374">
        <f t="shared" si="25"/>
        <v>2.9402726652478082</v>
      </c>
      <c r="Z16" s="374">
        <f t="shared" si="25"/>
        <v>2.084247634952801</v>
      </c>
      <c r="AA16" s="374">
        <f t="shared" si="9"/>
        <v>39.035945724238857</v>
      </c>
    </row>
    <row r="17" spans="1:27" s="8" customFormat="1" ht="15" customHeight="1" x14ac:dyDescent="0.15">
      <c r="A17" s="452"/>
      <c r="B17" s="9">
        <v>11</v>
      </c>
      <c r="C17" s="9" t="s">
        <v>17</v>
      </c>
      <c r="D17" s="9">
        <v>21294</v>
      </c>
      <c r="E17" s="9">
        <v>62</v>
      </c>
      <c r="F17" s="9">
        <f>D17-E17</f>
        <v>21232</v>
      </c>
      <c r="G17" s="10">
        <f>[9]导出数据!$L$17</f>
        <v>220711.02</v>
      </c>
      <c r="H17" s="10">
        <f t="shared" si="1"/>
        <v>10.395206292388847</v>
      </c>
      <c r="I17" s="10">
        <f>[10]Sheet2!$C$18</f>
        <v>1.836959034859077</v>
      </c>
      <c r="J17" s="10">
        <f t="shared" si="2"/>
        <v>39002.314228127922</v>
      </c>
      <c r="K17" s="10">
        <f>K3</f>
        <v>0.72126144697254591</v>
      </c>
      <c r="L17" s="10">
        <f t="shared" si="3"/>
        <v>15313.823042121096</v>
      </c>
      <c r="M17" s="10">
        <f>M3</f>
        <v>5.5234815720195561E-3</v>
      </c>
      <c r="N17" s="10">
        <f t="shared" si="4"/>
        <v>117.27456073711922</v>
      </c>
      <c r="O17" s="10">
        <f>O3</f>
        <v>-1.6701275855584805</v>
      </c>
      <c r="P17" s="10">
        <f t="shared" si="5"/>
        <v>-35460.148896577659</v>
      </c>
      <c r="Q17" s="535">
        <f t="shared" si="6"/>
        <v>11.28882267023401</v>
      </c>
      <c r="R17" s="10">
        <f t="shared" si="7"/>
        <v>239684.28293440852</v>
      </c>
      <c r="S17" s="10">
        <f>S3</f>
        <v>17.347084938035266</v>
      </c>
      <c r="T17" s="10">
        <f t="shared" ref="T17:Z17" si="26">T3</f>
        <v>0.17003006079367827</v>
      </c>
      <c r="U17" s="10">
        <f t="shared" si="26"/>
        <v>1.3157246463885297</v>
      </c>
      <c r="V17" s="10">
        <f t="shared" si="26"/>
        <v>0.35560906711744278</v>
      </c>
      <c r="W17" s="10">
        <f t="shared" si="26"/>
        <v>5.7690022708526385</v>
      </c>
      <c r="X17" s="10">
        <f t="shared" si="26"/>
        <v>1.4831094999032597</v>
      </c>
      <c r="Y17" s="10">
        <f t="shared" si="26"/>
        <v>2.9402726652478082</v>
      </c>
      <c r="Z17" s="10">
        <f t="shared" si="26"/>
        <v>2.084247634952801</v>
      </c>
      <c r="AA17" s="10">
        <f t="shared" si="9"/>
        <v>42.753903453525439</v>
      </c>
    </row>
    <row r="18" spans="1:27" s="8" customFormat="1" ht="15" customHeight="1" x14ac:dyDescent="0.15">
      <c r="A18" s="452"/>
      <c r="B18" s="9">
        <v>12</v>
      </c>
      <c r="C18" s="9" t="s">
        <v>18</v>
      </c>
      <c r="D18" s="9">
        <v>21182</v>
      </c>
      <c r="E18" s="9">
        <v>67</v>
      </c>
      <c r="F18" s="9">
        <f>D18-E18</f>
        <v>21115</v>
      </c>
      <c r="G18" s="10">
        <f>[9]导出数据!$L$18</f>
        <v>275740.82</v>
      </c>
      <c r="H18" s="10">
        <f t="shared" si="1"/>
        <v>13.059001657589391</v>
      </c>
      <c r="I18" s="10">
        <f>I17</f>
        <v>1.836959034859077</v>
      </c>
      <c r="J18" s="10">
        <f t="shared" si="2"/>
        <v>38787.39002104941</v>
      </c>
      <c r="K18" s="10">
        <f>K3</f>
        <v>0.72126144697254591</v>
      </c>
      <c r="L18" s="10">
        <f t="shared" si="3"/>
        <v>15229.435452825306</v>
      </c>
      <c r="M18" s="10">
        <f>M3</f>
        <v>5.5234815720195561E-3</v>
      </c>
      <c r="N18" s="10">
        <f t="shared" si="4"/>
        <v>116.62831339319293</v>
      </c>
      <c r="O18" s="10">
        <f>O3</f>
        <v>-1.6701275855584805</v>
      </c>
      <c r="P18" s="10">
        <f t="shared" si="5"/>
        <v>-35264.743969067313</v>
      </c>
      <c r="Q18" s="10">
        <f t="shared" si="6"/>
        <v>13.952618035434554</v>
      </c>
      <c r="R18" s="10">
        <f t="shared" si="7"/>
        <v>294609.52981820062</v>
      </c>
      <c r="S18" s="10">
        <f>S3</f>
        <v>17.347084938035266</v>
      </c>
      <c r="T18" s="10">
        <f t="shared" ref="T18:Z18" si="27">T3</f>
        <v>0.17003006079367827</v>
      </c>
      <c r="U18" s="10">
        <f t="shared" si="27"/>
        <v>1.3157246463885297</v>
      </c>
      <c r="V18" s="10">
        <f t="shared" si="27"/>
        <v>0.35560906711744278</v>
      </c>
      <c r="W18" s="10">
        <f t="shared" si="27"/>
        <v>5.7690022708526385</v>
      </c>
      <c r="X18" s="10">
        <f t="shared" si="27"/>
        <v>1.4831094999032597</v>
      </c>
      <c r="Y18" s="10">
        <f t="shared" si="27"/>
        <v>2.9402726652478082</v>
      </c>
      <c r="Z18" s="10">
        <f t="shared" si="27"/>
        <v>2.084247634952801</v>
      </c>
      <c r="AA18" s="10">
        <f t="shared" si="9"/>
        <v>45.417698818725981</v>
      </c>
    </row>
    <row r="19" spans="1:27" s="375" customFormat="1" ht="15" customHeight="1" x14ac:dyDescent="0.15">
      <c r="A19" s="452"/>
      <c r="B19" s="453" t="s">
        <v>251</v>
      </c>
      <c r="C19" s="455"/>
      <c r="D19" s="373">
        <f t="shared" ref="D19:G19" si="28">SUM(D17:D18)</f>
        <v>42476</v>
      </c>
      <c r="E19" s="373">
        <f t="shared" si="28"/>
        <v>129</v>
      </c>
      <c r="F19" s="373">
        <f t="shared" si="28"/>
        <v>42347</v>
      </c>
      <c r="G19" s="374">
        <f t="shared" si="28"/>
        <v>496451.83999999997</v>
      </c>
      <c r="H19" s="374">
        <f t="shared" si="1"/>
        <v>11.723424091435048</v>
      </c>
      <c r="I19" s="374">
        <f>I17</f>
        <v>1.836959034859077</v>
      </c>
      <c r="J19" s="374">
        <f t="shared" si="2"/>
        <v>77789.704249177332</v>
      </c>
      <c r="K19" s="374">
        <f>K3</f>
        <v>0.72126144697254591</v>
      </c>
      <c r="L19" s="374">
        <f t="shared" si="3"/>
        <v>30543.2584949464</v>
      </c>
      <c r="M19" s="374">
        <f>M3</f>
        <v>5.5234815720195561E-3</v>
      </c>
      <c r="N19" s="374">
        <f t="shared" si="4"/>
        <v>233.90287413031214</v>
      </c>
      <c r="O19" s="374">
        <f>O3</f>
        <v>-1.6701275855584805</v>
      </c>
      <c r="P19" s="374">
        <f t="shared" si="5"/>
        <v>-70724.892865644972</v>
      </c>
      <c r="Q19" s="374">
        <f t="shared" si="6"/>
        <v>12.617040469280211</v>
      </c>
      <c r="R19" s="374">
        <f t="shared" si="7"/>
        <v>534293.81275260902</v>
      </c>
      <c r="S19" s="374">
        <f>S3</f>
        <v>17.347084938035266</v>
      </c>
      <c r="T19" s="374">
        <f t="shared" ref="T19:Z19" si="29">T3</f>
        <v>0.17003006079367827</v>
      </c>
      <c r="U19" s="374">
        <f t="shared" si="29"/>
        <v>1.3157246463885297</v>
      </c>
      <c r="V19" s="374">
        <f t="shared" si="29"/>
        <v>0.35560906711744278</v>
      </c>
      <c r="W19" s="374">
        <f t="shared" si="29"/>
        <v>5.7690022708526385</v>
      </c>
      <c r="X19" s="374">
        <f t="shared" si="29"/>
        <v>1.4831094999032597</v>
      </c>
      <c r="Y19" s="374">
        <f t="shared" si="29"/>
        <v>2.9402726652478082</v>
      </c>
      <c r="Z19" s="374">
        <f t="shared" si="29"/>
        <v>2.084247634952801</v>
      </c>
      <c r="AA19" s="374">
        <f t="shared" si="9"/>
        <v>44.082121252571639</v>
      </c>
    </row>
    <row r="20" spans="1:27" s="8" customFormat="1" ht="15" customHeight="1" x14ac:dyDescent="0.15">
      <c r="A20" s="452"/>
      <c r="B20" s="9">
        <v>13</v>
      </c>
      <c r="C20" s="9" t="s">
        <v>19</v>
      </c>
      <c r="D20" s="9">
        <v>6397</v>
      </c>
      <c r="E20" s="9">
        <v>62</v>
      </c>
      <c r="F20" s="9">
        <f>D20-E20</f>
        <v>6335</v>
      </c>
      <c r="G20" s="10">
        <f>[9]导出数据!$L$20</f>
        <v>106488.56015456954</v>
      </c>
      <c r="H20" s="10">
        <f t="shared" si="1"/>
        <v>16.809559613980984</v>
      </c>
      <c r="I20" s="10">
        <f>I15</f>
        <v>1.7647312892733102</v>
      </c>
      <c r="J20" s="10">
        <f t="shared" si="2"/>
        <v>11179.57271754642</v>
      </c>
      <c r="K20" s="10">
        <f>K3</f>
        <v>0.72126144697254591</v>
      </c>
      <c r="L20" s="10">
        <f t="shared" si="3"/>
        <v>4569.1912665710779</v>
      </c>
      <c r="M20" s="10">
        <f>M3</f>
        <v>5.5234815720195561E-3</v>
      </c>
      <c r="N20" s="10">
        <f t="shared" si="4"/>
        <v>34.99125575874389</v>
      </c>
      <c r="O20" s="10">
        <f>O3</f>
        <v>-1.6701275855584805</v>
      </c>
      <c r="P20" s="10">
        <f t="shared" si="5"/>
        <v>-10580.258254512974</v>
      </c>
      <c r="Q20" s="535">
        <f t="shared" si="6"/>
        <v>17.630948246240379</v>
      </c>
      <c r="R20" s="10">
        <f t="shared" si="7"/>
        <v>111692.0571399328</v>
      </c>
      <c r="S20" s="10">
        <f>S3</f>
        <v>17.347084938035266</v>
      </c>
      <c r="T20" s="10">
        <f t="shared" ref="T20:Z20" si="30">T3</f>
        <v>0.17003006079367827</v>
      </c>
      <c r="U20" s="10">
        <f t="shared" si="30"/>
        <v>1.3157246463885297</v>
      </c>
      <c r="V20" s="10">
        <f t="shared" si="30"/>
        <v>0.35560906711744278</v>
      </c>
      <c r="W20" s="10">
        <f t="shared" si="30"/>
        <v>5.7690022708526385</v>
      </c>
      <c r="X20" s="10">
        <f t="shared" si="30"/>
        <v>1.4831094999032597</v>
      </c>
      <c r="Y20" s="10">
        <f t="shared" si="30"/>
        <v>2.9402726652478082</v>
      </c>
      <c r="Z20" s="10">
        <f t="shared" si="30"/>
        <v>2.084247634952801</v>
      </c>
      <c r="AA20" s="10">
        <f t="shared" si="9"/>
        <v>49.096029029531806</v>
      </c>
    </row>
    <row r="21" spans="1:27" s="8" customFormat="1" ht="15" customHeight="1" x14ac:dyDescent="0.15">
      <c r="A21" s="452"/>
      <c r="B21" s="9">
        <v>14</v>
      </c>
      <c r="C21" s="9" t="s">
        <v>20</v>
      </c>
      <c r="D21" s="9">
        <v>32195</v>
      </c>
      <c r="E21" s="9">
        <v>62</v>
      </c>
      <c r="F21" s="9">
        <f t="shared" si="10"/>
        <v>32133</v>
      </c>
      <c r="G21" s="10">
        <f>[9]导出数据!$L$21</f>
        <v>537294.37792533962</v>
      </c>
      <c r="H21" s="10">
        <f t="shared" si="1"/>
        <v>16.720952849884529</v>
      </c>
      <c r="I21" s="10">
        <f>[10]Sheet2!$H$12</f>
        <v>1.797253558486406</v>
      </c>
      <c r="J21" s="10">
        <f t="shared" si="2"/>
        <v>57751.148594843682</v>
      </c>
      <c r="K21" s="10">
        <f>K3</f>
        <v>0.72126144697254591</v>
      </c>
      <c r="L21" s="10">
        <f t="shared" si="3"/>
        <v>23176.294075568818</v>
      </c>
      <c r="M21" s="10">
        <f>M3</f>
        <v>5.5234815720195561E-3</v>
      </c>
      <c r="N21" s="10">
        <f t="shared" si="4"/>
        <v>177.48603335370439</v>
      </c>
      <c r="O21" s="10">
        <f>O3</f>
        <v>-1.6701275855584805</v>
      </c>
      <c r="P21" s="10">
        <f t="shared" si="5"/>
        <v>-53666.209706750655</v>
      </c>
      <c r="Q21" s="535">
        <f t="shared" si="6"/>
        <v>17.574863751357022</v>
      </c>
      <c r="R21" s="10">
        <f t="shared" si="7"/>
        <v>564733.09692235512</v>
      </c>
      <c r="S21" s="10">
        <f>S3</f>
        <v>17.347084938035266</v>
      </c>
      <c r="T21" s="10">
        <f t="shared" ref="T21:Z21" si="31">T3</f>
        <v>0.17003006079367827</v>
      </c>
      <c r="U21" s="10">
        <f t="shared" si="31"/>
        <v>1.3157246463885297</v>
      </c>
      <c r="V21" s="10">
        <f t="shared" si="31"/>
        <v>0.35560906711744278</v>
      </c>
      <c r="W21" s="10">
        <f t="shared" si="31"/>
        <v>5.7690022708526385</v>
      </c>
      <c r="X21" s="10">
        <f t="shared" si="31"/>
        <v>1.4831094999032597</v>
      </c>
      <c r="Y21" s="10">
        <f t="shared" si="31"/>
        <v>2.9402726652478082</v>
      </c>
      <c r="Z21" s="10">
        <f t="shared" si="31"/>
        <v>2.084247634952801</v>
      </c>
      <c r="AA21" s="10">
        <f t="shared" si="9"/>
        <v>49.039944534648448</v>
      </c>
    </row>
    <row r="22" spans="1:27" s="8" customFormat="1" ht="15" customHeight="1" x14ac:dyDescent="0.15">
      <c r="A22" s="452"/>
      <c r="B22" s="9">
        <v>15</v>
      </c>
      <c r="C22" s="9" t="s">
        <v>21</v>
      </c>
      <c r="D22" s="9">
        <v>96965</v>
      </c>
      <c r="E22" s="9">
        <v>62</v>
      </c>
      <c r="F22" s="9">
        <f t="shared" si="10"/>
        <v>96903</v>
      </c>
      <c r="G22" s="10">
        <f>[9]导出数据!$L$22</f>
        <v>1732062.1811946966</v>
      </c>
      <c r="H22" s="10">
        <f t="shared" si="1"/>
        <v>17.874185331668748</v>
      </c>
      <c r="I22" s="10">
        <f>I21</f>
        <v>1.797253558486406</v>
      </c>
      <c r="J22" s="10">
        <f t="shared" si="2"/>
        <v>174159.26157800821</v>
      </c>
      <c r="K22" s="10">
        <f>K3</f>
        <v>0.72126144697254591</v>
      </c>
      <c r="L22" s="10">
        <f t="shared" si="3"/>
        <v>69892.397995980617</v>
      </c>
      <c r="M22" s="10">
        <f>M3</f>
        <v>5.5234815720195561E-3</v>
      </c>
      <c r="N22" s="10">
        <f t="shared" si="4"/>
        <v>535.241934773411</v>
      </c>
      <c r="O22" s="10">
        <f>O3</f>
        <v>-1.6701275855584805</v>
      </c>
      <c r="P22" s="10">
        <f t="shared" si="5"/>
        <v>-161840.37342337344</v>
      </c>
      <c r="Q22" s="535">
        <f t="shared" si="6"/>
        <v>18.72809623314124</v>
      </c>
      <c r="R22" s="10">
        <f t="shared" si="7"/>
        <v>1814808.7092800855</v>
      </c>
      <c r="S22" s="10">
        <f>S3</f>
        <v>17.347084938035266</v>
      </c>
      <c r="T22" s="10">
        <f t="shared" ref="T22:Z22" si="32">T3</f>
        <v>0.17003006079367827</v>
      </c>
      <c r="U22" s="10">
        <f t="shared" si="32"/>
        <v>1.3157246463885297</v>
      </c>
      <c r="V22" s="10">
        <f t="shared" si="32"/>
        <v>0.35560906711744278</v>
      </c>
      <c r="W22" s="10">
        <f t="shared" si="32"/>
        <v>5.7690022708526385</v>
      </c>
      <c r="X22" s="10">
        <f t="shared" si="32"/>
        <v>1.4831094999032597</v>
      </c>
      <c r="Y22" s="10">
        <f t="shared" si="32"/>
        <v>2.9402726652478082</v>
      </c>
      <c r="Z22" s="10">
        <f t="shared" si="32"/>
        <v>2.084247634952801</v>
      </c>
      <c r="AA22" s="10">
        <f t="shared" si="9"/>
        <v>50.193177016432671</v>
      </c>
    </row>
    <row r="23" spans="1:27" s="375" customFormat="1" ht="15" customHeight="1" x14ac:dyDescent="0.15">
      <c r="A23" s="452"/>
      <c r="B23" s="453" t="s">
        <v>251</v>
      </c>
      <c r="C23" s="455"/>
      <c r="D23" s="373">
        <f t="shared" ref="D23:G23" si="33">SUM(D20:D22)</f>
        <v>135557</v>
      </c>
      <c r="E23" s="373">
        <f t="shared" si="33"/>
        <v>186</v>
      </c>
      <c r="F23" s="373">
        <f t="shared" si="33"/>
        <v>135371</v>
      </c>
      <c r="G23" s="374">
        <f t="shared" si="33"/>
        <v>2375845.119274606</v>
      </c>
      <c r="H23" s="374">
        <f t="shared" si="1"/>
        <v>17.55062102868861</v>
      </c>
      <c r="I23" s="374">
        <f>J23/F23</f>
        <v>1.7957316034482889</v>
      </c>
      <c r="J23" s="374">
        <f>SUM(J20:J22)</f>
        <v>243089.9828903983</v>
      </c>
      <c r="K23" s="374">
        <f>K3</f>
        <v>0.72126144697254591</v>
      </c>
      <c r="L23" s="374">
        <f t="shared" si="3"/>
        <v>97637.883338120519</v>
      </c>
      <c r="M23" s="374">
        <f>M3</f>
        <v>5.5234815720195561E-3</v>
      </c>
      <c r="N23" s="374">
        <f t="shared" si="4"/>
        <v>747.71922388585938</v>
      </c>
      <c r="O23" s="374">
        <f>O3</f>
        <v>-1.6701275855584805</v>
      </c>
      <c r="P23" s="374">
        <f t="shared" si="5"/>
        <v>-226086.84138463705</v>
      </c>
      <c r="Q23" s="374">
        <f t="shared" si="6"/>
        <v>18.403009975122984</v>
      </c>
      <c r="R23" s="374">
        <f t="shared" si="7"/>
        <v>2491233.8633423736</v>
      </c>
      <c r="S23" s="374">
        <f>S3</f>
        <v>17.347084938035266</v>
      </c>
      <c r="T23" s="374">
        <f t="shared" ref="T23:Z23" si="34">T3</f>
        <v>0.17003006079367827</v>
      </c>
      <c r="U23" s="374">
        <f t="shared" si="34"/>
        <v>1.3157246463885297</v>
      </c>
      <c r="V23" s="374">
        <f t="shared" si="34"/>
        <v>0.35560906711744278</v>
      </c>
      <c r="W23" s="374">
        <f t="shared" si="34"/>
        <v>5.7690022708526385</v>
      </c>
      <c r="X23" s="374">
        <f t="shared" si="34"/>
        <v>1.4831094999032597</v>
      </c>
      <c r="Y23" s="374">
        <f t="shared" si="34"/>
        <v>2.9402726652478082</v>
      </c>
      <c r="Z23" s="374">
        <f t="shared" si="34"/>
        <v>2.084247634952801</v>
      </c>
      <c r="AA23" s="374">
        <f t="shared" si="9"/>
        <v>49.868090758414411</v>
      </c>
    </row>
    <row r="24" spans="1:27" s="8" customFormat="1" ht="15" customHeight="1" x14ac:dyDescent="0.15">
      <c r="A24" s="452" t="s">
        <v>71</v>
      </c>
      <c r="B24" s="9">
        <v>16</v>
      </c>
      <c r="C24" s="9" t="s">
        <v>22</v>
      </c>
      <c r="D24" s="9">
        <v>60000</v>
      </c>
      <c r="E24" s="9"/>
      <c r="F24" s="9">
        <f t="shared" si="10"/>
        <v>60000</v>
      </c>
      <c r="G24" s="10">
        <f>[9]导出数据!$L$24</f>
        <v>622318.24</v>
      </c>
      <c r="H24" s="10">
        <f t="shared" si="1"/>
        <v>10.371970666666666</v>
      </c>
      <c r="I24" s="10">
        <f>[10]Sheet2!$H$23</f>
        <v>1.5769029225958973</v>
      </c>
      <c r="J24" s="10">
        <f t="shared" si="2"/>
        <v>94614.175355753832</v>
      </c>
      <c r="K24" s="10"/>
      <c r="L24" s="10"/>
      <c r="M24" s="10"/>
      <c r="N24" s="10"/>
      <c r="O24" s="10"/>
      <c r="P24" s="10"/>
      <c r="Q24" s="10">
        <f t="shared" si="6"/>
        <v>11.948873589262563</v>
      </c>
      <c r="R24" s="10">
        <f t="shared" si="7"/>
        <v>716932.41535575374</v>
      </c>
      <c r="S24" s="10">
        <f>S3</f>
        <v>17.347084938035266</v>
      </c>
      <c r="T24" s="10">
        <f t="shared" ref="T24:Z24" si="35">T3</f>
        <v>0.17003006079367827</v>
      </c>
      <c r="U24" s="10">
        <f t="shared" si="35"/>
        <v>1.3157246463885297</v>
      </c>
      <c r="V24" s="10">
        <f t="shared" si="35"/>
        <v>0.35560906711744278</v>
      </c>
      <c r="W24" s="10">
        <f t="shared" si="35"/>
        <v>5.7690022708526385</v>
      </c>
      <c r="X24" s="10">
        <f t="shared" si="35"/>
        <v>1.4831094999032597</v>
      </c>
      <c r="Y24" s="10">
        <f t="shared" si="35"/>
        <v>2.9402726652478082</v>
      </c>
      <c r="Z24" s="10">
        <f t="shared" si="35"/>
        <v>2.084247634952801</v>
      </c>
      <c r="AA24" s="10">
        <f t="shared" si="9"/>
        <v>43.413954372553988</v>
      </c>
    </row>
    <row r="25" spans="1:27" s="375" customFormat="1" ht="15" customHeight="1" x14ac:dyDescent="0.15">
      <c r="A25" s="452"/>
      <c r="B25" s="453" t="s">
        <v>251</v>
      </c>
      <c r="C25" s="455"/>
      <c r="D25" s="373">
        <f t="shared" ref="D25:G25" si="36">SUM(D24)</f>
        <v>60000</v>
      </c>
      <c r="E25" s="373">
        <f t="shared" si="36"/>
        <v>0</v>
      </c>
      <c r="F25" s="373">
        <f t="shared" si="36"/>
        <v>60000</v>
      </c>
      <c r="G25" s="374">
        <f t="shared" si="36"/>
        <v>622318.24</v>
      </c>
      <c r="H25" s="374">
        <f t="shared" si="1"/>
        <v>10.371970666666666</v>
      </c>
      <c r="I25" s="374">
        <f>I24</f>
        <v>1.5769029225958973</v>
      </c>
      <c r="J25" s="374">
        <f t="shared" si="2"/>
        <v>94614.175355753832</v>
      </c>
      <c r="K25" s="374"/>
      <c r="L25" s="374"/>
      <c r="M25" s="374"/>
      <c r="N25" s="374"/>
      <c r="O25" s="374"/>
      <c r="P25" s="374"/>
      <c r="Q25" s="374">
        <f t="shared" si="6"/>
        <v>11.948873589262563</v>
      </c>
      <c r="R25" s="374">
        <f t="shared" si="7"/>
        <v>716932.41535575374</v>
      </c>
      <c r="S25" s="374">
        <f>S3</f>
        <v>17.347084938035266</v>
      </c>
      <c r="T25" s="374">
        <f t="shared" ref="T25:Z25" si="37">T3</f>
        <v>0.17003006079367827</v>
      </c>
      <c r="U25" s="374">
        <f t="shared" si="37"/>
        <v>1.3157246463885297</v>
      </c>
      <c r="V25" s="374">
        <f t="shared" si="37"/>
        <v>0.35560906711744278</v>
      </c>
      <c r="W25" s="374">
        <f t="shared" si="37"/>
        <v>5.7690022708526385</v>
      </c>
      <c r="X25" s="374">
        <f t="shared" si="37"/>
        <v>1.4831094999032597</v>
      </c>
      <c r="Y25" s="374">
        <f t="shared" si="37"/>
        <v>2.9402726652478082</v>
      </c>
      <c r="Z25" s="374">
        <f t="shared" si="37"/>
        <v>2.084247634952801</v>
      </c>
      <c r="AA25" s="374">
        <f t="shared" si="9"/>
        <v>43.413954372553988</v>
      </c>
    </row>
    <row r="26" spans="1:27" s="8" customFormat="1" ht="15" customHeight="1" x14ac:dyDescent="0.15">
      <c r="A26" s="452"/>
      <c r="B26" s="9">
        <v>17</v>
      </c>
      <c r="C26" s="9" t="s">
        <v>23</v>
      </c>
      <c r="D26" s="9">
        <v>5565</v>
      </c>
      <c r="E26" s="9"/>
      <c r="F26" s="9">
        <f t="shared" si="10"/>
        <v>5565</v>
      </c>
      <c r="G26" s="10">
        <f>[9]导出数据!$L$26</f>
        <v>90395.14</v>
      </c>
      <c r="H26" s="10">
        <f t="shared" si="1"/>
        <v>16.243511230907458</v>
      </c>
      <c r="I26" s="10">
        <f>[10]Sheet2!$H$35</f>
        <v>1.473321589262564</v>
      </c>
      <c r="J26" s="10">
        <f t="shared" si="2"/>
        <v>8199.0346442461687</v>
      </c>
      <c r="K26" s="10"/>
      <c r="L26" s="10"/>
      <c r="M26" s="10"/>
      <c r="N26" s="10"/>
      <c r="O26" s="10"/>
      <c r="P26" s="10"/>
      <c r="Q26" s="10">
        <f t="shared" si="6"/>
        <v>17.716832820170023</v>
      </c>
      <c r="R26" s="10">
        <f t="shared" si="7"/>
        <v>98594.174644246174</v>
      </c>
      <c r="S26" s="10">
        <f>S3</f>
        <v>17.347084938035266</v>
      </c>
      <c r="T26" s="10">
        <f t="shared" ref="T26:Z26" si="38">T3</f>
        <v>0.17003006079367827</v>
      </c>
      <c r="U26" s="10">
        <f t="shared" si="38"/>
        <v>1.3157246463885297</v>
      </c>
      <c r="V26" s="10">
        <f t="shared" si="38"/>
        <v>0.35560906711744278</v>
      </c>
      <c r="W26" s="10">
        <f t="shared" si="38"/>
        <v>5.7690022708526385</v>
      </c>
      <c r="X26" s="10">
        <f t="shared" si="38"/>
        <v>1.4831094999032597</v>
      </c>
      <c r="Y26" s="10">
        <f t="shared" si="38"/>
        <v>2.9402726652478082</v>
      </c>
      <c r="Z26" s="10">
        <f t="shared" si="38"/>
        <v>2.084247634952801</v>
      </c>
      <c r="AA26" s="10">
        <f t="shared" si="9"/>
        <v>49.181913603461453</v>
      </c>
    </row>
    <row r="27" spans="1:27" s="375" customFormat="1" ht="15" customHeight="1" x14ac:dyDescent="0.15">
      <c r="A27" s="452"/>
      <c r="B27" s="453" t="s">
        <v>251</v>
      </c>
      <c r="C27" s="455"/>
      <c r="D27" s="373">
        <f t="shared" ref="D27:G27" si="39">SUM(D26)</f>
        <v>5565</v>
      </c>
      <c r="E27" s="373">
        <f t="shared" si="39"/>
        <v>0</v>
      </c>
      <c r="F27" s="373">
        <f t="shared" si="39"/>
        <v>5565</v>
      </c>
      <c r="G27" s="374">
        <f t="shared" si="39"/>
        <v>90395.14</v>
      </c>
      <c r="H27" s="374">
        <f t="shared" si="1"/>
        <v>16.243511230907458</v>
      </c>
      <c r="I27" s="374">
        <f>I26</f>
        <v>1.473321589262564</v>
      </c>
      <c r="J27" s="374">
        <f t="shared" si="2"/>
        <v>8199.0346442461687</v>
      </c>
      <c r="K27" s="374"/>
      <c r="L27" s="374"/>
      <c r="M27" s="374"/>
      <c r="N27" s="374"/>
      <c r="O27" s="374"/>
      <c r="P27" s="374"/>
      <c r="Q27" s="374">
        <f t="shared" si="6"/>
        <v>17.716832820170023</v>
      </c>
      <c r="R27" s="374">
        <f t="shared" si="7"/>
        <v>98594.174644246174</v>
      </c>
      <c r="S27" s="374">
        <f>S3</f>
        <v>17.347084938035266</v>
      </c>
      <c r="T27" s="374">
        <f t="shared" ref="T27:Z27" si="40">T3</f>
        <v>0.17003006079367827</v>
      </c>
      <c r="U27" s="374">
        <f t="shared" si="40"/>
        <v>1.3157246463885297</v>
      </c>
      <c r="V27" s="374">
        <f t="shared" si="40"/>
        <v>0.35560906711744278</v>
      </c>
      <c r="W27" s="374">
        <f t="shared" si="40"/>
        <v>5.7690022708526385</v>
      </c>
      <c r="X27" s="374">
        <f t="shared" si="40"/>
        <v>1.4831094999032597</v>
      </c>
      <c r="Y27" s="374">
        <f t="shared" si="40"/>
        <v>2.9402726652478082</v>
      </c>
      <c r="Z27" s="374">
        <f t="shared" si="40"/>
        <v>2.084247634952801</v>
      </c>
      <c r="AA27" s="374">
        <f t="shared" si="9"/>
        <v>49.181913603461453</v>
      </c>
    </row>
    <row r="28" spans="1:27" s="375" customFormat="1" ht="15" customHeight="1" x14ac:dyDescent="0.15">
      <c r="A28" s="453" t="s">
        <v>252</v>
      </c>
      <c r="B28" s="454"/>
      <c r="C28" s="455"/>
      <c r="D28" s="373">
        <f>D4+D6+D8+D16+D23+D19+D25+D27</f>
        <v>491940</v>
      </c>
      <c r="E28" s="373">
        <f>E4+E6+E8+E16+E23+E19+E25+E27</f>
        <v>935</v>
      </c>
      <c r="F28" s="373">
        <f>F4+F6+F8+F16+F23+F19+F25+F27</f>
        <v>491005</v>
      </c>
      <c r="G28" s="374">
        <f>G4+G6+G8+G16+G23+G19+G25+G27</f>
        <v>5177168.58</v>
      </c>
      <c r="H28" s="374">
        <f t="shared" si="1"/>
        <v>10.544024154540178</v>
      </c>
      <c r="I28" s="374">
        <f>J28</f>
        <v>777750.57000000018</v>
      </c>
      <c r="J28" s="374">
        <f>J4+J6+J8+J16+J23+J19+J25+J27</f>
        <v>777750.57000000018</v>
      </c>
      <c r="K28" s="374">
        <f>L28</f>
        <v>306853.46999999991</v>
      </c>
      <c r="L28" s="374">
        <f>L4+L6+L8+L16+L23+L19+L25+L27</f>
        <v>306853.46999999991</v>
      </c>
      <c r="M28" s="374">
        <v>2349.91</v>
      </c>
      <c r="N28" s="374">
        <f>N4+N6+N8+N16+N23+N19+N25+N27</f>
        <v>2349.9100000000003</v>
      </c>
      <c r="O28" s="374">
        <v>-710539.08</v>
      </c>
      <c r="P28" s="374">
        <f>P4+P6+P8+P16+P23+P19+P25+P27</f>
        <v>-710539.08</v>
      </c>
      <c r="Q28" s="374">
        <f>R28/F28</f>
        <v>11.310645410942863</v>
      </c>
      <c r="R28" s="374">
        <f>R4+R6+R8+R16+R23+R19+R25+R27</f>
        <v>5553583.4500000002</v>
      </c>
      <c r="S28" s="374">
        <f>其他成本!F12</f>
        <v>8517505.4400000051</v>
      </c>
      <c r="T28" s="374">
        <f>其他成本!G12</f>
        <v>83485.61</v>
      </c>
      <c r="U28" s="374">
        <f>其他成本!H12</f>
        <v>646027.38</v>
      </c>
      <c r="V28" s="374">
        <f>其他成本!I12</f>
        <v>174605.83</v>
      </c>
      <c r="W28" s="374">
        <f>其他成本!J12</f>
        <v>2832608.96</v>
      </c>
      <c r="X28" s="374">
        <f>其他成本!K12</f>
        <v>728214.18</v>
      </c>
      <c r="Y28" s="374">
        <f>其他成本!L12</f>
        <v>1443688.58</v>
      </c>
      <c r="Z28" s="374">
        <f>其他成本!M12</f>
        <v>1023376.01</v>
      </c>
      <c r="AA28" s="374">
        <f>(R28+S28+T28+U28+V28+W28+X28+Y28+Z28)/F28</f>
        <v>42.775726194234295</v>
      </c>
    </row>
    <row r="29" spans="1:27" s="8" customFormat="1" ht="12" x14ac:dyDescent="0.15">
      <c r="A29" s="11" t="s">
        <v>82</v>
      </c>
    </row>
    <row r="30" spans="1:27" s="8" customFormat="1" ht="12" x14ac:dyDescent="0.15">
      <c r="A30" s="11" t="s">
        <v>248</v>
      </c>
    </row>
    <row r="31" spans="1:27" s="8" customFormat="1" ht="12" x14ac:dyDescent="0.15">
      <c r="A31" s="11" t="s">
        <v>246</v>
      </c>
    </row>
    <row r="32" spans="1:27" s="8" customFormat="1" ht="12" x14ac:dyDescent="0.15">
      <c r="A32" s="11" t="s">
        <v>247</v>
      </c>
    </row>
    <row r="33" spans="1:2" s="8" customFormat="1" x14ac:dyDescent="0.15">
      <c r="A33"/>
    </row>
    <row r="34" spans="1:2" s="8" customFormat="1" ht="12" x14ac:dyDescent="0.15">
      <c r="A34" s="11" t="s">
        <v>249</v>
      </c>
    </row>
    <row r="35" spans="1:2" s="8" customFormat="1" ht="12" x14ac:dyDescent="0.15"/>
    <row r="36" spans="1:2" s="8" customFormat="1" ht="12" x14ac:dyDescent="0.15"/>
    <row r="37" spans="1:2" s="371" customFormat="1" x14ac:dyDescent="0.15"/>
    <row r="38" spans="1:2" s="371" customFormat="1" x14ac:dyDescent="0.15"/>
    <row r="39" spans="1:2" s="371" customFormat="1" x14ac:dyDescent="0.15"/>
    <row r="40" spans="1:2" s="371" customFormat="1" x14ac:dyDescent="0.15">
      <c r="B40" s="372"/>
    </row>
    <row r="41" spans="1:2" s="371" customFormat="1" x14ac:dyDescent="0.15"/>
    <row r="42" spans="1:2" s="371" customFormat="1" x14ac:dyDescent="0.15"/>
    <row r="43" spans="1:2" s="371" customFormat="1" x14ac:dyDescent="0.15"/>
    <row r="44" spans="1:2" s="371" customFormat="1" x14ac:dyDescent="0.15">
      <c r="B44" s="372"/>
    </row>
    <row r="45" spans="1:2" s="371" customFormat="1" x14ac:dyDescent="0.15"/>
    <row r="46" spans="1:2" s="371" customFormat="1" x14ac:dyDescent="0.15"/>
  </sheetData>
  <mergeCells count="12">
    <mergeCell ref="A2:A23"/>
    <mergeCell ref="A24:A27"/>
    <mergeCell ref="A28:C28"/>
    <mergeCell ref="A1:AA1"/>
    <mergeCell ref="B4:C4"/>
    <mergeCell ref="B6:C6"/>
    <mergeCell ref="B8:C8"/>
    <mergeCell ref="B16:C16"/>
    <mergeCell ref="B19:C19"/>
    <mergeCell ref="B23:C23"/>
    <mergeCell ref="B25:C25"/>
    <mergeCell ref="B27:C27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2"/>
  <sheetViews>
    <sheetView workbookViewId="0">
      <pane xSplit="3" ySplit="3" topLeftCell="BL4" activePane="bottomRight" state="frozen"/>
      <selection pane="topRight" activeCell="D1" sqref="D1"/>
      <selection pane="bottomLeft" activeCell="A4" sqref="A4"/>
      <selection pane="bottomRight" activeCell="CU39" sqref="CU39"/>
    </sheetView>
  </sheetViews>
  <sheetFormatPr defaultRowHeight="13.5" x14ac:dyDescent="0.15"/>
  <cols>
    <col min="1" max="1" width="4.25" style="70" customWidth="1"/>
    <col min="2" max="2" width="3.25" style="4" customWidth="1"/>
    <col min="3" max="3" width="29.75" style="4" bestFit="1" customWidth="1"/>
    <col min="4" max="4" width="10.25" style="4" customWidth="1"/>
    <col min="5" max="5" width="5" style="4" bestFit="1" customWidth="1"/>
    <col min="6" max="6" width="5" style="4" hidden="1" customWidth="1"/>
    <col min="7" max="7" width="7" style="4" hidden="1" customWidth="1"/>
    <col min="8" max="8" width="10.25" style="4" customWidth="1"/>
    <col min="9" max="9" width="11.875" style="4" customWidth="1"/>
    <col min="10" max="10" width="16" style="4" customWidth="1"/>
    <col min="11" max="11" width="10.125" style="4" customWidth="1"/>
    <col min="12" max="12" width="9.125" style="4" customWidth="1"/>
    <col min="13" max="14" width="9.125" style="4" hidden="1" customWidth="1"/>
    <col min="15" max="15" width="10.875" style="4" customWidth="1"/>
    <col min="16" max="16" width="10.75" style="4" customWidth="1"/>
    <col min="17" max="17" width="17.875" style="4" customWidth="1"/>
    <col min="18" max="18" width="9.875" style="4" customWidth="1"/>
    <col min="19" max="19" width="9.125" style="4" customWidth="1"/>
    <col min="20" max="21" width="9.125" style="4" hidden="1" customWidth="1"/>
    <col min="22" max="22" width="9.625" style="4" customWidth="1"/>
    <col min="23" max="23" width="10.125" style="4" customWidth="1"/>
    <col min="24" max="24" width="14.375" style="4" customWidth="1"/>
    <col min="25" max="25" width="9.875" style="4" customWidth="1"/>
    <col min="26" max="26" width="5.625" style="4" customWidth="1"/>
    <col min="27" max="27" width="5.625" style="4" hidden="1" customWidth="1"/>
    <col min="28" max="28" width="8.25" style="4" hidden="1" customWidth="1"/>
    <col min="29" max="30" width="9.875" style="4" customWidth="1"/>
    <col min="31" max="31" width="13.625" style="4" customWidth="1"/>
    <col min="32" max="32" width="9.875" style="4" customWidth="1"/>
    <col min="33" max="34" width="5.625" style="4" customWidth="1"/>
    <col min="35" max="35" width="8.25" style="4" customWidth="1"/>
    <col min="36" max="37" width="9.875" style="4" customWidth="1"/>
    <col min="38" max="38" width="13.625" style="4" customWidth="1"/>
    <col min="39" max="39" width="9" style="4" customWidth="1"/>
    <col min="40" max="40" width="7" style="4" customWidth="1"/>
    <col min="41" max="41" width="5" style="4" customWidth="1"/>
    <col min="42" max="42" width="7.125" style="4" customWidth="1"/>
    <col min="43" max="43" width="8.125" style="4" customWidth="1"/>
    <col min="44" max="44" width="8.75" style="4" customWidth="1"/>
    <col min="45" max="45" width="13" style="4" customWidth="1"/>
    <col min="46" max="46" width="9.625" style="4" hidden="1" customWidth="1"/>
    <col min="47" max="48" width="5.375" style="4" hidden="1" customWidth="1"/>
    <col min="49" max="49" width="7.75" style="4" hidden="1" customWidth="1"/>
    <col min="50" max="51" width="9.625" style="4" hidden="1" customWidth="1"/>
    <col min="52" max="52" width="13.375" style="4" hidden="1" customWidth="1"/>
    <col min="53" max="53" width="9" style="4" customWidth="1"/>
    <col min="54" max="54" width="7" style="4" customWidth="1"/>
    <col min="55" max="55" width="5" style="4" customWidth="1"/>
    <col min="56" max="56" width="7.125" style="4" customWidth="1"/>
    <col min="57" max="57" width="8.125" style="4" customWidth="1"/>
    <col min="58" max="58" width="8.75" style="4" customWidth="1"/>
    <col min="59" max="59" width="13" style="4" customWidth="1"/>
    <col min="60" max="60" width="9" style="4" customWidth="1"/>
    <col min="61" max="61" width="7" style="4" customWidth="1"/>
    <col min="62" max="62" width="5" style="4" customWidth="1"/>
    <col min="63" max="63" width="7.125" style="4" customWidth="1"/>
    <col min="64" max="64" width="8.125" style="4" customWidth="1"/>
    <col min="65" max="65" width="8.75" style="4" customWidth="1"/>
    <col min="66" max="66" width="21.125" style="4" customWidth="1"/>
    <col min="67" max="67" width="9" style="4" customWidth="1"/>
    <col min="68" max="68" width="7" style="4" customWidth="1"/>
    <col min="69" max="69" width="5" style="4" customWidth="1"/>
    <col min="70" max="70" width="7.125" style="4" customWidth="1"/>
    <col min="71" max="71" width="8.125" style="4" customWidth="1"/>
    <col min="72" max="72" width="8.75" style="4" customWidth="1"/>
    <col min="73" max="73" width="21.625" style="4" customWidth="1"/>
    <col min="74" max="74" width="9" style="4" hidden="1" customWidth="1"/>
    <col min="75" max="75" width="7" style="4" hidden="1" customWidth="1"/>
    <col min="76" max="76" width="5" style="4" hidden="1" customWidth="1"/>
    <col min="77" max="77" width="7.125" style="4" hidden="1" customWidth="1"/>
    <col min="78" max="78" width="8.125" style="4" hidden="1" customWidth="1"/>
    <col min="79" max="79" width="8.75" style="4" hidden="1" customWidth="1"/>
    <col min="80" max="80" width="13" style="4" hidden="1" customWidth="1"/>
    <col min="81" max="81" width="9" style="4" hidden="1" customWidth="1"/>
    <col min="82" max="82" width="7" style="4" hidden="1" customWidth="1"/>
    <col min="83" max="83" width="6" style="4" hidden="1" customWidth="1"/>
    <col min="84" max="84" width="7.125" style="4" hidden="1" customWidth="1"/>
    <col min="85" max="85" width="8.125" style="4" hidden="1" customWidth="1"/>
    <col min="86" max="86" width="8.75" style="4" hidden="1" customWidth="1"/>
    <col min="87" max="87" width="13" style="4" hidden="1" customWidth="1"/>
    <col min="88" max="88" width="9" style="4" hidden="1" customWidth="1"/>
    <col min="89" max="89" width="7" style="4" hidden="1" customWidth="1"/>
    <col min="90" max="90" width="6" style="4" hidden="1" customWidth="1"/>
    <col min="91" max="91" width="7.125" style="4" hidden="1" customWidth="1"/>
    <col min="92" max="92" width="8.125" style="4" hidden="1" customWidth="1"/>
    <col min="93" max="93" width="8.75" style="4" hidden="1" customWidth="1"/>
    <col min="94" max="94" width="13" style="4" hidden="1" customWidth="1"/>
    <col min="95" max="95" width="10.125" style="4" customWidth="1"/>
    <col min="96" max="97" width="9.125" style="4" customWidth="1"/>
    <col min="98" max="98" width="7.875" style="4" customWidth="1"/>
    <col min="99" max="99" width="10.875" style="4" customWidth="1"/>
    <col min="100" max="100" width="11.125" style="4" customWidth="1"/>
    <col min="101" max="101" width="14.75" style="4" customWidth="1"/>
    <col min="102" max="102" width="9.125" style="4"/>
    <col min="103" max="103" width="11.75" style="4" bestFit="1" customWidth="1"/>
    <col min="104" max="302" width="9.125" style="4"/>
    <col min="303" max="303" width="5" style="4" bestFit="1" customWidth="1"/>
    <col min="304" max="304" width="9" style="4" bestFit="1" customWidth="1"/>
    <col min="305" max="305" width="20" style="4" bestFit="1" customWidth="1"/>
    <col min="306" max="310" width="9.125" style="4"/>
    <col min="311" max="311" width="15.125" style="4" bestFit="1" customWidth="1"/>
    <col min="312" max="312" width="13.25" style="4" customWidth="1"/>
    <col min="313" max="313" width="12" style="4" bestFit="1" customWidth="1"/>
    <col min="314" max="315" width="9.125" style="4"/>
    <col min="316" max="316" width="15.125" style="4" bestFit="1" customWidth="1"/>
    <col min="317" max="558" width="9.125" style="4"/>
    <col min="559" max="559" width="5" style="4" bestFit="1" customWidth="1"/>
    <col min="560" max="560" width="9" style="4" bestFit="1" customWidth="1"/>
    <col min="561" max="561" width="20" style="4" bestFit="1" customWidth="1"/>
    <col min="562" max="566" width="9.125" style="4"/>
    <col min="567" max="567" width="15.125" style="4" bestFit="1" customWidth="1"/>
    <col min="568" max="568" width="13.25" style="4" customWidth="1"/>
    <col min="569" max="569" width="12" style="4" bestFit="1" customWidth="1"/>
    <col min="570" max="571" width="9.125" style="4"/>
    <col min="572" max="572" width="15.125" style="4" bestFit="1" customWidth="1"/>
    <col min="573" max="814" width="9.125" style="4"/>
    <col min="815" max="815" width="5" style="4" bestFit="1" customWidth="1"/>
    <col min="816" max="816" width="9" style="4" bestFit="1" customWidth="1"/>
    <col min="817" max="817" width="20" style="4" bestFit="1" customWidth="1"/>
    <col min="818" max="822" width="9.125" style="4"/>
    <col min="823" max="823" width="15.125" style="4" bestFit="1" customWidth="1"/>
    <col min="824" max="824" width="13.25" style="4" customWidth="1"/>
    <col min="825" max="825" width="12" style="4" bestFit="1" customWidth="1"/>
    <col min="826" max="827" width="9.125" style="4"/>
    <col min="828" max="828" width="15.125" style="4" bestFit="1" customWidth="1"/>
    <col min="829" max="1070" width="9.125" style="4"/>
    <col min="1071" max="1071" width="5" style="4" bestFit="1" customWidth="1"/>
    <col min="1072" max="1072" width="9" style="4" bestFit="1" customWidth="1"/>
    <col min="1073" max="1073" width="20" style="4" bestFit="1" customWidth="1"/>
    <col min="1074" max="1078" width="9.125" style="4"/>
    <col min="1079" max="1079" width="15.125" style="4" bestFit="1" customWidth="1"/>
    <col min="1080" max="1080" width="13.25" style="4" customWidth="1"/>
    <col min="1081" max="1081" width="12" style="4" bestFit="1" customWidth="1"/>
    <col min="1082" max="1083" width="9.125" style="4"/>
    <col min="1084" max="1084" width="15.125" style="4" bestFit="1" customWidth="1"/>
    <col min="1085" max="1326" width="9.125" style="4"/>
    <col min="1327" max="1327" width="5" style="4" bestFit="1" customWidth="1"/>
    <col min="1328" max="1328" width="9" style="4" bestFit="1" customWidth="1"/>
    <col min="1329" max="1329" width="20" style="4" bestFit="1" customWidth="1"/>
    <col min="1330" max="1334" width="9.125" style="4"/>
    <col min="1335" max="1335" width="15.125" style="4" bestFit="1" customWidth="1"/>
    <col min="1336" max="1336" width="13.25" style="4" customWidth="1"/>
    <col min="1337" max="1337" width="12" style="4" bestFit="1" customWidth="1"/>
    <col min="1338" max="1339" width="9.125" style="4"/>
    <col min="1340" max="1340" width="15.125" style="4" bestFit="1" customWidth="1"/>
    <col min="1341" max="1582" width="9.125" style="4"/>
    <col min="1583" max="1583" width="5" style="4" bestFit="1" customWidth="1"/>
    <col min="1584" max="1584" width="9" style="4" bestFit="1" customWidth="1"/>
    <col min="1585" max="1585" width="20" style="4" bestFit="1" customWidth="1"/>
    <col min="1586" max="1590" width="9.125" style="4"/>
    <col min="1591" max="1591" width="15.125" style="4" bestFit="1" customWidth="1"/>
    <col min="1592" max="1592" width="13.25" style="4" customWidth="1"/>
    <col min="1593" max="1593" width="12" style="4" bestFit="1" customWidth="1"/>
    <col min="1594" max="1595" width="9.125" style="4"/>
    <col min="1596" max="1596" width="15.125" style="4" bestFit="1" customWidth="1"/>
    <col min="1597" max="1838" width="9.125" style="4"/>
    <col min="1839" max="1839" width="5" style="4" bestFit="1" customWidth="1"/>
    <col min="1840" max="1840" width="9" style="4" bestFit="1" customWidth="1"/>
    <col min="1841" max="1841" width="20" style="4" bestFit="1" customWidth="1"/>
    <col min="1842" max="1846" width="9.125" style="4"/>
    <col min="1847" max="1847" width="15.125" style="4" bestFit="1" customWidth="1"/>
    <col min="1848" max="1848" width="13.25" style="4" customWidth="1"/>
    <col min="1849" max="1849" width="12" style="4" bestFit="1" customWidth="1"/>
    <col min="1850" max="1851" width="9.125" style="4"/>
    <col min="1852" max="1852" width="15.125" style="4" bestFit="1" customWidth="1"/>
    <col min="1853" max="2094" width="9.125" style="4"/>
    <col min="2095" max="2095" width="5" style="4" bestFit="1" customWidth="1"/>
    <col min="2096" max="2096" width="9" style="4" bestFit="1" customWidth="1"/>
    <col min="2097" max="2097" width="20" style="4" bestFit="1" customWidth="1"/>
    <col min="2098" max="2102" width="9.125" style="4"/>
    <col min="2103" max="2103" width="15.125" style="4" bestFit="1" customWidth="1"/>
    <col min="2104" max="2104" width="13.25" style="4" customWidth="1"/>
    <col min="2105" max="2105" width="12" style="4" bestFit="1" customWidth="1"/>
    <col min="2106" max="2107" width="9.125" style="4"/>
    <col min="2108" max="2108" width="15.125" style="4" bestFit="1" customWidth="1"/>
    <col min="2109" max="2350" width="9.125" style="4"/>
    <col min="2351" max="2351" width="5" style="4" bestFit="1" customWidth="1"/>
    <col min="2352" max="2352" width="9" style="4" bestFit="1" customWidth="1"/>
    <col min="2353" max="2353" width="20" style="4" bestFit="1" customWidth="1"/>
    <col min="2354" max="2358" width="9.125" style="4"/>
    <col min="2359" max="2359" width="15.125" style="4" bestFit="1" customWidth="1"/>
    <col min="2360" max="2360" width="13.25" style="4" customWidth="1"/>
    <col min="2361" max="2361" width="12" style="4" bestFit="1" customWidth="1"/>
    <col min="2362" max="2363" width="9.125" style="4"/>
    <col min="2364" max="2364" width="15.125" style="4" bestFit="1" customWidth="1"/>
    <col min="2365" max="2606" width="9.125" style="4"/>
    <col min="2607" max="2607" width="5" style="4" bestFit="1" customWidth="1"/>
    <col min="2608" max="2608" width="9" style="4" bestFit="1" customWidth="1"/>
    <col min="2609" max="2609" width="20" style="4" bestFit="1" customWidth="1"/>
    <col min="2610" max="2614" width="9.125" style="4"/>
    <col min="2615" max="2615" width="15.125" style="4" bestFit="1" customWidth="1"/>
    <col min="2616" max="2616" width="13.25" style="4" customWidth="1"/>
    <col min="2617" max="2617" width="12" style="4" bestFit="1" customWidth="1"/>
    <col min="2618" max="2619" width="9.125" style="4"/>
    <col min="2620" max="2620" width="15.125" style="4" bestFit="1" customWidth="1"/>
    <col min="2621" max="2862" width="9.125" style="4"/>
    <col min="2863" max="2863" width="5" style="4" bestFit="1" customWidth="1"/>
    <col min="2864" max="2864" width="9" style="4" bestFit="1" customWidth="1"/>
    <col min="2865" max="2865" width="20" style="4" bestFit="1" customWidth="1"/>
    <col min="2866" max="2870" width="9.125" style="4"/>
    <col min="2871" max="2871" width="15.125" style="4" bestFit="1" customWidth="1"/>
    <col min="2872" max="2872" width="13.25" style="4" customWidth="1"/>
    <col min="2873" max="2873" width="12" style="4" bestFit="1" customWidth="1"/>
    <col min="2874" max="2875" width="9.125" style="4"/>
    <col min="2876" max="2876" width="15.125" style="4" bestFit="1" customWidth="1"/>
    <col min="2877" max="3118" width="9.125" style="4"/>
    <col min="3119" max="3119" width="5" style="4" bestFit="1" customWidth="1"/>
    <col min="3120" max="3120" width="9" style="4" bestFit="1" customWidth="1"/>
    <col min="3121" max="3121" width="20" style="4" bestFit="1" customWidth="1"/>
    <col min="3122" max="3126" width="9.125" style="4"/>
    <col min="3127" max="3127" width="15.125" style="4" bestFit="1" customWidth="1"/>
    <col min="3128" max="3128" width="13.25" style="4" customWidth="1"/>
    <col min="3129" max="3129" width="12" style="4" bestFit="1" customWidth="1"/>
    <col min="3130" max="3131" width="9.125" style="4"/>
    <col min="3132" max="3132" width="15.125" style="4" bestFit="1" customWidth="1"/>
    <col min="3133" max="3374" width="9.125" style="4"/>
    <col min="3375" max="3375" width="5" style="4" bestFit="1" customWidth="1"/>
    <col min="3376" max="3376" width="9" style="4" bestFit="1" customWidth="1"/>
    <col min="3377" max="3377" width="20" style="4" bestFit="1" customWidth="1"/>
    <col min="3378" max="3382" width="9.125" style="4"/>
    <col min="3383" max="3383" width="15.125" style="4" bestFit="1" customWidth="1"/>
    <col min="3384" max="3384" width="13.25" style="4" customWidth="1"/>
    <col min="3385" max="3385" width="12" style="4" bestFit="1" customWidth="1"/>
    <col min="3386" max="3387" width="9.125" style="4"/>
    <col min="3388" max="3388" width="15.125" style="4" bestFit="1" customWidth="1"/>
    <col min="3389" max="3630" width="9.125" style="4"/>
    <col min="3631" max="3631" width="5" style="4" bestFit="1" customWidth="1"/>
    <col min="3632" max="3632" width="9" style="4" bestFit="1" customWidth="1"/>
    <col min="3633" max="3633" width="20" style="4" bestFit="1" customWidth="1"/>
    <col min="3634" max="3638" width="9.125" style="4"/>
    <col min="3639" max="3639" width="15.125" style="4" bestFit="1" customWidth="1"/>
    <col min="3640" max="3640" width="13.25" style="4" customWidth="1"/>
    <col min="3641" max="3641" width="12" style="4" bestFit="1" customWidth="1"/>
    <col min="3642" max="3643" width="9.125" style="4"/>
    <col min="3644" max="3644" width="15.125" style="4" bestFit="1" customWidth="1"/>
    <col min="3645" max="3886" width="9.125" style="4"/>
    <col min="3887" max="3887" width="5" style="4" bestFit="1" customWidth="1"/>
    <col min="3888" max="3888" width="9" style="4" bestFit="1" customWidth="1"/>
    <col min="3889" max="3889" width="20" style="4" bestFit="1" customWidth="1"/>
    <col min="3890" max="3894" width="9.125" style="4"/>
    <col min="3895" max="3895" width="15.125" style="4" bestFit="1" customWidth="1"/>
    <col min="3896" max="3896" width="13.25" style="4" customWidth="1"/>
    <col min="3897" max="3897" width="12" style="4" bestFit="1" customWidth="1"/>
    <col min="3898" max="3899" width="9.125" style="4"/>
    <col min="3900" max="3900" width="15.125" style="4" bestFit="1" customWidth="1"/>
    <col min="3901" max="4142" width="9.125" style="4"/>
    <col min="4143" max="4143" width="5" style="4" bestFit="1" customWidth="1"/>
    <col min="4144" max="4144" width="9" style="4" bestFit="1" customWidth="1"/>
    <col min="4145" max="4145" width="20" style="4" bestFit="1" customWidth="1"/>
    <col min="4146" max="4150" width="9.125" style="4"/>
    <col min="4151" max="4151" width="15.125" style="4" bestFit="1" customWidth="1"/>
    <col min="4152" max="4152" width="13.25" style="4" customWidth="1"/>
    <col min="4153" max="4153" width="12" style="4" bestFit="1" customWidth="1"/>
    <col min="4154" max="4155" width="9.125" style="4"/>
    <col min="4156" max="4156" width="15.125" style="4" bestFit="1" customWidth="1"/>
    <col min="4157" max="4398" width="9.125" style="4"/>
    <col min="4399" max="4399" width="5" style="4" bestFit="1" customWidth="1"/>
    <col min="4400" max="4400" width="9" style="4" bestFit="1" customWidth="1"/>
    <col min="4401" max="4401" width="20" style="4" bestFit="1" customWidth="1"/>
    <col min="4402" max="4406" width="9.125" style="4"/>
    <col min="4407" max="4407" width="15.125" style="4" bestFit="1" customWidth="1"/>
    <col min="4408" max="4408" width="13.25" style="4" customWidth="1"/>
    <col min="4409" max="4409" width="12" style="4" bestFit="1" customWidth="1"/>
    <col min="4410" max="4411" width="9.125" style="4"/>
    <col min="4412" max="4412" width="15.125" style="4" bestFit="1" customWidth="1"/>
    <col min="4413" max="4654" width="9.125" style="4"/>
    <col min="4655" max="4655" width="5" style="4" bestFit="1" customWidth="1"/>
    <col min="4656" max="4656" width="9" style="4" bestFit="1" customWidth="1"/>
    <col min="4657" max="4657" width="20" style="4" bestFit="1" customWidth="1"/>
    <col min="4658" max="4662" width="9.125" style="4"/>
    <col min="4663" max="4663" width="15.125" style="4" bestFit="1" customWidth="1"/>
    <col min="4664" max="4664" width="13.25" style="4" customWidth="1"/>
    <col min="4665" max="4665" width="12" style="4" bestFit="1" customWidth="1"/>
    <col min="4666" max="4667" width="9.125" style="4"/>
    <col min="4668" max="4668" width="15.125" style="4" bestFit="1" customWidth="1"/>
    <col min="4669" max="4910" width="9.125" style="4"/>
    <col min="4911" max="4911" width="5" style="4" bestFit="1" customWidth="1"/>
    <col min="4912" max="4912" width="9" style="4" bestFit="1" customWidth="1"/>
    <col min="4913" max="4913" width="20" style="4" bestFit="1" customWidth="1"/>
    <col min="4914" max="4918" width="9.125" style="4"/>
    <col min="4919" max="4919" width="15.125" style="4" bestFit="1" customWidth="1"/>
    <col min="4920" max="4920" width="13.25" style="4" customWidth="1"/>
    <col min="4921" max="4921" width="12" style="4" bestFit="1" customWidth="1"/>
    <col min="4922" max="4923" width="9.125" style="4"/>
    <col min="4924" max="4924" width="15.125" style="4" bestFit="1" customWidth="1"/>
    <col min="4925" max="5166" width="9.125" style="4"/>
    <col min="5167" max="5167" width="5" style="4" bestFit="1" customWidth="1"/>
    <col min="5168" max="5168" width="9" style="4" bestFit="1" customWidth="1"/>
    <col min="5169" max="5169" width="20" style="4" bestFit="1" customWidth="1"/>
    <col min="5170" max="5174" width="9.125" style="4"/>
    <col min="5175" max="5175" width="15.125" style="4" bestFit="1" customWidth="1"/>
    <col min="5176" max="5176" width="13.25" style="4" customWidth="1"/>
    <col min="5177" max="5177" width="12" style="4" bestFit="1" customWidth="1"/>
    <col min="5178" max="5179" width="9.125" style="4"/>
    <col min="5180" max="5180" width="15.125" style="4" bestFit="1" customWidth="1"/>
    <col min="5181" max="5422" width="9.125" style="4"/>
    <col min="5423" max="5423" width="5" style="4" bestFit="1" customWidth="1"/>
    <col min="5424" max="5424" width="9" style="4" bestFit="1" customWidth="1"/>
    <col min="5425" max="5425" width="20" style="4" bestFit="1" customWidth="1"/>
    <col min="5426" max="5430" width="9.125" style="4"/>
    <col min="5431" max="5431" width="15.125" style="4" bestFit="1" customWidth="1"/>
    <col min="5432" max="5432" width="13.25" style="4" customWidth="1"/>
    <col min="5433" max="5433" width="12" style="4" bestFit="1" customWidth="1"/>
    <col min="5434" max="5435" width="9.125" style="4"/>
    <col min="5436" max="5436" width="15.125" style="4" bestFit="1" customWidth="1"/>
    <col min="5437" max="5678" width="9.125" style="4"/>
    <col min="5679" max="5679" width="5" style="4" bestFit="1" customWidth="1"/>
    <col min="5680" max="5680" width="9" style="4" bestFit="1" customWidth="1"/>
    <col min="5681" max="5681" width="20" style="4" bestFit="1" customWidth="1"/>
    <col min="5682" max="5686" width="9.125" style="4"/>
    <col min="5687" max="5687" width="15.125" style="4" bestFit="1" customWidth="1"/>
    <col min="5688" max="5688" width="13.25" style="4" customWidth="1"/>
    <col min="5689" max="5689" width="12" style="4" bestFit="1" customWidth="1"/>
    <col min="5690" max="5691" width="9.125" style="4"/>
    <col min="5692" max="5692" width="15.125" style="4" bestFit="1" customWidth="1"/>
    <col min="5693" max="5934" width="9.125" style="4"/>
    <col min="5935" max="5935" width="5" style="4" bestFit="1" customWidth="1"/>
    <col min="5936" max="5936" width="9" style="4" bestFit="1" customWidth="1"/>
    <col min="5937" max="5937" width="20" style="4" bestFit="1" customWidth="1"/>
    <col min="5938" max="5942" width="9.125" style="4"/>
    <col min="5943" max="5943" width="15.125" style="4" bestFit="1" customWidth="1"/>
    <col min="5944" max="5944" width="13.25" style="4" customWidth="1"/>
    <col min="5945" max="5945" width="12" style="4" bestFit="1" customWidth="1"/>
    <col min="5946" max="5947" width="9.125" style="4"/>
    <col min="5948" max="5948" width="15.125" style="4" bestFit="1" customWidth="1"/>
    <col min="5949" max="6190" width="9.125" style="4"/>
    <col min="6191" max="6191" width="5" style="4" bestFit="1" customWidth="1"/>
    <col min="6192" max="6192" width="9" style="4" bestFit="1" customWidth="1"/>
    <col min="6193" max="6193" width="20" style="4" bestFit="1" customWidth="1"/>
    <col min="6194" max="6198" width="9.125" style="4"/>
    <col min="6199" max="6199" width="15.125" style="4" bestFit="1" customWidth="1"/>
    <col min="6200" max="6200" width="13.25" style="4" customWidth="1"/>
    <col min="6201" max="6201" width="12" style="4" bestFit="1" customWidth="1"/>
    <col min="6202" max="6203" width="9.125" style="4"/>
    <col min="6204" max="6204" width="15.125" style="4" bestFit="1" customWidth="1"/>
    <col min="6205" max="6446" width="9.125" style="4"/>
    <col min="6447" max="6447" width="5" style="4" bestFit="1" customWidth="1"/>
    <col min="6448" max="6448" width="9" style="4" bestFit="1" customWidth="1"/>
    <col min="6449" max="6449" width="20" style="4" bestFit="1" customWidth="1"/>
    <col min="6450" max="6454" width="9.125" style="4"/>
    <col min="6455" max="6455" width="15.125" style="4" bestFit="1" customWidth="1"/>
    <col min="6456" max="6456" width="13.25" style="4" customWidth="1"/>
    <col min="6457" max="6457" width="12" style="4" bestFit="1" customWidth="1"/>
    <col min="6458" max="6459" width="9.125" style="4"/>
    <col min="6460" max="6460" width="15.125" style="4" bestFit="1" customWidth="1"/>
    <col min="6461" max="6702" width="9.125" style="4"/>
    <col min="6703" max="6703" width="5" style="4" bestFit="1" customWidth="1"/>
    <col min="6704" max="6704" width="9" style="4" bestFit="1" customWidth="1"/>
    <col min="6705" max="6705" width="20" style="4" bestFit="1" customWidth="1"/>
    <col min="6706" max="6710" width="9.125" style="4"/>
    <col min="6711" max="6711" width="15.125" style="4" bestFit="1" customWidth="1"/>
    <col min="6712" max="6712" width="13.25" style="4" customWidth="1"/>
    <col min="6713" max="6713" width="12" style="4" bestFit="1" customWidth="1"/>
    <col min="6714" max="6715" width="9.125" style="4"/>
    <col min="6716" max="6716" width="15.125" style="4" bestFit="1" customWidth="1"/>
    <col min="6717" max="6958" width="9.125" style="4"/>
    <col min="6959" max="6959" width="5" style="4" bestFit="1" customWidth="1"/>
    <col min="6960" max="6960" width="9" style="4" bestFit="1" customWidth="1"/>
    <col min="6961" max="6961" width="20" style="4" bestFit="1" customWidth="1"/>
    <col min="6962" max="6966" width="9.125" style="4"/>
    <col min="6967" max="6967" width="15.125" style="4" bestFit="1" customWidth="1"/>
    <col min="6968" max="6968" width="13.25" style="4" customWidth="1"/>
    <col min="6969" max="6969" width="12" style="4" bestFit="1" customWidth="1"/>
    <col min="6970" max="6971" width="9.125" style="4"/>
    <col min="6972" max="6972" width="15.125" style="4" bestFit="1" customWidth="1"/>
    <col min="6973" max="7214" width="9.125" style="4"/>
    <col min="7215" max="7215" width="5" style="4" bestFit="1" customWidth="1"/>
    <col min="7216" max="7216" width="9" style="4" bestFit="1" customWidth="1"/>
    <col min="7217" max="7217" width="20" style="4" bestFit="1" customWidth="1"/>
    <col min="7218" max="7222" width="9.125" style="4"/>
    <col min="7223" max="7223" width="15.125" style="4" bestFit="1" customWidth="1"/>
    <col min="7224" max="7224" width="13.25" style="4" customWidth="1"/>
    <col min="7225" max="7225" width="12" style="4" bestFit="1" customWidth="1"/>
    <col min="7226" max="7227" width="9.125" style="4"/>
    <col min="7228" max="7228" width="15.125" style="4" bestFit="1" customWidth="1"/>
    <col min="7229" max="7470" width="9.125" style="4"/>
    <col min="7471" max="7471" width="5" style="4" bestFit="1" customWidth="1"/>
    <col min="7472" max="7472" width="9" style="4" bestFit="1" customWidth="1"/>
    <col min="7473" max="7473" width="20" style="4" bestFit="1" customWidth="1"/>
    <col min="7474" max="7478" width="9.125" style="4"/>
    <col min="7479" max="7479" width="15.125" style="4" bestFit="1" customWidth="1"/>
    <col min="7480" max="7480" width="13.25" style="4" customWidth="1"/>
    <col min="7481" max="7481" width="12" style="4" bestFit="1" customWidth="1"/>
    <col min="7482" max="7483" width="9.125" style="4"/>
    <col min="7484" max="7484" width="15.125" style="4" bestFit="1" customWidth="1"/>
    <col min="7485" max="7726" width="9.125" style="4"/>
    <col min="7727" max="7727" width="5" style="4" bestFit="1" customWidth="1"/>
    <col min="7728" max="7728" width="9" style="4" bestFit="1" customWidth="1"/>
    <col min="7729" max="7729" width="20" style="4" bestFit="1" customWidth="1"/>
    <col min="7730" max="7734" width="9.125" style="4"/>
    <col min="7735" max="7735" width="15.125" style="4" bestFit="1" customWidth="1"/>
    <col min="7736" max="7736" width="13.25" style="4" customWidth="1"/>
    <col min="7737" max="7737" width="12" style="4" bestFit="1" customWidth="1"/>
    <col min="7738" max="7739" width="9.125" style="4"/>
    <col min="7740" max="7740" width="15.125" style="4" bestFit="1" customWidth="1"/>
    <col min="7741" max="7982" width="9.125" style="4"/>
    <col min="7983" max="7983" width="5" style="4" bestFit="1" customWidth="1"/>
    <col min="7984" max="7984" width="9" style="4" bestFit="1" customWidth="1"/>
    <col min="7985" max="7985" width="20" style="4" bestFit="1" customWidth="1"/>
    <col min="7986" max="7990" width="9.125" style="4"/>
    <col min="7991" max="7991" width="15.125" style="4" bestFit="1" customWidth="1"/>
    <col min="7992" max="7992" width="13.25" style="4" customWidth="1"/>
    <col min="7993" max="7993" width="12" style="4" bestFit="1" customWidth="1"/>
    <col min="7994" max="7995" width="9.125" style="4"/>
    <col min="7996" max="7996" width="15.125" style="4" bestFit="1" customWidth="1"/>
    <col min="7997" max="8238" width="9.125" style="4"/>
    <col min="8239" max="8239" width="5" style="4" bestFit="1" customWidth="1"/>
    <col min="8240" max="8240" width="9" style="4" bestFit="1" customWidth="1"/>
    <col min="8241" max="8241" width="20" style="4" bestFit="1" customWidth="1"/>
    <col min="8242" max="8246" width="9.125" style="4"/>
    <col min="8247" max="8247" width="15.125" style="4" bestFit="1" customWidth="1"/>
    <col min="8248" max="8248" width="13.25" style="4" customWidth="1"/>
    <col min="8249" max="8249" width="12" style="4" bestFit="1" customWidth="1"/>
    <col min="8250" max="8251" width="9.125" style="4"/>
    <col min="8252" max="8252" width="15.125" style="4" bestFit="1" customWidth="1"/>
    <col min="8253" max="8494" width="9.125" style="4"/>
    <col min="8495" max="8495" width="5" style="4" bestFit="1" customWidth="1"/>
    <col min="8496" max="8496" width="9" style="4" bestFit="1" customWidth="1"/>
    <col min="8497" max="8497" width="20" style="4" bestFit="1" customWidth="1"/>
    <col min="8498" max="8502" width="9.125" style="4"/>
    <col min="8503" max="8503" width="15.125" style="4" bestFit="1" customWidth="1"/>
    <col min="8504" max="8504" width="13.25" style="4" customWidth="1"/>
    <col min="8505" max="8505" width="12" style="4" bestFit="1" customWidth="1"/>
    <col min="8506" max="8507" width="9.125" style="4"/>
    <col min="8508" max="8508" width="15.125" style="4" bestFit="1" customWidth="1"/>
    <col min="8509" max="8750" width="9.125" style="4"/>
    <col min="8751" max="8751" width="5" style="4" bestFit="1" customWidth="1"/>
    <col min="8752" max="8752" width="9" style="4" bestFit="1" customWidth="1"/>
    <col min="8753" max="8753" width="20" style="4" bestFit="1" customWidth="1"/>
    <col min="8754" max="8758" width="9.125" style="4"/>
    <col min="8759" max="8759" width="15.125" style="4" bestFit="1" customWidth="1"/>
    <col min="8760" max="8760" width="13.25" style="4" customWidth="1"/>
    <col min="8761" max="8761" width="12" style="4" bestFit="1" customWidth="1"/>
    <col min="8762" max="8763" width="9.125" style="4"/>
    <col min="8764" max="8764" width="15.125" style="4" bestFit="1" customWidth="1"/>
    <col min="8765" max="9006" width="9.125" style="4"/>
    <col min="9007" max="9007" width="5" style="4" bestFit="1" customWidth="1"/>
    <col min="9008" max="9008" width="9" style="4" bestFit="1" customWidth="1"/>
    <col min="9009" max="9009" width="20" style="4" bestFit="1" customWidth="1"/>
    <col min="9010" max="9014" width="9.125" style="4"/>
    <col min="9015" max="9015" width="15.125" style="4" bestFit="1" customWidth="1"/>
    <col min="9016" max="9016" width="13.25" style="4" customWidth="1"/>
    <col min="9017" max="9017" width="12" style="4" bestFit="1" customWidth="1"/>
    <col min="9018" max="9019" width="9.125" style="4"/>
    <col min="9020" max="9020" width="15.125" style="4" bestFit="1" customWidth="1"/>
    <col min="9021" max="9262" width="9.125" style="4"/>
    <col min="9263" max="9263" width="5" style="4" bestFit="1" customWidth="1"/>
    <col min="9264" max="9264" width="9" style="4" bestFit="1" customWidth="1"/>
    <col min="9265" max="9265" width="20" style="4" bestFit="1" customWidth="1"/>
    <col min="9266" max="9270" width="9.125" style="4"/>
    <col min="9271" max="9271" width="15.125" style="4" bestFit="1" customWidth="1"/>
    <col min="9272" max="9272" width="13.25" style="4" customWidth="1"/>
    <col min="9273" max="9273" width="12" style="4" bestFit="1" customWidth="1"/>
    <col min="9274" max="9275" width="9.125" style="4"/>
    <col min="9276" max="9276" width="15.125" style="4" bestFit="1" customWidth="1"/>
    <col min="9277" max="9518" width="9.125" style="4"/>
    <col min="9519" max="9519" width="5" style="4" bestFit="1" customWidth="1"/>
    <col min="9520" max="9520" width="9" style="4" bestFit="1" customWidth="1"/>
    <col min="9521" max="9521" width="20" style="4" bestFit="1" customWidth="1"/>
    <col min="9522" max="9526" width="9.125" style="4"/>
    <col min="9527" max="9527" width="15.125" style="4" bestFit="1" customWidth="1"/>
    <col min="9528" max="9528" width="13.25" style="4" customWidth="1"/>
    <col min="9529" max="9529" width="12" style="4" bestFit="1" customWidth="1"/>
    <col min="9530" max="9531" width="9.125" style="4"/>
    <col min="9532" max="9532" width="15.125" style="4" bestFit="1" customWidth="1"/>
    <col min="9533" max="9774" width="9.125" style="4"/>
    <col min="9775" max="9775" width="5" style="4" bestFit="1" customWidth="1"/>
    <col min="9776" max="9776" width="9" style="4" bestFit="1" customWidth="1"/>
    <col min="9777" max="9777" width="20" style="4" bestFit="1" customWidth="1"/>
    <col min="9778" max="9782" width="9.125" style="4"/>
    <col min="9783" max="9783" width="15.125" style="4" bestFit="1" customWidth="1"/>
    <col min="9784" max="9784" width="13.25" style="4" customWidth="1"/>
    <col min="9785" max="9785" width="12" style="4" bestFit="1" customWidth="1"/>
    <col min="9786" max="9787" width="9.125" style="4"/>
    <col min="9788" max="9788" width="15.125" style="4" bestFit="1" customWidth="1"/>
    <col min="9789" max="10030" width="9.125" style="4"/>
    <col min="10031" max="10031" width="5" style="4" bestFit="1" customWidth="1"/>
    <col min="10032" max="10032" width="9" style="4" bestFit="1" customWidth="1"/>
    <col min="10033" max="10033" width="20" style="4" bestFit="1" customWidth="1"/>
    <col min="10034" max="10038" width="9.125" style="4"/>
    <col min="10039" max="10039" width="15.125" style="4" bestFit="1" customWidth="1"/>
    <col min="10040" max="10040" width="13.25" style="4" customWidth="1"/>
    <col min="10041" max="10041" width="12" style="4" bestFit="1" customWidth="1"/>
    <col min="10042" max="10043" width="9.125" style="4"/>
    <col min="10044" max="10044" width="15.125" style="4" bestFit="1" customWidth="1"/>
    <col min="10045" max="10286" width="9.125" style="4"/>
    <col min="10287" max="10287" width="5" style="4" bestFit="1" customWidth="1"/>
    <col min="10288" max="10288" width="9" style="4" bestFit="1" customWidth="1"/>
    <col min="10289" max="10289" width="20" style="4" bestFit="1" customWidth="1"/>
    <col min="10290" max="10294" width="9.125" style="4"/>
    <col min="10295" max="10295" width="15.125" style="4" bestFit="1" customWidth="1"/>
    <col min="10296" max="10296" width="13.25" style="4" customWidth="1"/>
    <col min="10297" max="10297" width="12" style="4" bestFit="1" customWidth="1"/>
    <col min="10298" max="10299" width="9.125" style="4"/>
    <col min="10300" max="10300" width="15.125" style="4" bestFit="1" customWidth="1"/>
    <col min="10301" max="10542" width="9.125" style="4"/>
    <col min="10543" max="10543" width="5" style="4" bestFit="1" customWidth="1"/>
    <col min="10544" max="10544" width="9" style="4" bestFit="1" customWidth="1"/>
    <col min="10545" max="10545" width="20" style="4" bestFit="1" customWidth="1"/>
    <col min="10546" max="10550" width="9.125" style="4"/>
    <col min="10551" max="10551" width="15.125" style="4" bestFit="1" customWidth="1"/>
    <col min="10552" max="10552" width="13.25" style="4" customWidth="1"/>
    <col min="10553" max="10553" width="12" style="4" bestFit="1" customWidth="1"/>
    <col min="10554" max="10555" width="9.125" style="4"/>
    <col min="10556" max="10556" width="15.125" style="4" bestFit="1" customWidth="1"/>
    <col min="10557" max="10798" width="9.125" style="4"/>
    <col min="10799" max="10799" width="5" style="4" bestFit="1" customWidth="1"/>
    <col min="10800" max="10800" width="9" style="4" bestFit="1" customWidth="1"/>
    <col min="10801" max="10801" width="20" style="4" bestFit="1" customWidth="1"/>
    <col min="10802" max="10806" width="9.125" style="4"/>
    <col min="10807" max="10807" width="15.125" style="4" bestFit="1" customWidth="1"/>
    <col min="10808" max="10808" width="13.25" style="4" customWidth="1"/>
    <col min="10809" max="10809" width="12" style="4" bestFit="1" customWidth="1"/>
    <col min="10810" max="10811" width="9.125" style="4"/>
    <col min="10812" max="10812" width="15.125" style="4" bestFit="1" customWidth="1"/>
    <col min="10813" max="11054" width="9.125" style="4"/>
    <col min="11055" max="11055" width="5" style="4" bestFit="1" customWidth="1"/>
    <col min="11056" max="11056" width="9" style="4" bestFit="1" customWidth="1"/>
    <col min="11057" max="11057" width="20" style="4" bestFit="1" customWidth="1"/>
    <col min="11058" max="11062" width="9.125" style="4"/>
    <col min="11063" max="11063" width="15.125" style="4" bestFit="1" customWidth="1"/>
    <col min="11064" max="11064" width="13.25" style="4" customWidth="1"/>
    <col min="11065" max="11065" width="12" style="4" bestFit="1" customWidth="1"/>
    <col min="11066" max="11067" width="9.125" style="4"/>
    <col min="11068" max="11068" width="15.125" style="4" bestFit="1" customWidth="1"/>
    <col min="11069" max="11310" width="9.125" style="4"/>
    <col min="11311" max="11311" width="5" style="4" bestFit="1" customWidth="1"/>
    <col min="11312" max="11312" width="9" style="4" bestFit="1" customWidth="1"/>
    <col min="11313" max="11313" width="20" style="4" bestFit="1" customWidth="1"/>
    <col min="11314" max="11318" width="9.125" style="4"/>
    <col min="11319" max="11319" width="15.125" style="4" bestFit="1" customWidth="1"/>
    <col min="11320" max="11320" width="13.25" style="4" customWidth="1"/>
    <col min="11321" max="11321" width="12" style="4" bestFit="1" customWidth="1"/>
    <col min="11322" max="11323" width="9.125" style="4"/>
    <col min="11324" max="11324" width="15.125" style="4" bestFit="1" customWidth="1"/>
    <col min="11325" max="11566" width="9.125" style="4"/>
    <col min="11567" max="11567" width="5" style="4" bestFit="1" customWidth="1"/>
    <col min="11568" max="11568" width="9" style="4" bestFit="1" customWidth="1"/>
    <col min="11569" max="11569" width="20" style="4" bestFit="1" customWidth="1"/>
    <col min="11570" max="11574" width="9.125" style="4"/>
    <col min="11575" max="11575" width="15.125" style="4" bestFit="1" customWidth="1"/>
    <col min="11576" max="11576" width="13.25" style="4" customWidth="1"/>
    <col min="11577" max="11577" width="12" style="4" bestFit="1" customWidth="1"/>
    <col min="11578" max="11579" width="9.125" style="4"/>
    <col min="11580" max="11580" width="15.125" style="4" bestFit="1" customWidth="1"/>
    <col min="11581" max="11822" width="9.125" style="4"/>
    <col min="11823" max="11823" width="5" style="4" bestFit="1" customWidth="1"/>
    <col min="11824" max="11824" width="9" style="4" bestFit="1" customWidth="1"/>
    <col min="11825" max="11825" width="20" style="4" bestFit="1" customWidth="1"/>
    <col min="11826" max="11830" width="9.125" style="4"/>
    <col min="11831" max="11831" width="15.125" style="4" bestFit="1" customWidth="1"/>
    <col min="11832" max="11832" width="13.25" style="4" customWidth="1"/>
    <col min="11833" max="11833" width="12" style="4" bestFit="1" customWidth="1"/>
    <col min="11834" max="11835" width="9.125" style="4"/>
    <col min="11836" max="11836" width="15.125" style="4" bestFit="1" customWidth="1"/>
    <col min="11837" max="12078" width="9.125" style="4"/>
    <col min="12079" max="12079" width="5" style="4" bestFit="1" customWidth="1"/>
    <col min="12080" max="12080" width="9" style="4" bestFit="1" customWidth="1"/>
    <col min="12081" max="12081" width="20" style="4" bestFit="1" customWidth="1"/>
    <col min="12082" max="12086" width="9.125" style="4"/>
    <col min="12087" max="12087" width="15.125" style="4" bestFit="1" customWidth="1"/>
    <col min="12088" max="12088" width="13.25" style="4" customWidth="1"/>
    <col min="12089" max="12089" width="12" style="4" bestFit="1" customWidth="1"/>
    <col min="12090" max="12091" width="9.125" style="4"/>
    <col min="12092" max="12092" width="15.125" style="4" bestFit="1" customWidth="1"/>
    <col min="12093" max="12334" width="9.125" style="4"/>
    <col min="12335" max="12335" width="5" style="4" bestFit="1" customWidth="1"/>
    <col min="12336" max="12336" width="9" style="4" bestFit="1" customWidth="1"/>
    <col min="12337" max="12337" width="20" style="4" bestFit="1" customWidth="1"/>
    <col min="12338" max="12342" width="9.125" style="4"/>
    <col min="12343" max="12343" width="15.125" style="4" bestFit="1" customWidth="1"/>
    <col min="12344" max="12344" width="13.25" style="4" customWidth="1"/>
    <col min="12345" max="12345" width="12" style="4" bestFit="1" customWidth="1"/>
    <col min="12346" max="12347" width="9.125" style="4"/>
    <col min="12348" max="12348" width="15.125" style="4" bestFit="1" customWidth="1"/>
    <col min="12349" max="12590" width="9.125" style="4"/>
    <col min="12591" max="12591" width="5" style="4" bestFit="1" customWidth="1"/>
    <col min="12592" max="12592" width="9" style="4" bestFit="1" customWidth="1"/>
    <col min="12593" max="12593" width="20" style="4" bestFit="1" customWidth="1"/>
    <col min="12594" max="12598" width="9.125" style="4"/>
    <col min="12599" max="12599" width="15.125" style="4" bestFit="1" customWidth="1"/>
    <col min="12600" max="12600" width="13.25" style="4" customWidth="1"/>
    <col min="12601" max="12601" width="12" style="4" bestFit="1" customWidth="1"/>
    <col min="12602" max="12603" width="9.125" style="4"/>
    <col min="12604" max="12604" width="15.125" style="4" bestFit="1" customWidth="1"/>
    <col min="12605" max="12846" width="9.125" style="4"/>
    <col min="12847" max="12847" width="5" style="4" bestFit="1" customWidth="1"/>
    <col min="12848" max="12848" width="9" style="4" bestFit="1" customWidth="1"/>
    <col min="12849" max="12849" width="20" style="4" bestFit="1" customWidth="1"/>
    <col min="12850" max="12854" width="9.125" style="4"/>
    <col min="12855" max="12855" width="15.125" style="4" bestFit="1" customWidth="1"/>
    <col min="12856" max="12856" width="13.25" style="4" customWidth="1"/>
    <col min="12857" max="12857" width="12" style="4" bestFit="1" customWidth="1"/>
    <col min="12858" max="12859" width="9.125" style="4"/>
    <col min="12860" max="12860" width="15.125" style="4" bestFit="1" customWidth="1"/>
    <col min="12861" max="13102" width="9.125" style="4"/>
    <col min="13103" max="13103" width="5" style="4" bestFit="1" customWidth="1"/>
    <col min="13104" max="13104" width="9" style="4" bestFit="1" customWidth="1"/>
    <col min="13105" max="13105" width="20" style="4" bestFit="1" customWidth="1"/>
    <col min="13106" max="13110" width="9.125" style="4"/>
    <col min="13111" max="13111" width="15.125" style="4" bestFit="1" customWidth="1"/>
    <col min="13112" max="13112" width="13.25" style="4" customWidth="1"/>
    <col min="13113" max="13113" width="12" style="4" bestFit="1" customWidth="1"/>
    <col min="13114" max="13115" width="9.125" style="4"/>
    <col min="13116" max="13116" width="15.125" style="4" bestFit="1" customWidth="1"/>
    <col min="13117" max="13358" width="9.125" style="4"/>
    <col min="13359" max="13359" width="5" style="4" bestFit="1" customWidth="1"/>
    <col min="13360" max="13360" width="9" style="4" bestFit="1" customWidth="1"/>
    <col min="13361" max="13361" width="20" style="4" bestFit="1" customWidth="1"/>
    <col min="13362" max="13366" width="9.125" style="4"/>
    <col min="13367" max="13367" width="15.125" style="4" bestFit="1" customWidth="1"/>
    <col min="13368" max="13368" width="13.25" style="4" customWidth="1"/>
    <col min="13369" max="13369" width="12" style="4" bestFit="1" customWidth="1"/>
    <col min="13370" max="13371" width="9.125" style="4"/>
    <col min="13372" max="13372" width="15.125" style="4" bestFit="1" customWidth="1"/>
    <col min="13373" max="13614" width="9.125" style="4"/>
    <col min="13615" max="13615" width="5" style="4" bestFit="1" customWidth="1"/>
    <col min="13616" max="13616" width="9" style="4" bestFit="1" customWidth="1"/>
    <col min="13617" max="13617" width="20" style="4" bestFit="1" customWidth="1"/>
    <col min="13618" max="13622" width="9.125" style="4"/>
    <col min="13623" max="13623" width="15.125" style="4" bestFit="1" customWidth="1"/>
    <col min="13624" max="13624" width="13.25" style="4" customWidth="1"/>
    <col min="13625" max="13625" width="12" style="4" bestFit="1" customWidth="1"/>
    <col min="13626" max="13627" width="9.125" style="4"/>
    <col min="13628" max="13628" width="15.125" style="4" bestFit="1" customWidth="1"/>
    <col min="13629" max="13870" width="9.125" style="4"/>
    <col min="13871" max="13871" width="5" style="4" bestFit="1" customWidth="1"/>
    <col min="13872" max="13872" width="9" style="4" bestFit="1" customWidth="1"/>
    <col min="13873" max="13873" width="20" style="4" bestFit="1" customWidth="1"/>
    <col min="13874" max="13878" width="9.125" style="4"/>
    <col min="13879" max="13879" width="15.125" style="4" bestFit="1" customWidth="1"/>
    <col min="13880" max="13880" width="13.25" style="4" customWidth="1"/>
    <col min="13881" max="13881" width="12" style="4" bestFit="1" customWidth="1"/>
    <col min="13882" max="13883" width="9.125" style="4"/>
    <col min="13884" max="13884" width="15.125" style="4" bestFit="1" customWidth="1"/>
    <col min="13885" max="14126" width="9.125" style="4"/>
    <col min="14127" max="14127" width="5" style="4" bestFit="1" customWidth="1"/>
    <col min="14128" max="14128" width="9" style="4" bestFit="1" customWidth="1"/>
    <col min="14129" max="14129" width="20" style="4" bestFit="1" customWidth="1"/>
    <col min="14130" max="14134" width="9.125" style="4"/>
    <col min="14135" max="14135" width="15.125" style="4" bestFit="1" customWidth="1"/>
    <col min="14136" max="14136" width="13.25" style="4" customWidth="1"/>
    <col min="14137" max="14137" width="12" style="4" bestFit="1" customWidth="1"/>
    <col min="14138" max="14139" width="9.125" style="4"/>
    <col min="14140" max="14140" width="15.125" style="4" bestFit="1" customWidth="1"/>
    <col min="14141" max="14382" width="9.125" style="4"/>
    <col min="14383" max="14383" width="5" style="4" bestFit="1" customWidth="1"/>
    <col min="14384" max="14384" width="9" style="4" bestFit="1" customWidth="1"/>
    <col min="14385" max="14385" width="20" style="4" bestFit="1" customWidth="1"/>
    <col min="14386" max="14390" width="9.125" style="4"/>
    <col min="14391" max="14391" width="15.125" style="4" bestFit="1" customWidth="1"/>
    <col min="14392" max="14392" width="13.25" style="4" customWidth="1"/>
    <col min="14393" max="14393" width="12" style="4" bestFit="1" customWidth="1"/>
    <col min="14394" max="14395" width="9.125" style="4"/>
    <col min="14396" max="14396" width="15.125" style="4" bestFit="1" customWidth="1"/>
    <col min="14397" max="14638" width="9.125" style="4"/>
    <col min="14639" max="14639" width="5" style="4" bestFit="1" customWidth="1"/>
    <col min="14640" max="14640" width="9" style="4" bestFit="1" customWidth="1"/>
    <col min="14641" max="14641" width="20" style="4" bestFit="1" customWidth="1"/>
    <col min="14642" max="14646" width="9.125" style="4"/>
    <col min="14647" max="14647" width="15.125" style="4" bestFit="1" customWidth="1"/>
    <col min="14648" max="14648" width="13.25" style="4" customWidth="1"/>
    <col min="14649" max="14649" width="12" style="4" bestFit="1" customWidth="1"/>
    <col min="14650" max="14651" width="9.125" style="4"/>
    <col min="14652" max="14652" width="15.125" style="4" bestFit="1" customWidth="1"/>
    <col min="14653" max="14894" width="9.125" style="4"/>
    <col min="14895" max="14895" width="5" style="4" bestFit="1" customWidth="1"/>
    <col min="14896" max="14896" width="9" style="4" bestFit="1" customWidth="1"/>
    <col min="14897" max="14897" width="20" style="4" bestFit="1" customWidth="1"/>
    <col min="14898" max="14902" width="9.125" style="4"/>
    <col min="14903" max="14903" width="15.125" style="4" bestFit="1" customWidth="1"/>
    <col min="14904" max="14904" width="13.25" style="4" customWidth="1"/>
    <col min="14905" max="14905" width="12" style="4" bestFit="1" customWidth="1"/>
    <col min="14906" max="14907" width="9.125" style="4"/>
    <col min="14908" max="14908" width="15.125" style="4" bestFit="1" customWidth="1"/>
    <col min="14909" max="15150" width="9.125" style="4"/>
    <col min="15151" max="15151" width="5" style="4" bestFit="1" customWidth="1"/>
    <col min="15152" max="15152" width="9" style="4" bestFit="1" customWidth="1"/>
    <col min="15153" max="15153" width="20" style="4" bestFit="1" customWidth="1"/>
    <col min="15154" max="15158" width="9.125" style="4"/>
    <col min="15159" max="15159" width="15.125" style="4" bestFit="1" customWidth="1"/>
    <col min="15160" max="15160" width="13.25" style="4" customWidth="1"/>
    <col min="15161" max="15161" width="12" style="4" bestFit="1" customWidth="1"/>
    <col min="15162" max="15163" width="9.125" style="4"/>
    <col min="15164" max="15164" width="15.125" style="4" bestFit="1" customWidth="1"/>
    <col min="15165" max="15406" width="9.125" style="4"/>
    <col min="15407" max="15407" width="5" style="4" bestFit="1" customWidth="1"/>
    <col min="15408" max="15408" width="9" style="4" bestFit="1" customWidth="1"/>
    <col min="15409" max="15409" width="20" style="4" bestFit="1" customWidth="1"/>
    <col min="15410" max="15414" width="9.125" style="4"/>
    <col min="15415" max="15415" width="15.125" style="4" bestFit="1" customWidth="1"/>
    <col min="15416" max="15416" width="13.25" style="4" customWidth="1"/>
    <col min="15417" max="15417" width="12" style="4" bestFit="1" customWidth="1"/>
    <col min="15418" max="15419" width="9.125" style="4"/>
    <col min="15420" max="15420" width="15.125" style="4" bestFit="1" customWidth="1"/>
    <col min="15421" max="15662" width="9.125" style="4"/>
    <col min="15663" max="15663" width="5" style="4" bestFit="1" customWidth="1"/>
    <col min="15664" max="15664" width="9" style="4" bestFit="1" customWidth="1"/>
    <col min="15665" max="15665" width="20" style="4" bestFit="1" customWidth="1"/>
    <col min="15666" max="15670" width="9.125" style="4"/>
    <col min="15671" max="15671" width="15.125" style="4" bestFit="1" customWidth="1"/>
    <col min="15672" max="15672" width="13.25" style="4" customWidth="1"/>
    <col min="15673" max="15673" width="12" style="4" bestFit="1" customWidth="1"/>
    <col min="15674" max="15675" width="9.125" style="4"/>
    <col min="15676" max="15676" width="15.125" style="4" bestFit="1" customWidth="1"/>
    <col min="15677" max="15918" width="9.125" style="4"/>
    <col min="15919" max="15919" width="5" style="4" bestFit="1" customWidth="1"/>
    <col min="15920" max="15920" width="9" style="4" bestFit="1" customWidth="1"/>
    <col min="15921" max="15921" width="20" style="4" bestFit="1" customWidth="1"/>
    <col min="15922" max="15926" width="9.125" style="4"/>
    <col min="15927" max="15927" width="15.125" style="4" bestFit="1" customWidth="1"/>
    <col min="15928" max="15928" width="13.25" style="4" customWidth="1"/>
    <col min="15929" max="15929" width="12" style="4" bestFit="1" customWidth="1"/>
    <col min="15930" max="15931" width="9.125" style="4"/>
    <col min="15932" max="15932" width="15.125" style="4" bestFit="1" customWidth="1"/>
    <col min="15933" max="16174" width="9.125" style="4"/>
    <col min="16175" max="16175" width="5" style="4" bestFit="1" customWidth="1"/>
    <col min="16176" max="16176" width="9" style="4" bestFit="1" customWidth="1"/>
    <col min="16177" max="16177" width="20" style="4" bestFit="1" customWidth="1"/>
    <col min="16178" max="16182" width="9.125" style="4"/>
    <col min="16183" max="16183" width="15.125" style="4" bestFit="1" customWidth="1"/>
    <col min="16184" max="16184" width="13.25" style="4" customWidth="1"/>
    <col min="16185" max="16185" width="12" style="4" bestFit="1" customWidth="1"/>
    <col min="16186" max="16187" width="9.125" style="4"/>
    <col min="16188" max="16188" width="15.125" style="4" bestFit="1" customWidth="1"/>
    <col min="16189" max="16384" width="9.125" style="4"/>
  </cols>
  <sheetData>
    <row r="1" spans="1:101" ht="21" thickBot="1" x14ac:dyDescent="0.3">
      <c r="A1" s="457" t="s">
        <v>253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  <c r="T1" s="457"/>
      <c r="U1" s="457"/>
      <c r="V1" s="457"/>
      <c r="W1" s="457"/>
      <c r="X1" s="457"/>
      <c r="Y1" s="457"/>
      <c r="Z1" s="457"/>
      <c r="AA1" s="457"/>
      <c r="AB1" s="457"/>
      <c r="AC1" s="457"/>
      <c r="AD1" s="457"/>
      <c r="AE1" s="457"/>
      <c r="AF1" s="458"/>
      <c r="AG1" s="458"/>
      <c r="AH1" s="458"/>
      <c r="AI1" s="458"/>
      <c r="AJ1" s="458"/>
      <c r="AK1" s="458"/>
      <c r="AL1" s="458"/>
      <c r="AM1" s="458"/>
      <c r="AN1" s="458"/>
      <c r="AO1" s="458"/>
      <c r="AP1" s="458"/>
      <c r="AQ1" s="458"/>
      <c r="AR1" s="458"/>
      <c r="AS1" s="458"/>
      <c r="AT1" s="458"/>
      <c r="AU1" s="458"/>
      <c r="AV1" s="458"/>
      <c r="AW1" s="458"/>
      <c r="AX1" s="458"/>
      <c r="AY1" s="458"/>
      <c r="AZ1" s="458"/>
      <c r="BA1" s="458"/>
      <c r="BB1" s="458"/>
      <c r="BC1" s="458"/>
      <c r="BD1" s="458"/>
      <c r="BE1" s="458"/>
      <c r="BF1" s="458"/>
      <c r="BG1" s="458"/>
      <c r="BH1" s="458"/>
      <c r="BI1" s="458"/>
      <c r="BJ1" s="458"/>
      <c r="BK1" s="458"/>
      <c r="BL1" s="458"/>
      <c r="BM1" s="458"/>
      <c r="BN1" s="458"/>
      <c r="BO1" s="458"/>
      <c r="BP1" s="458"/>
      <c r="BQ1" s="458"/>
      <c r="BR1" s="458"/>
      <c r="BS1" s="458"/>
      <c r="BT1" s="458"/>
      <c r="BU1" s="458"/>
      <c r="BV1" s="458"/>
      <c r="BW1" s="458"/>
      <c r="BX1" s="458"/>
      <c r="BY1" s="458"/>
      <c r="BZ1" s="458"/>
      <c r="CA1" s="458"/>
      <c r="CB1" s="458"/>
      <c r="CC1" s="458"/>
      <c r="CD1" s="458"/>
      <c r="CE1" s="458"/>
      <c r="CF1" s="458"/>
      <c r="CG1" s="458"/>
      <c r="CH1" s="458"/>
      <c r="CI1" s="458"/>
      <c r="CJ1" s="458"/>
      <c r="CK1" s="458"/>
      <c r="CL1" s="458"/>
      <c r="CM1" s="458"/>
      <c r="CN1" s="458"/>
      <c r="CO1" s="458"/>
      <c r="CP1" s="458"/>
      <c r="CQ1" s="458"/>
      <c r="CR1" s="458"/>
      <c r="CS1" s="458"/>
      <c r="CT1" s="458"/>
      <c r="CU1" s="458"/>
      <c r="CV1" s="458"/>
      <c r="CW1" s="458"/>
    </row>
    <row r="2" spans="1:101" ht="20.25" x14ac:dyDescent="0.25">
      <c r="A2" s="459" t="s">
        <v>43</v>
      </c>
      <c r="B2" s="462" t="s">
        <v>0</v>
      </c>
      <c r="C2" s="464" t="s">
        <v>1</v>
      </c>
      <c r="D2" s="466" t="s">
        <v>44</v>
      </c>
      <c r="E2" s="467"/>
      <c r="F2" s="467"/>
      <c r="G2" s="467"/>
      <c r="H2" s="467"/>
      <c r="I2" s="467"/>
      <c r="J2" s="468"/>
      <c r="K2" s="469" t="s">
        <v>45</v>
      </c>
      <c r="L2" s="467"/>
      <c r="M2" s="467"/>
      <c r="N2" s="467"/>
      <c r="O2" s="467"/>
      <c r="P2" s="467"/>
      <c r="Q2" s="468"/>
      <c r="R2" s="469" t="s">
        <v>46</v>
      </c>
      <c r="S2" s="467"/>
      <c r="T2" s="467"/>
      <c r="U2" s="467"/>
      <c r="V2" s="467"/>
      <c r="W2" s="467"/>
      <c r="X2" s="470"/>
      <c r="Y2" s="469" t="s">
        <v>47</v>
      </c>
      <c r="Z2" s="467"/>
      <c r="AA2" s="467"/>
      <c r="AB2" s="467"/>
      <c r="AC2" s="467"/>
      <c r="AD2" s="467"/>
      <c r="AE2" s="470"/>
      <c r="AF2" s="469" t="s">
        <v>48</v>
      </c>
      <c r="AG2" s="467"/>
      <c r="AH2" s="467"/>
      <c r="AI2" s="467"/>
      <c r="AJ2" s="467"/>
      <c r="AK2" s="467"/>
      <c r="AL2" s="470"/>
      <c r="AM2" s="471" t="s">
        <v>49</v>
      </c>
      <c r="AN2" s="472"/>
      <c r="AO2" s="472"/>
      <c r="AP2" s="472"/>
      <c r="AQ2" s="472"/>
      <c r="AR2" s="472"/>
      <c r="AS2" s="473"/>
      <c r="AT2" s="471" t="s">
        <v>50</v>
      </c>
      <c r="AU2" s="472"/>
      <c r="AV2" s="472"/>
      <c r="AW2" s="472"/>
      <c r="AX2" s="472"/>
      <c r="AY2" s="472"/>
      <c r="AZ2" s="472"/>
      <c r="BA2" s="471" t="s">
        <v>51</v>
      </c>
      <c r="BB2" s="472"/>
      <c r="BC2" s="472"/>
      <c r="BD2" s="472"/>
      <c r="BE2" s="472"/>
      <c r="BF2" s="472"/>
      <c r="BG2" s="472"/>
      <c r="BH2" s="471" t="s">
        <v>52</v>
      </c>
      <c r="BI2" s="472"/>
      <c r="BJ2" s="472"/>
      <c r="BK2" s="472"/>
      <c r="BL2" s="472"/>
      <c r="BM2" s="472"/>
      <c r="BN2" s="472"/>
      <c r="BO2" s="471" t="s">
        <v>53</v>
      </c>
      <c r="BP2" s="472"/>
      <c r="BQ2" s="472"/>
      <c r="BR2" s="472"/>
      <c r="BS2" s="472"/>
      <c r="BT2" s="472"/>
      <c r="BU2" s="472"/>
      <c r="BV2" s="471" t="s">
        <v>54</v>
      </c>
      <c r="BW2" s="472"/>
      <c r="BX2" s="472"/>
      <c r="BY2" s="472"/>
      <c r="BZ2" s="472"/>
      <c r="CA2" s="472"/>
      <c r="CB2" s="472"/>
      <c r="CC2" s="471" t="s">
        <v>55</v>
      </c>
      <c r="CD2" s="472"/>
      <c r="CE2" s="472"/>
      <c r="CF2" s="472"/>
      <c r="CG2" s="472"/>
      <c r="CH2" s="472"/>
      <c r="CI2" s="472"/>
      <c r="CJ2" s="471" t="s">
        <v>56</v>
      </c>
      <c r="CK2" s="472"/>
      <c r="CL2" s="472"/>
      <c r="CM2" s="472"/>
      <c r="CN2" s="472"/>
      <c r="CO2" s="472"/>
      <c r="CP2" s="472"/>
      <c r="CQ2" s="476" t="s">
        <v>245</v>
      </c>
      <c r="CR2" s="477"/>
      <c r="CS2" s="477"/>
      <c r="CT2" s="477"/>
      <c r="CU2" s="477"/>
      <c r="CV2" s="477"/>
      <c r="CW2" s="478"/>
    </row>
    <row r="3" spans="1:101" s="26" customFormat="1" ht="24.75" thickBot="1" x14ac:dyDescent="0.2">
      <c r="A3" s="460"/>
      <c r="B3" s="463"/>
      <c r="C3" s="465"/>
      <c r="D3" s="376" t="s">
        <v>2</v>
      </c>
      <c r="E3" s="12" t="s">
        <v>3</v>
      </c>
      <c r="F3" s="12" t="s">
        <v>57</v>
      </c>
      <c r="G3" s="12" t="s">
        <v>58</v>
      </c>
      <c r="H3" s="12" t="s">
        <v>4</v>
      </c>
      <c r="I3" s="1" t="s">
        <v>6</v>
      </c>
      <c r="J3" s="16" t="s">
        <v>33</v>
      </c>
      <c r="K3" s="15" t="s">
        <v>2</v>
      </c>
      <c r="L3" s="12" t="s">
        <v>3</v>
      </c>
      <c r="M3" s="12" t="s">
        <v>57</v>
      </c>
      <c r="N3" s="12" t="s">
        <v>58</v>
      </c>
      <c r="O3" s="12" t="s">
        <v>4</v>
      </c>
      <c r="P3" s="1" t="s">
        <v>6</v>
      </c>
      <c r="Q3" s="16" t="s">
        <v>59</v>
      </c>
      <c r="R3" s="15" t="s">
        <v>2</v>
      </c>
      <c r="S3" s="12" t="s">
        <v>3</v>
      </c>
      <c r="T3" s="12" t="s">
        <v>57</v>
      </c>
      <c r="U3" s="12" t="s">
        <v>58</v>
      </c>
      <c r="V3" s="12" t="s">
        <v>4</v>
      </c>
      <c r="W3" s="1" t="s">
        <v>6</v>
      </c>
      <c r="X3" s="17" t="s">
        <v>59</v>
      </c>
      <c r="Y3" s="15" t="s">
        <v>2</v>
      </c>
      <c r="Z3" s="12" t="s">
        <v>3</v>
      </c>
      <c r="AA3" s="12" t="s">
        <v>57</v>
      </c>
      <c r="AB3" s="12" t="s">
        <v>58</v>
      </c>
      <c r="AC3" s="12" t="s">
        <v>4</v>
      </c>
      <c r="AD3" s="1" t="s">
        <v>6</v>
      </c>
      <c r="AE3" s="17" t="s">
        <v>59</v>
      </c>
      <c r="AF3" s="15" t="s">
        <v>2</v>
      </c>
      <c r="AG3" s="12" t="s">
        <v>3</v>
      </c>
      <c r="AH3" s="12" t="s">
        <v>57</v>
      </c>
      <c r="AI3" s="12" t="s">
        <v>58</v>
      </c>
      <c r="AJ3" s="12" t="s">
        <v>4</v>
      </c>
      <c r="AK3" s="1" t="s">
        <v>6</v>
      </c>
      <c r="AL3" s="17" t="s">
        <v>59</v>
      </c>
      <c r="AM3" s="15" t="s">
        <v>2</v>
      </c>
      <c r="AN3" s="12" t="s">
        <v>3</v>
      </c>
      <c r="AO3" s="12" t="s">
        <v>57</v>
      </c>
      <c r="AP3" s="12" t="s">
        <v>58</v>
      </c>
      <c r="AQ3" s="12" t="s">
        <v>4</v>
      </c>
      <c r="AR3" s="1" t="s">
        <v>6</v>
      </c>
      <c r="AS3" s="16" t="s">
        <v>59</v>
      </c>
      <c r="AT3" s="18" t="s">
        <v>2</v>
      </c>
      <c r="AU3" s="19" t="s">
        <v>3</v>
      </c>
      <c r="AV3" s="19" t="s">
        <v>57</v>
      </c>
      <c r="AW3" s="19" t="s">
        <v>58</v>
      </c>
      <c r="AX3" s="19" t="s">
        <v>4</v>
      </c>
      <c r="AY3" s="20" t="s">
        <v>6</v>
      </c>
      <c r="AZ3" s="21" t="s">
        <v>59</v>
      </c>
      <c r="BA3" s="15" t="s">
        <v>2</v>
      </c>
      <c r="BB3" s="12" t="s">
        <v>3</v>
      </c>
      <c r="BC3" s="12" t="s">
        <v>57</v>
      </c>
      <c r="BD3" s="12" t="s">
        <v>58</v>
      </c>
      <c r="BE3" s="12" t="s">
        <v>4</v>
      </c>
      <c r="BF3" s="1" t="s">
        <v>6</v>
      </c>
      <c r="BG3" s="17" t="s">
        <v>59</v>
      </c>
      <c r="BH3" s="15" t="s">
        <v>2</v>
      </c>
      <c r="BI3" s="12" t="s">
        <v>3</v>
      </c>
      <c r="BJ3" s="12" t="s">
        <v>57</v>
      </c>
      <c r="BK3" s="12" t="s">
        <v>58</v>
      </c>
      <c r="BL3" s="12" t="s">
        <v>4</v>
      </c>
      <c r="BM3" s="1" t="s">
        <v>6</v>
      </c>
      <c r="BN3" s="17" t="s">
        <v>59</v>
      </c>
      <c r="BO3" s="15" t="s">
        <v>2</v>
      </c>
      <c r="BP3" s="12" t="s">
        <v>3</v>
      </c>
      <c r="BQ3" s="12" t="s">
        <v>57</v>
      </c>
      <c r="BR3" s="12" t="s">
        <v>58</v>
      </c>
      <c r="BS3" s="12" t="s">
        <v>4</v>
      </c>
      <c r="BT3" s="1" t="s">
        <v>6</v>
      </c>
      <c r="BU3" s="17" t="s">
        <v>59</v>
      </c>
      <c r="BV3" s="15" t="s">
        <v>2</v>
      </c>
      <c r="BW3" s="12" t="s">
        <v>3</v>
      </c>
      <c r="BX3" s="12" t="s">
        <v>57</v>
      </c>
      <c r="BY3" s="12" t="s">
        <v>58</v>
      </c>
      <c r="BZ3" s="12" t="s">
        <v>4</v>
      </c>
      <c r="CA3" s="1" t="s">
        <v>6</v>
      </c>
      <c r="CB3" s="17" t="s">
        <v>59</v>
      </c>
      <c r="CC3" s="15" t="s">
        <v>2</v>
      </c>
      <c r="CD3" s="12" t="s">
        <v>3</v>
      </c>
      <c r="CE3" s="12" t="s">
        <v>57</v>
      </c>
      <c r="CF3" s="12" t="s">
        <v>58</v>
      </c>
      <c r="CG3" s="12" t="s">
        <v>4</v>
      </c>
      <c r="CH3" s="1" t="s">
        <v>6</v>
      </c>
      <c r="CI3" s="17" t="s">
        <v>59</v>
      </c>
      <c r="CJ3" s="15" t="s">
        <v>2</v>
      </c>
      <c r="CK3" s="12" t="s">
        <v>3</v>
      </c>
      <c r="CL3" s="12" t="s">
        <v>57</v>
      </c>
      <c r="CM3" s="12" t="s">
        <v>58</v>
      </c>
      <c r="CN3" s="12" t="s">
        <v>4</v>
      </c>
      <c r="CO3" s="1" t="s">
        <v>6</v>
      </c>
      <c r="CP3" s="17" t="s">
        <v>59</v>
      </c>
      <c r="CQ3" s="22" t="s">
        <v>2</v>
      </c>
      <c r="CR3" s="12" t="s">
        <v>3</v>
      </c>
      <c r="CS3" s="23" t="s">
        <v>57</v>
      </c>
      <c r="CT3" s="23" t="s">
        <v>58</v>
      </c>
      <c r="CU3" s="23" t="s">
        <v>4</v>
      </c>
      <c r="CV3" s="24" t="s">
        <v>6</v>
      </c>
      <c r="CW3" s="25" t="s">
        <v>59</v>
      </c>
    </row>
    <row r="4" spans="1:101" x14ac:dyDescent="0.15">
      <c r="A4" s="460"/>
      <c r="B4" s="5">
        <v>1</v>
      </c>
      <c r="C4" s="27" t="s">
        <v>60</v>
      </c>
      <c r="D4" s="32">
        <f>[1]明细表!D3</f>
        <v>1349</v>
      </c>
      <c r="E4" s="29">
        <f>[1]明细表!E3</f>
        <v>56</v>
      </c>
      <c r="F4" s="29"/>
      <c r="G4" s="29"/>
      <c r="H4" s="29">
        <f>D4-E4-F4</f>
        <v>1293</v>
      </c>
      <c r="I4" s="6">
        <f>J4/H4</f>
        <v>1.4891292746481153</v>
      </c>
      <c r="J4" s="30">
        <f>[1]明细表!R3</f>
        <v>1925.4441521200131</v>
      </c>
      <c r="K4" s="31">
        <f>[2]明细表!D3</f>
        <v>1026</v>
      </c>
      <c r="L4" s="29">
        <f>[2]明细表!E3</f>
        <v>34</v>
      </c>
      <c r="M4" s="32"/>
      <c r="N4" s="29"/>
      <c r="O4" s="29">
        <f>[2]明细表!F3</f>
        <v>992</v>
      </c>
      <c r="P4" s="6">
        <f t="shared" ref="P4:P46" si="0">Q4/O4</f>
        <v>1.5437509320545484</v>
      </c>
      <c r="Q4" s="30">
        <f>[2]明细表!R3</f>
        <v>1531.4009245981119</v>
      </c>
      <c r="R4" s="28"/>
      <c r="S4" s="29"/>
      <c r="T4" s="29"/>
      <c r="U4" s="29"/>
      <c r="V4" s="29"/>
      <c r="W4" s="6"/>
      <c r="X4" s="33"/>
      <c r="Y4" s="34"/>
      <c r="Z4" s="35"/>
      <c r="AA4" s="35"/>
      <c r="AB4" s="35"/>
      <c r="AC4" s="36"/>
      <c r="AD4" s="37"/>
      <c r="AE4" s="38"/>
      <c r="AF4" s="34"/>
      <c r="AG4" s="35"/>
      <c r="AH4" s="35"/>
      <c r="AI4" s="35"/>
      <c r="AJ4" s="36"/>
      <c r="AK4" s="37"/>
      <c r="AL4" s="38"/>
      <c r="AM4" s="39"/>
      <c r="AN4" s="40"/>
      <c r="AO4" s="40"/>
      <c r="AP4" s="40"/>
      <c r="AQ4" s="40"/>
      <c r="AR4" s="6"/>
      <c r="AS4" s="30"/>
      <c r="AT4" s="41"/>
      <c r="AU4" s="42"/>
      <c r="AV4" s="42"/>
      <c r="AW4" s="42"/>
      <c r="AX4" s="43"/>
      <c r="AY4" s="44"/>
      <c r="AZ4" s="45"/>
      <c r="BA4" s="39"/>
      <c r="BB4" s="40"/>
      <c r="BC4" s="40"/>
      <c r="BD4" s="40"/>
      <c r="BE4" s="40"/>
      <c r="BF4" s="6"/>
      <c r="BG4" s="33"/>
      <c r="BH4" s="39"/>
      <c r="BI4" s="40"/>
      <c r="BJ4" s="40"/>
      <c r="BK4" s="40"/>
      <c r="BL4" s="40"/>
      <c r="BM4" s="6"/>
      <c r="BN4" s="33"/>
      <c r="BO4" s="39"/>
      <c r="BP4" s="40"/>
      <c r="BQ4" s="40"/>
      <c r="BR4" s="40"/>
      <c r="BS4" s="40"/>
      <c r="BT4" s="6"/>
      <c r="BU4" s="33"/>
      <c r="BV4" s="46"/>
      <c r="BW4" s="40"/>
      <c r="BX4" s="40"/>
      <c r="BY4" s="40"/>
      <c r="BZ4" s="40"/>
      <c r="CA4" s="6"/>
      <c r="CB4" s="33"/>
      <c r="CC4" s="46"/>
      <c r="CD4" s="40"/>
      <c r="CE4" s="40"/>
      <c r="CF4" s="40"/>
      <c r="CG4" s="40"/>
      <c r="CH4" s="6"/>
      <c r="CI4" s="33"/>
      <c r="CJ4" s="46"/>
      <c r="CK4" s="40"/>
      <c r="CL4" s="40"/>
      <c r="CM4" s="40"/>
      <c r="CN4" s="40"/>
      <c r="CO4" s="6"/>
      <c r="CP4" s="33"/>
      <c r="CQ4" s="47">
        <f t="shared" ref="CQ4:CU11" si="1">AM4+D4+K4+R4+Y4+AF4+BA4+BH4</f>
        <v>2375</v>
      </c>
      <c r="CR4" s="48">
        <f t="shared" si="1"/>
        <v>90</v>
      </c>
      <c r="CS4" s="48"/>
      <c r="CT4" s="48"/>
      <c r="CU4" s="49">
        <f t="shared" si="1"/>
        <v>2285</v>
      </c>
      <c r="CV4" s="6">
        <f t="shared" ref="CV4:CV52" si="2">CW4/CU4</f>
        <v>1.5128424843405359</v>
      </c>
      <c r="CW4" s="30">
        <f t="shared" ref="CW4:CW11" si="3">AS4+J4+Q4+X4+AE4+AL4+BG4+BN4</f>
        <v>3456.8450767181248</v>
      </c>
    </row>
    <row r="5" spans="1:101" s="70" customFormat="1" x14ac:dyDescent="0.15">
      <c r="A5" s="460"/>
      <c r="B5" s="479" t="s">
        <v>61</v>
      </c>
      <c r="C5" s="480"/>
      <c r="D5" s="377">
        <f>SUM(D4:D4)</f>
        <v>1349</v>
      </c>
      <c r="E5" s="51">
        <f>SUM(E4:E4)</f>
        <v>56</v>
      </c>
      <c r="F5" s="51"/>
      <c r="G5" s="51"/>
      <c r="H5" s="51">
        <f>SUM(H4:H4)</f>
        <v>1293</v>
      </c>
      <c r="I5" s="52">
        <f t="shared" ref="I5:I52" si="4">J5/H5</f>
        <v>1.4891292746481153</v>
      </c>
      <c r="J5" s="53">
        <f>SUM(J4:J4)</f>
        <v>1925.4441521200131</v>
      </c>
      <c r="K5" s="54">
        <f>SUM(K4:K4)</f>
        <v>1026</v>
      </c>
      <c r="L5" s="55">
        <f>SUM(L4:L4)</f>
        <v>34</v>
      </c>
      <c r="M5" s="56"/>
      <c r="N5" s="55"/>
      <c r="O5" s="57">
        <f>SUM(O4:O4)</f>
        <v>992</v>
      </c>
      <c r="P5" s="52">
        <f t="shared" si="0"/>
        <v>1.5437509320545484</v>
      </c>
      <c r="Q5" s="53">
        <f>SUM(Q4:Q4)</f>
        <v>1531.4009245981119</v>
      </c>
      <c r="R5" s="58"/>
      <c r="S5" s="55"/>
      <c r="T5" s="51"/>
      <c r="U5" s="51"/>
      <c r="V5" s="55"/>
      <c r="W5" s="52"/>
      <c r="X5" s="59"/>
      <c r="Y5" s="60"/>
      <c r="Z5" s="61"/>
      <c r="AA5" s="61"/>
      <c r="AB5" s="61"/>
      <c r="AC5" s="62"/>
      <c r="AD5" s="63"/>
      <c r="AE5" s="64"/>
      <c r="AF5" s="60"/>
      <c r="AG5" s="61"/>
      <c r="AH5" s="61"/>
      <c r="AI5" s="61"/>
      <c r="AJ5" s="61"/>
      <c r="AK5" s="63"/>
      <c r="AL5" s="59"/>
      <c r="AM5" s="65"/>
      <c r="AN5" s="66"/>
      <c r="AO5" s="66"/>
      <c r="AP5" s="66"/>
      <c r="AQ5" s="66"/>
      <c r="AR5" s="52"/>
      <c r="AS5" s="53"/>
      <c r="AT5" s="65"/>
      <c r="AU5" s="66"/>
      <c r="AV5" s="66"/>
      <c r="AW5" s="66"/>
      <c r="AX5" s="61"/>
      <c r="AY5" s="52"/>
      <c r="AZ5" s="53"/>
      <c r="BA5" s="65"/>
      <c r="BB5" s="66"/>
      <c r="BC5" s="66"/>
      <c r="BD5" s="66"/>
      <c r="BE5" s="66"/>
      <c r="BF5" s="52"/>
      <c r="BG5" s="33"/>
      <c r="BH5" s="65"/>
      <c r="BI5" s="66"/>
      <c r="BJ5" s="66"/>
      <c r="BK5" s="66"/>
      <c r="BL5" s="66"/>
      <c r="BM5" s="52"/>
      <c r="BN5" s="59"/>
      <c r="BO5" s="67"/>
      <c r="BP5" s="66"/>
      <c r="BQ5" s="66"/>
      <c r="BR5" s="66"/>
      <c r="BS5" s="66"/>
      <c r="BT5" s="52"/>
      <c r="BU5" s="59"/>
      <c r="BV5" s="67"/>
      <c r="BW5" s="66"/>
      <c r="BX5" s="66"/>
      <c r="BY5" s="66"/>
      <c r="BZ5" s="66"/>
      <c r="CA5" s="52"/>
      <c r="CB5" s="59"/>
      <c r="CC5" s="67"/>
      <c r="CD5" s="66"/>
      <c r="CE5" s="66"/>
      <c r="CF5" s="66"/>
      <c r="CG5" s="66"/>
      <c r="CH5" s="52"/>
      <c r="CI5" s="59"/>
      <c r="CJ5" s="67"/>
      <c r="CK5" s="66"/>
      <c r="CL5" s="66"/>
      <c r="CM5" s="66"/>
      <c r="CN5" s="66"/>
      <c r="CO5" s="52"/>
      <c r="CP5" s="59"/>
      <c r="CQ5" s="68">
        <f t="shared" si="1"/>
        <v>2375</v>
      </c>
      <c r="CR5" s="69">
        <f t="shared" si="1"/>
        <v>90</v>
      </c>
      <c r="CS5" s="69"/>
      <c r="CT5" s="69"/>
      <c r="CU5" s="69">
        <f t="shared" si="1"/>
        <v>2285</v>
      </c>
      <c r="CV5" s="52">
        <f t="shared" si="2"/>
        <v>1.5128424843405359</v>
      </c>
      <c r="CW5" s="53">
        <f t="shared" si="3"/>
        <v>3456.8450767181248</v>
      </c>
    </row>
    <row r="6" spans="1:101" x14ac:dyDescent="0.15">
      <c r="A6" s="460"/>
      <c r="B6" s="5">
        <v>2</v>
      </c>
      <c r="C6" s="27" t="s">
        <v>62</v>
      </c>
      <c r="D6" s="32">
        <f>[1]明细表!D5</f>
        <v>1999</v>
      </c>
      <c r="E6" s="29">
        <f>[1]明细表!E5</f>
        <v>56</v>
      </c>
      <c r="F6" s="29"/>
      <c r="G6" s="29"/>
      <c r="H6" s="29">
        <f t="shared" ref="H6:H45" si="5">D6-E6-F6</f>
        <v>1943</v>
      </c>
      <c r="I6" s="6">
        <f t="shared" si="4"/>
        <v>3.0471646876304073</v>
      </c>
      <c r="J6" s="30">
        <f>[1]明细表!R5</f>
        <v>5920.6409880658812</v>
      </c>
      <c r="K6" s="31">
        <f>[2]明细表!D5</f>
        <v>1524</v>
      </c>
      <c r="L6" s="29">
        <f>[2]明细表!E5</f>
        <v>34</v>
      </c>
      <c r="M6" s="71"/>
      <c r="N6" s="29"/>
      <c r="O6" s="32">
        <f>[2]明细表!F5</f>
        <v>1490</v>
      </c>
      <c r="P6" s="6">
        <f t="shared" si="0"/>
        <v>3.161722597999558</v>
      </c>
      <c r="Q6" s="30">
        <f>[2]明细表!R5</f>
        <v>4710.9666710193414</v>
      </c>
      <c r="R6" s="28"/>
      <c r="S6" s="29"/>
      <c r="T6" s="29"/>
      <c r="U6" s="29"/>
      <c r="V6" s="29"/>
      <c r="W6" s="6"/>
      <c r="X6" s="33"/>
      <c r="Y6" s="34"/>
      <c r="Z6" s="35"/>
      <c r="AA6" s="35"/>
      <c r="AB6" s="36"/>
      <c r="AC6" s="36"/>
      <c r="AD6" s="37"/>
      <c r="AE6" s="38"/>
      <c r="AF6" s="34"/>
      <c r="AG6" s="35"/>
      <c r="AH6" s="35"/>
      <c r="AI6" s="36"/>
      <c r="AJ6" s="36"/>
      <c r="AK6" s="37"/>
      <c r="AL6" s="38"/>
      <c r="AM6" s="39"/>
      <c r="AN6" s="40"/>
      <c r="AO6" s="40"/>
      <c r="AP6" s="40"/>
      <c r="AQ6" s="40"/>
      <c r="AR6" s="6"/>
      <c r="AS6" s="30"/>
      <c r="AT6" s="39"/>
      <c r="AU6" s="40"/>
      <c r="AV6" s="40"/>
      <c r="AW6" s="40"/>
      <c r="AX6" s="35"/>
      <c r="AY6" s="6"/>
      <c r="AZ6" s="30"/>
      <c r="BA6" s="39"/>
      <c r="BB6" s="40"/>
      <c r="BC6" s="40"/>
      <c r="BD6" s="40"/>
      <c r="BE6" s="40"/>
      <c r="BF6" s="6"/>
      <c r="BG6" s="33"/>
      <c r="BH6" s="39"/>
      <c r="BI6" s="40"/>
      <c r="BJ6" s="40"/>
      <c r="BK6" s="40"/>
      <c r="BL6" s="40"/>
      <c r="BM6" s="6"/>
      <c r="BN6" s="33"/>
      <c r="BO6" s="46"/>
      <c r="BP6" s="40"/>
      <c r="BQ6" s="40"/>
      <c r="BR6" s="40"/>
      <c r="BS6" s="40"/>
      <c r="BT6" s="6"/>
      <c r="BU6" s="33"/>
      <c r="BV6" s="46"/>
      <c r="BW6" s="40"/>
      <c r="BX6" s="40"/>
      <c r="BY6" s="40"/>
      <c r="BZ6" s="40"/>
      <c r="CA6" s="6"/>
      <c r="CB6" s="33"/>
      <c r="CC6" s="46"/>
      <c r="CD6" s="40"/>
      <c r="CE6" s="40"/>
      <c r="CF6" s="40"/>
      <c r="CG6" s="40"/>
      <c r="CH6" s="6"/>
      <c r="CI6" s="33"/>
      <c r="CJ6" s="46"/>
      <c r="CK6" s="40"/>
      <c r="CL6" s="40"/>
      <c r="CM6" s="40"/>
      <c r="CN6" s="40"/>
      <c r="CO6" s="6"/>
      <c r="CP6" s="33"/>
      <c r="CQ6" s="72">
        <f t="shared" si="1"/>
        <v>3523</v>
      </c>
      <c r="CR6" s="73">
        <f t="shared" si="1"/>
        <v>90</v>
      </c>
      <c r="CS6" s="73"/>
      <c r="CT6" s="48"/>
      <c r="CU6" s="48">
        <f t="shared" si="1"/>
        <v>3433</v>
      </c>
      <c r="CV6" s="6">
        <f t="shared" si="2"/>
        <v>3.0968854235610901</v>
      </c>
      <c r="CW6" s="30">
        <f t="shared" si="3"/>
        <v>10631.607659085223</v>
      </c>
    </row>
    <row r="7" spans="1:101" x14ac:dyDescent="0.15">
      <c r="A7" s="460"/>
      <c r="B7" s="5">
        <v>3</v>
      </c>
      <c r="C7" s="27" t="str">
        <f>[1]明细表!C6</f>
        <v>15元牛肉馅饼</v>
      </c>
      <c r="D7" s="32">
        <f>[1]明细表!D6</f>
        <v>2058</v>
      </c>
      <c r="E7" s="29">
        <f>[1]明细表!E6</f>
        <v>56</v>
      </c>
      <c r="F7" s="29"/>
      <c r="G7" s="29"/>
      <c r="H7" s="29">
        <f t="shared" si="5"/>
        <v>2002</v>
      </c>
      <c r="I7" s="6">
        <f t="shared" si="4"/>
        <v>3.7830582690875501</v>
      </c>
      <c r="J7" s="30">
        <f>[1]明细表!R6</f>
        <v>7573.682654713275</v>
      </c>
      <c r="K7" s="31">
        <f>[2]明细表!D6</f>
        <v>1589</v>
      </c>
      <c r="L7" s="29">
        <f>[2]明细表!E6</f>
        <v>34</v>
      </c>
      <c r="M7" s="71"/>
      <c r="N7" s="29"/>
      <c r="O7" s="32">
        <f>[2]明细表!F6</f>
        <v>1555</v>
      </c>
      <c r="P7" s="6">
        <f t="shared" si="0"/>
        <v>3.8113269485466126</v>
      </c>
      <c r="Q7" s="30">
        <f>[2]明细表!R6</f>
        <v>5926.6134049899829</v>
      </c>
      <c r="R7" s="28"/>
      <c r="S7" s="29"/>
      <c r="T7" s="29"/>
      <c r="U7" s="29"/>
      <c r="V7" s="29"/>
      <c r="W7" s="6"/>
      <c r="X7" s="33"/>
      <c r="Y7" s="34"/>
      <c r="Z7" s="35"/>
      <c r="AA7" s="35"/>
      <c r="AB7" s="36"/>
      <c r="AC7" s="36"/>
      <c r="AD7" s="37"/>
      <c r="AE7" s="38"/>
      <c r="AF7" s="34"/>
      <c r="AG7" s="35"/>
      <c r="AH7" s="35"/>
      <c r="AI7" s="36"/>
      <c r="AJ7" s="36"/>
      <c r="AK7" s="37"/>
      <c r="AL7" s="38"/>
      <c r="AM7" s="39"/>
      <c r="AN7" s="40"/>
      <c r="AO7" s="40"/>
      <c r="AP7" s="40"/>
      <c r="AQ7" s="40"/>
      <c r="AR7" s="6"/>
      <c r="AS7" s="30"/>
      <c r="AT7" s="39"/>
      <c r="AU7" s="40"/>
      <c r="AV7" s="40"/>
      <c r="AW7" s="40"/>
      <c r="AX7" s="35"/>
      <c r="AY7" s="6"/>
      <c r="AZ7" s="30"/>
      <c r="BA7" s="39"/>
      <c r="BB7" s="40"/>
      <c r="BC7" s="40"/>
      <c r="BD7" s="40"/>
      <c r="BE7" s="40"/>
      <c r="BF7" s="6"/>
      <c r="BG7" s="33"/>
      <c r="BH7" s="39"/>
      <c r="BI7" s="40"/>
      <c r="BJ7" s="40"/>
      <c r="BK7" s="40"/>
      <c r="BL7" s="40"/>
      <c r="BM7" s="6"/>
      <c r="BN7" s="33"/>
      <c r="BO7" s="46"/>
      <c r="BP7" s="40"/>
      <c r="BQ7" s="40"/>
      <c r="BR7" s="40"/>
      <c r="BS7" s="40"/>
      <c r="BT7" s="6"/>
      <c r="BU7" s="33"/>
      <c r="BV7" s="46"/>
      <c r="BW7" s="40"/>
      <c r="BX7" s="40"/>
      <c r="BY7" s="40"/>
      <c r="BZ7" s="40"/>
      <c r="CA7" s="6"/>
      <c r="CB7" s="33"/>
      <c r="CC7" s="46"/>
      <c r="CD7" s="40"/>
      <c r="CE7" s="40"/>
      <c r="CF7" s="40"/>
      <c r="CG7" s="40"/>
      <c r="CH7" s="6"/>
      <c r="CI7" s="33"/>
      <c r="CJ7" s="46"/>
      <c r="CK7" s="40"/>
      <c r="CL7" s="40"/>
      <c r="CM7" s="40"/>
      <c r="CN7" s="40"/>
      <c r="CO7" s="6"/>
      <c r="CP7" s="33"/>
      <c r="CQ7" s="72">
        <f t="shared" si="1"/>
        <v>3647</v>
      </c>
      <c r="CR7" s="73">
        <f t="shared" si="1"/>
        <v>90</v>
      </c>
      <c r="CS7" s="73"/>
      <c r="CT7" s="48"/>
      <c r="CU7" s="48">
        <f t="shared" si="1"/>
        <v>3557</v>
      </c>
      <c r="CV7" s="6">
        <f t="shared" si="2"/>
        <v>3.7954163788876181</v>
      </c>
      <c r="CW7" s="30">
        <f t="shared" si="3"/>
        <v>13500.296059703258</v>
      </c>
    </row>
    <row r="8" spans="1:101" s="70" customFormat="1" x14ac:dyDescent="0.15">
      <c r="A8" s="460"/>
      <c r="B8" s="479" t="s">
        <v>61</v>
      </c>
      <c r="C8" s="480"/>
      <c r="D8" s="377">
        <f>SUM(D6:D7)</f>
        <v>4057</v>
      </c>
      <c r="E8" s="50">
        <f>SUM(E6:E7)</f>
        <v>112</v>
      </c>
      <c r="F8" s="51"/>
      <c r="G8" s="51"/>
      <c r="H8" s="51">
        <f>SUM(H6:H7)</f>
        <v>3945</v>
      </c>
      <c r="I8" s="52">
        <f t="shared" si="4"/>
        <v>3.4206143581189243</v>
      </c>
      <c r="J8" s="53">
        <f>J6+J7</f>
        <v>13494.323642779156</v>
      </c>
      <c r="K8" s="54">
        <f>SUM(K6:K7)</f>
        <v>3113</v>
      </c>
      <c r="L8" s="55">
        <f>SUM(L6:L7)</f>
        <v>68</v>
      </c>
      <c r="M8" s="56"/>
      <c r="N8" s="55"/>
      <c r="O8" s="57">
        <f>SUM(O6:O7)</f>
        <v>3045</v>
      </c>
      <c r="P8" s="52">
        <f t="shared" si="0"/>
        <v>3.4934581530408289</v>
      </c>
      <c r="Q8" s="53">
        <f>Q6+Q7</f>
        <v>10637.580076009324</v>
      </c>
      <c r="R8" s="58"/>
      <c r="S8" s="55"/>
      <c r="T8" s="51"/>
      <c r="U8" s="51"/>
      <c r="V8" s="55"/>
      <c r="W8" s="52"/>
      <c r="X8" s="59"/>
      <c r="Y8" s="60"/>
      <c r="Z8" s="61"/>
      <c r="AA8" s="61"/>
      <c r="AB8" s="62"/>
      <c r="AC8" s="62"/>
      <c r="AD8" s="63"/>
      <c r="AE8" s="64"/>
      <c r="AF8" s="60"/>
      <c r="AG8" s="61"/>
      <c r="AH8" s="61"/>
      <c r="AI8" s="62"/>
      <c r="AJ8" s="62"/>
      <c r="AK8" s="63"/>
      <c r="AL8" s="64"/>
      <c r="AM8" s="65"/>
      <c r="AN8" s="66"/>
      <c r="AO8" s="66"/>
      <c r="AP8" s="66"/>
      <c r="AQ8" s="66"/>
      <c r="AR8" s="52"/>
      <c r="AS8" s="53"/>
      <c r="AT8" s="65"/>
      <c r="AU8" s="66"/>
      <c r="AV8" s="66"/>
      <c r="AW8" s="66"/>
      <c r="AX8" s="61"/>
      <c r="AY8" s="52"/>
      <c r="AZ8" s="53"/>
      <c r="BA8" s="65"/>
      <c r="BB8" s="66"/>
      <c r="BC8" s="66"/>
      <c r="BD8" s="66"/>
      <c r="BE8" s="66"/>
      <c r="BF8" s="52"/>
      <c r="BG8" s="33"/>
      <c r="BH8" s="65"/>
      <c r="BI8" s="66"/>
      <c r="BJ8" s="66"/>
      <c r="BK8" s="66"/>
      <c r="BL8" s="66"/>
      <c r="BM8" s="52"/>
      <c r="BN8" s="59"/>
      <c r="BO8" s="65"/>
      <c r="BP8" s="66"/>
      <c r="BQ8" s="66"/>
      <c r="BR8" s="66"/>
      <c r="BS8" s="66"/>
      <c r="BT8" s="52"/>
      <c r="BU8" s="59"/>
      <c r="BV8" s="67"/>
      <c r="BW8" s="66"/>
      <c r="BX8" s="66"/>
      <c r="BY8" s="66"/>
      <c r="BZ8" s="66"/>
      <c r="CA8" s="52"/>
      <c r="CB8" s="59"/>
      <c r="CC8" s="67"/>
      <c r="CD8" s="66"/>
      <c r="CE8" s="66"/>
      <c r="CF8" s="66"/>
      <c r="CG8" s="66"/>
      <c r="CH8" s="52"/>
      <c r="CI8" s="59"/>
      <c r="CJ8" s="67"/>
      <c r="CK8" s="66"/>
      <c r="CL8" s="66"/>
      <c r="CM8" s="66"/>
      <c r="CN8" s="66"/>
      <c r="CO8" s="52"/>
      <c r="CP8" s="59"/>
      <c r="CQ8" s="68">
        <f t="shared" si="1"/>
        <v>7170</v>
      </c>
      <c r="CR8" s="69">
        <f t="shared" si="1"/>
        <v>180</v>
      </c>
      <c r="CS8" s="69"/>
      <c r="CT8" s="69"/>
      <c r="CU8" s="69">
        <f t="shared" si="1"/>
        <v>6990</v>
      </c>
      <c r="CV8" s="52">
        <f t="shared" si="2"/>
        <v>3.4523467408853339</v>
      </c>
      <c r="CW8" s="53">
        <f t="shared" si="3"/>
        <v>24131.903718788482</v>
      </c>
    </row>
    <row r="9" spans="1:101" ht="14.25" hidden="1" customHeight="1" x14ac:dyDescent="0.15">
      <c r="A9" s="460"/>
      <c r="B9" s="5">
        <v>5</v>
      </c>
      <c r="C9" s="27" t="s">
        <v>63</v>
      </c>
      <c r="D9" s="32"/>
      <c r="E9" s="29"/>
      <c r="F9" s="29"/>
      <c r="G9" s="29"/>
      <c r="H9" s="29"/>
      <c r="I9" s="6"/>
      <c r="J9" s="30"/>
      <c r="K9" s="31"/>
      <c r="L9" s="29"/>
      <c r="M9" s="71"/>
      <c r="N9" s="29"/>
      <c r="O9" s="32"/>
      <c r="P9" s="6"/>
      <c r="Q9" s="30"/>
      <c r="R9" s="28"/>
      <c r="S9" s="29"/>
      <c r="T9" s="29"/>
      <c r="U9" s="29"/>
      <c r="V9" s="29"/>
      <c r="W9" s="6"/>
      <c r="X9" s="33"/>
      <c r="Y9" s="34"/>
      <c r="Z9" s="35"/>
      <c r="AA9" s="61"/>
      <c r="AB9" s="36"/>
      <c r="AC9" s="36"/>
      <c r="AD9" s="37"/>
      <c r="AE9" s="38"/>
      <c r="AF9" s="34"/>
      <c r="AG9" s="35"/>
      <c r="AH9" s="61"/>
      <c r="AI9" s="36"/>
      <c r="AJ9" s="36"/>
      <c r="AK9" s="37"/>
      <c r="AL9" s="38"/>
      <c r="AM9" s="39"/>
      <c r="AN9" s="40"/>
      <c r="AO9" s="40"/>
      <c r="AP9" s="40"/>
      <c r="AQ9" s="40"/>
      <c r="AR9" s="6"/>
      <c r="AS9" s="30"/>
      <c r="AT9" s="39"/>
      <c r="AU9" s="40"/>
      <c r="AV9" s="40"/>
      <c r="AW9" s="40"/>
      <c r="AX9" s="35"/>
      <c r="AY9" s="6"/>
      <c r="AZ9" s="30"/>
      <c r="BA9" s="39"/>
      <c r="BB9" s="40"/>
      <c r="BC9" s="40"/>
      <c r="BD9" s="40"/>
      <c r="BE9" s="40"/>
      <c r="BF9" s="6"/>
      <c r="BG9" s="33"/>
      <c r="BH9" s="39"/>
      <c r="BI9" s="40"/>
      <c r="BJ9" s="40"/>
      <c r="BK9" s="40"/>
      <c r="BL9" s="40"/>
      <c r="BM9" s="6"/>
      <c r="BN9" s="33"/>
      <c r="BO9" s="46"/>
      <c r="BP9" s="40"/>
      <c r="BQ9" s="40"/>
      <c r="BR9" s="40"/>
      <c r="BS9" s="40"/>
      <c r="BT9" s="6"/>
      <c r="BU9" s="33"/>
      <c r="BV9" s="46"/>
      <c r="BW9" s="40"/>
      <c r="BX9" s="40"/>
      <c r="BY9" s="40"/>
      <c r="BZ9" s="40"/>
      <c r="CA9" s="6"/>
      <c r="CB9" s="33"/>
      <c r="CC9" s="46"/>
      <c r="CD9" s="40"/>
      <c r="CE9" s="40"/>
      <c r="CF9" s="40"/>
      <c r="CG9" s="40"/>
      <c r="CH9" s="6"/>
      <c r="CI9" s="33"/>
      <c r="CJ9" s="46"/>
      <c r="CK9" s="40"/>
      <c r="CL9" s="40"/>
      <c r="CM9" s="40"/>
      <c r="CN9" s="40"/>
      <c r="CO9" s="6"/>
      <c r="CP9" s="33"/>
      <c r="CQ9" s="72">
        <f t="shared" si="1"/>
        <v>0</v>
      </c>
      <c r="CR9" s="73">
        <f t="shared" si="1"/>
        <v>0</v>
      </c>
      <c r="CS9" s="73"/>
      <c r="CT9" s="48">
        <f t="shared" si="1"/>
        <v>0</v>
      </c>
      <c r="CU9" s="48">
        <f t="shared" si="1"/>
        <v>0</v>
      </c>
      <c r="CV9" s="6" t="e">
        <f t="shared" si="2"/>
        <v>#DIV/0!</v>
      </c>
      <c r="CW9" s="30">
        <f t="shared" si="3"/>
        <v>0</v>
      </c>
    </row>
    <row r="10" spans="1:101" hidden="1" x14ac:dyDescent="0.15">
      <c r="A10" s="460"/>
      <c r="B10" s="5">
        <v>6</v>
      </c>
      <c r="C10" s="27" t="s">
        <v>64</v>
      </c>
      <c r="D10" s="32"/>
      <c r="E10" s="29"/>
      <c r="F10" s="29"/>
      <c r="G10" s="29"/>
      <c r="H10" s="29"/>
      <c r="I10" s="6"/>
      <c r="J10" s="30"/>
      <c r="K10" s="31"/>
      <c r="L10" s="29"/>
      <c r="M10" s="71"/>
      <c r="N10" s="29"/>
      <c r="O10" s="32"/>
      <c r="P10" s="6"/>
      <c r="Q10" s="30"/>
      <c r="R10" s="28"/>
      <c r="S10" s="29"/>
      <c r="T10" s="29"/>
      <c r="U10" s="29"/>
      <c r="V10" s="29"/>
      <c r="W10" s="6"/>
      <c r="X10" s="33"/>
      <c r="Y10" s="74"/>
      <c r="Z10" s="36"/>
      <c r="AA10" s="61"/>
      <c r="AB10" s="36"/>
      <c r="AC10" s="36"/>
      <c r="AD10" s="37"/>
      <c r="AE10" s="38"/>
      <c r="AF10" s="74"/>
      <c r="AG10" s="36"/>
      <c r="AH10" s="61"/>
      <c r="AI10" s="36"/>
      <c r="AJ10" s="36"/>
      <c r="AK10" s="37"/>
      <c r="AL10" s="38"/>
      <c r="AM10" s="39"/>
      <c r="AN10" s="40"/>
      <c r="AO10" s="40"/>
      <c r="AP10" s="40"/>
      <c r="AQ10" s="40"/>
      <c r="AR10" s="6"/>
      <c r="AS10" s="30"/>
      <c r="AT10" s="39"/>
      <c r="AU10" s="40"/>
      <c r="AV10" s="40"/>
      <c r="AW10" s="40"/>
      <c r="AX10" s="35"/>
      <c r="AY10" s="6"/>
      <c r="AZ10" s="30"/>
      <c r="BA10" s="39"/>
      <c r="BB10" s="40"/>
      <c r="BC10" s="40"/>
      <c r="BD10" s="40"/>
      <c r="BE10" s="40"/>
      <c r="BF10" s="6"/>
      <c r="BG10" s="33"/>
      <c r="BH10" s="39"/>
      <c r="BI10" s="40"/>
      <c r="BJ10" s="40"/>
      <c r="BK10" s="40"/>
      <c r="BL10" s="40"/>
      <c r="BM10" s="6"/>
      <c r="BN10" s="33"/>
      <c r="BO10" s="46"/>
      <c r="BP10" s="40"/>
      <c r="BQ10" s="40"/>
      <c r="BR10" s="40"/>
      <c r="BS10" s="40"/>
      <c r="BT10" s="6"/>
      <c r="BU10" s="33"/>
      <c r="BV10" s="46"/>
      <c r="BW10" s="40"/>
      <c r="BX10" s="40"/>
      <c r="BY10" s="40"/>
      <c r="BZ10" s="40"/>
      <c r="CA10" s="6"/>
      <c r="CB10" s="33"/>
      <c r="CC10" s="46"/>
      <c r="CD10" s="40"/>
      <c r="CE10" s="40"/>
      <c r="CF10" s="40"/>
      <c r="CG10" s="40"/>
      <c r="CH10" s="6"/>
      <c r="CI10" s="33"/>
      <c r="CJ10" s="46"/>
      <c r="CK10" s="40"/>
      <c r="CL10" s="40"/>
      <c r="CM10" s="40"/>
      <c r="CN10" s="40"/>
      <c r="CO10" s="6"/>
      <c r="CP10" s="33"/>
      <c r="CQ10" s="72">
        <f t="shared" si="1"/>
        <v>0</v>
      </c>
      <c r="CR10" s="73">
        <f t="shared" si="1"/>
        <v>0</v>
      </c>
      <c r="CS10" s="73"/>
      <c r="CT10" s="48">
        <f t="shared" si="1"/>
        <v>0</v>
      </c>
      <c r="CU10" s="48">
        <f t="shared" si="1"/>
        <v>0</v>
      </c>
      <c r="CV10" s="6" t="e">
        <f t="shared" si="2"/>
        <v>#DIV/0!</v>
      </c>
      <c r="CW10" s="30">
        <f t="shared" si="3"/>
        <v>0</v>
      </c>
    </row>
    <row r="11" spans="1:101" s="70" customFormat="1" hidden="1" x14ac:dyDescent="0.15">
      <c r="A11" s="460"/>
      <c r="B11" s="479" t="s">
        <v>61</v>
      </c>
      <c r="C11" s="480"/>
      <c r="D11" s="57"/>
      <c r="E11" s="55"/>
      <c r="F11" s="55"/>
      <c r="G11" s="55"/>
      <c r="H11" s="55"/>
      <c r="I11" s="52"/>
      <c r="J11" s="53"/>
      <c r="K11" s="54"/>
      <c r="L11" s="55"/>
      <c r="M11" s="56"/>
      <c r="N11" s="55"/>
      <c r="O11" s="57"/>
      <c r="P11" s="52"/>
      <c r="Q11" s="53"/>
      <c r="R11" s="58"/>
      <c r="S11" s="55"/>
      <c r="T11" s="55"/>
      <c r="U11" s="55"/>
      <c r="V11" s="55"/>
      <c r="W11" s="52"/>
      <c r="X11" s="59"/>
      <c r="Y11" s="75"/>
      <c r="Z11" s="62"/>
      <c r="AA11" s="62"/>
      <c r="AB11" s="62"/>
      <c r="AC11" s="62"/>
      <c r="AD11" s="63"/>
      <c r="AE11" s="64"/>
      <c r="AF11" s="75"/>
      <c r="AG11" s="62"/>
      <c r="AH11" s="62"/>
      <c r="AI11" s="62"/>
      <c r="AJ11" s="62"/>
      <c r="AK11" s="63"/>
      <c r="AL11" s="64"/>
      <c r="AM11" s="65"/>
      <c r="AN11" s="66"/>
      <c r="AO11" s="66"/>
      <c r="AP11" s="66"/>
      <c r="AQ11" s="66"/>
      <c r="AR11" s="52"/>
      <c r="AS11" s="53"/>
      <c r="AT11" s="65"/>
      <c r="AU11" s="66"/>
      <c r="AV11" s="66"/>
      <c r="AW11" s="66"/>
      <c r="AX11" s="61"/>
      <c r="AY11" s="52"/>
      <c r="AZ11" s="53"/>
      <c r="BA11" s="65"/>
      <c r="BB11" s="66"/>
      <c r="BC11" s="66"/>
      <c r="BD11" s="66"/>
      <c r="BE11" s="66"/>
      <c r="BF11" s="52"/>
      <c r="BG11" s="33"/>
      <c r="BH11" s="65"/>
      <c r="BI11" s="66"/>
      <c r="BJ11" s="66"/>
      <c r="BK11" s="66"/>
      <c r="BL11" s="66"/>
      <c r="BM11" s="52"/>
      <c r="BN11" s="59"/>
      <c r="BO11" s="65"/>
      <c r="BP11" s="66"/>
      <c r="BQ11" s="66"/>
      <c r="BR11" s="66"/>
      <c r="BS11" s="66"/>
      <c r="BT11" s="52"/>
      <c r="BU11" s="59"/>
      <c r="BV11" s="67"/>
      <c r="BW11" s="66"/>
      <c r="BX11" s="66"/>
      <c r="BY11" s="66"/>
      <c r="BZ11" s="66"/>
      <c r="CA11" s="52"/>
      <c r="CB11" s="59"/>
      <c r="CC11" s="67"/>
      <c r="CD11" s="66"/>
      <c r="CE11" s="66"/>
      <c r="CF11" s="66"/>
      <c r="CG11" s="66"/>
      <c r="CH11" s="52"/>
      <c r="CI11" s="59"/>
      <c r="CJ11" s="67"/>
      <c r="CK11" s="66"/>
      <c r="CL11" s="66"/>
      <c r="CM11" s="66"/>
      <c r="CN11" s="66"/>
      <c r="CO11" s="52"/>
      <c r="CP11" s="59"/>
      <c r="CQ11" s="76">
        <f t="shared" si="1"/>
        <v>0</v>
      </c>
      <c r="CR11" s="69">
        <f t="shared" si="1"/>
        <v>0</v>
      </c>
      <c r="CS11" s="69"/>
      <c r="CT11" s="69">
        <f t="shared" si="1"/>
        <v>0</v>
      </c>
      <c r="CU11" s="69">
        <f t="shared" si="1"/>
        <v>0</v>
      </c>
      <c r="CV11" s="52" t="e">
        <f t="shared" si="2"/>
        <v>#DIV/0!</v>
      </c>
      <c r="CW11" s="53">
        <f t="shared" si="3"/>
        <v>0</v>
      </c>
    </row>
    <row r="12" spans="1:101" x14ac:dyDescent="0.15">
      <c r="A12" s="460"/>
      <c r="B12" s="5">
        <v>4</v>
      </c>
      <c r="C12" s="27" t="s">
        <v>7</v>
      </c>
      <c r="D12" s="32">
        <f>[1]明细表!D8</f>
        <v>32311</v>
      </c>
      <c r="E12" s="29">
        <f>[1]明细表!E8</f>
        <v>62</v>
      </c>
      <c r="F12" s="29"/>
      <c r="G12" s="29"/>
      <c r="H12" s="29">
        <f t="shared" si="5"/>
        <v>32249</v>
      </c>
      <c r="I12" s="6">
        <f t="shared" si="4"/>
        <v>3.4330312433669077</v>
      </c>
      <c r="J12" s="30">
        <f>[1]明细表!R8</f>
        <v>110711.82456733941</v>
      </c>
      <c r="K12" s="31">
        <f>[2]明细表!D8</f>
        <v>35658</v>
      </c>
      <c r="L12" s="29">
        <f>[2]明细表!E8</f>
        <v>67</v>
      </c>
      <c r="M12" s="71"/>
      <c r="N12" s="29"/>
      <c r="O12" s="32">
        <f>[2]明细表!F8</f>
        <v>35591</v>
      </c>
      <c r="P12" s="6">
        <f t="shared" si="0"/>
        <v>3.559956658909845</v>
      </c>
      <c r="Q12" s="30">
        <f>[2]明细表!R8</f>
        <v>126702.41744726029</v>
      </c>
      <c r="R12" s="28">
        <f>[3]明细表!D3</f>
        <v>25875</v>
      </c>
      <c r="S12" s="29">
        <f>[3]明细表!E3</f>
        <v>56</v>
      </c>
      <c r="T12" s="29"/>
      <c r="U12" s="29"/>
      <c r="V12" s="29">
        <f>[3]明细表!F3</f>
        <v>25819</v>
      </c>
      <c r="W12" s="6">
        <f>X12/V12</f>
        <v>3.1414841666147089</v>
      </c>
      <c r="X12" s="33">
        <f>[3]明细表!R4</f>
        <v>81109.979697825169</v>
      </c>
      <c r="Y12" s="74">
        <f>[4]明细表!D3</f>
        <v>27857</v>
      </c>
      <c r="Z12" s="36">
        <f>[4]明细表!E3</f>
        <v>62</v>
      </c>
      <c r="AA12" s="36"/>
      <c r="AB12" s="36"/>
      <c r="AC12" s="36">
        <f>[4]明细表!F3</f>
        <v>27795</v>
      </c>
      <c r="AD12" s="37">
        <f>AE12/AC12</f>
        <v>3.7752434763661684</v>
      </c>
      <c r="AE12" s="38">
        <f>[4]明细表!R3</f>
        <v>104932.89242559765</v>
      </c>
      <c r="AF12" s="74">
        <f>[5]明细表!D3</f>
        <v>27690</v>
      </c>
      <c r="AG12" s="36">
        <f>[5]明细表!E3</f>
        <v>60</v>
      </c>
      <c r="AH12" s="36"/>
      <c r="AI12" s="36"/>
      <c r="AJ12" s="36">
        <f>[5]明细表!G3</f>
        <v>27630</v>
      </c>
      <c r="AK12" s="37">
        <f>AL12/AJ12</f>
        <v>3.7117976695130577</v>
      </c>
      <c r="AL12" s="38">
        <f>[5]明细表!S4</f>
        <v>102556.96960864578</v>
      </c>
      <c r="AM12" s="39">
        <f>[6]明细表!D3</f>
        <v>28138</v>
      </c>
      <c r="AN12" s="40">
        <f>[6]明细表!E3</f>
        <v>79</v>
      </c>
      <c r="AO12" s="40"/>
      <c r="AP12" s="40">
        <f>[6]明细表!F3</f>
        <v>2</v>
      </c>
      <c r="AQ12" s="40">
        <f>[6]明细表!G3</f>
        <v>28057</v>
      </c>
      <c r="AR12" s="6">
        <f>AS12/AQ12</f>
        <v>3.6542804099842292</v>
      </c>
      <c r="AS12" s="30">
        <f>[6]明细表!S3</f>
        <v>102528.14546292752</v>
      </c>
      <c r="AT12" s="39">
        <f t="shared" ref="AT12:AX50" si="6">Y12+AF12+AM12</f>
        <v>83685</v>
      </c>
      <c r="AU12" s="40">
        <f t="shared" si="6"/>
        <v>201</v>
      </c>
      <c r="AV12" s="40">
        <f t="shared" si="6"/>
        <v>0</v>
      </c>
      <c r="AW12" s="40">
        <f t="shared" si="6"/>
        <v>2</v>
      </c>
      <c r="AX12" s="35">
        <f t="shared" si="6"/>
        <v>83482</v>
      </c>
      <c r="AY12" s="6">
        <f>AZ12/AX12</f>
        <v>3.7135910435443682</v>
      </c>
      <c r="AZ12" s="30">
        <f t="shared" ref="AZ12:AZ52" si="7">AE12+AL12+AS12</f>
        <v>310018.00749717094</v>
      </c>
      <c r="BA12" s="46">
        <f>[7]明细表!D3</f>
        <v>32431</v>
      </c>
      <c r="BB12" s="40">
        <f>[7]明细表!E3</f>
        <v>65</v>
      </c>
      <c r="BC12" s="40"/>
      <c r="BD12" s="40"/>
      <c r="BE12" s="40">
        <f>[7]明细表!F3</f>
        <v>32366</v>
      </c>
      <c r="BF12" s="6">
        <f>BG12/BE12</f>
        <v>3.5645419799758824</v>
      </c>
      <c r="BG12" s="33">
        <f>[7]明细表!R3</f>
        <v>115369.96572389941</v>
      </c>
      <c r="BH12" s="46">
        <f>[8]明细表!D3</f>
        <v>34053</v>
      </c>
      <c r="BI12" s="40">
        <f>[8]明细表!E3</f>
        <v>62</v>
      </c>
      <c r="BJ12" s="40"/>
      <c r="BK12" s="40"/>
      <c r="BL12" s="40">
        <f>[8]明细表!G3</f>
        <v>33991</v>
      </c>
      <c r="BM12" s="6">
        <f>BN12/BL12</f>
        <v>3.3973676164929834</v>
      </c>
      <c r="BN12" s="33">
        <f>[8]明细表!S4</f>
        <v>115479.92265221299</v>
      </c>
      <c r="BO12" s="46">
        <f>明细表!D3</f>
        <v>25702</v>
      </c>
      <c r="BP12" s="40">
        <f>明细表!E3</f>
        <v>62</v>
      </c>
      <c r="BQ12" s="40"/>
      <c r="BR12" s="40"/>
      <c r="BS12" s="40">
        <f>明细表!F3</f>
        <v>25640</v>
      </c>
      <c r="BT12" s="6">
        <f>BU12/BS12</f>
        <v>2.6249120360280078</v>
      </c>
      <c r="BU12" s="33">
        <f>明细表!R3</f>
        <v>67302.744603758125</v>
      </c>
      <c r="BV12" s="46"/>
      <c r="BW12" s="40"/>
      <c r="BX12" s="40"/>
      <c r="BY12" s="40"/>
      <c r="BZ12" s="40"/>
      <c r="CA12" s="6"/>
      <c r="CB12" s="33"/>
      <c r="CC12" s="46"/>
      <c r="CD12" s="40"/>
      <c r="CE12" s="40"/>
      <c r="CF12" s="40"/>
      <c r="CG12" s="40"/>
      <c r="CH12" s="6"/>
      <c r="CI12" s="33"/>
      <c r="CJ12" s="46"/>
      <c r="CK12" s="40"/>
      <c r="CL12" s="40"/>
      <c r="CM12" s="40"/>
      <c r="CN12" s="40"/>
      <c r="CO12" s="6"/>
      <c r="CP12" s="33"/>
      <c r="CQ12" s="77">
        <f>AM12+D12+K12+R12+Y12+AF12+BA12+BH12+BO12</f>
        <v>269715</v>
      </c>
      <c r="CR12" s="73">
        <f t="shared" ref="CR12:CR52" si="8">AN12+E12+L12+S12+Z12+AG12+BB12+BI12+BP12</f>
        <v>575</v>
      </c>
      <c r="CS12" s="73"/>
      <c r="CT12" s="48">
        <f t="shared" ref="CT12:CT52" si="9">AP12+G12+N12+U12+AB12+AI12+BD12+BK12+BR12</f>
        <v>2</v>
      </c>
      <c r="CU12" s="48">
        <f t="shared" ref="CU12:CU52" si="10">AQ12+H12+O12+V12+AC12+AJ12+BE12+BL12+BS12</f>
        <v>269138</v>
      </c>
      <c r="CV12" s="6">
        <f t="shared" si="2"/>
        <v>3.4431959150676099</v>
      </c>
      <c r="CW12" s="30">
        <f t="shared" ref="CW12:CW52" si="11">AS12+J12+Q12+X12+AE12+AL12+BG12+BN12+BU12</f>
        <v>926694.86218946637</v>
      </c>
    </row>
    <row r="13" spans="1:101" s="70" customFormat="1" x14ac:dyDescent="0.15">
      <c r="A13" s="460"/>
      <c r="B13" s="479" t="s">
        <v>61</v>
      </c>
      <c r="C13" s="480"/>
      <c r="D13" s="57">
        <f>SUM(D12)</f>
        <v>32311</v>
      </c>
      <c r="E13" s="55">
        <f>SUM(E12)</f>
        <v>62</v>
      </c>
      <c r="F13" s="55"/>
      <c r="G13" s="55"/>
      <c r="H13" s="55">
        <f>SUM(H12)</f>
        <v>32249</v>
      </c>
      <c r="I13" s="52">
        <f t="shared" si="4"/>
        <v>3.4330312433669077</v>
      </c>
      <c r="J13" s="53">
        <f>SUM(J12:J12)</f>
        <v>110711.82456733941</v>
      </c>
      <c r="K13" s="54">
        <f>SUM(K12:K12)</f>
        <v>35658</v>
      </c>
      <c r="L13" s="55">
        <f>SUM(L12:L12)</f>
        <v>67</v>
      </c>
      <c r="M13" s="78"/>
      <c r="N13" s="55"/>
      <c r="O13" s="57">
        <f>SUM(O12:O12)</f>
        <v>35591</v>
      </c>
      <c r="P13" s="52">
        <f t="shared" si="0"/>
        <v>3.559956658909845</v>
      </c>
      <c r="Q13" s="53">
        <f>SUM(Q12:Q12)</f>
        <v>126702.41744726029</v>
      </c>
      <c r="R13" s="54">
        <f>SUM(R12:R12)</f>
        <v>25875</v>
      </c>
      <c r="S13" s="55">
        <f>SUM(S12:S12)</f>
        <v>56</v>
      </c>
      <c r="T13" s="78"/>
      <c r="U13" s="55"/>
      <c r="V13" s="57">
        <f>SUM(V12:V12)</f>
        <v>25819</v>
      </c>
      <c r="W13" s="52">
        <f>X13/V13</f>
        <v>3.1414841666147089</v>
      </c>
      <c r="X13" s="53">
        <f>SUM(X12:X12)</f>
        <v>81109.979697825169</v>
      </c>
      <c r="Y13" s="75">
        <f>SUM(Y12:Y12)</f>
        <v>27857</v>
      </c>
      <c r="Z13" s="62">
        <f>SUM(Z12:Z12)</f>
        <v>62</v>
      </c>
      <c r="AA13" s="62"/>
      <c r="AB13" s="62"/>
      <c r="AC13" s="62">
        <f>SUM(AC12:AC12)</f>
        <v>27795</v>
      </c>
      <c r="AD13" s="63">
        <f>SUM(AD12:AD12)</f>
        <v>3.7752434763661684</v>
      </c>
      <c r="AE13" s="64">
        <f>SUM(AE12:AE12)</f>
        <v>104932.89242559765</v>
      </c>
      <c r="AF13" s="75">
        <f>SUM(AF12:AF12)</f>
        <v>27690</v>
      </c>
      <c r="AG13" s="62">
        <f>SUM(AG12:AG12)</f>
        <v>60</v>
      </c>
      <c r="AH13" s="62"/>
      <c r="AI13" s="62"/>
      <c r="AJ13" s="62">
        <f>SUM(AJ12:AJ12)</f>
        <v>27630</v>
      </c>
      <c r="AK13" s="63">
        <f>SUM(AK12:AK12)</f>
        <v>3.7117976695130577</v>
      </c>
      <c r="AL13" s="64">
        <f>SUM(AL12:AL12)</f>
        <v>102556.96960864578</v>
      </c>
      <c r="AM13" s="65">
        <f>SUM(AM12)</f>
        <v>28138</v>
      </c>
      <c r="AN13" s="66">
        <f t="shared" ref="AN13:AS13" si="12">SUM(AN12)</f>
        <v>79</v>
      </c>
      <c r="AO13" s="66"/>
      <c r="AP13" s="66">
        <f t="shared" si="12"/>
        <v>2</v>
      </c>
      <c r="AQ13" s="66">
        <f t="shared" si="12"/>
        <v>28057</v>
      </c>
      <c r="AR13" s="52">
        <f t="shared" si="12"/>
        <v>3.6542804099842292</v>
      </c>
      <c r="AS13" s="53">
        <f t="shared" si="12"/>
        <v>102528.14546292752</v>
      </c>
      <c r="AT13" s="65">
        <f t="shared" si="6"/>
        <v>83685</v>
      </c>
      <c r="AU13" s="66">
        <f t="shared" si="6"/>
        <v>201</v>
      </c>
      <c r="AV13" s="66">
        <f t="shared" si="6"/>
        <v>0</v>
      </c>
      <c r="AW13" s="66">
        <f t="shared" si="6"/>
        <v>2</v>
      </c>
      <c r="AX13" s="61">
        <f t="shared" si="6"/>
        <v>83482</v>
      </c>
      <c r="AY13" s="52">
        <f t="shared" ref="AY13:AY52" si="13">AZ13/AX13</f>
        <v>3.7135910435443682</v>
      </c>
      <c r="AZ13" s="53">
        <f t="shared" si="7"/>
        <v>310018.00749717094</v>
      </c>
      <c r="BA13" s="65">
        <f>SUM(BA12)</f>
        <v>32431</v>
      </c>
      <c r="BB13" s="66">
        <f t="shared" ref="BB13:BN13" si="14">SUM(BB12)</f>
        <v>65</v>
      </c>
      <c r="BC13" s="66"/>
      <c r="BD13" s="66"/>
      <c r="BE13" s="66">
        <f t="shared" si="14"/>
        <v>32366</v>
      </c>
      <c r="BF13" s="52">
        <f t="shared" si="14"/>
        <v>3.5645419799758824</v>
      </c>
      <c r="BG13" s="59">
        <f t="shared" si="14"/>
        <v>115369.96572389941</v>
      </c>
      <c r="BH13" s="65">
        <f>SUM(BH12)</f>
        <v>34053</v>
      </c>
      <c r="BI13" s="66">
        <f t="shared" si="14"/>
        <v>62</v>
      </c>
      <c r="BJ13" s="66"/>
      <c r="BK13" s="66"/>
      <c r="BL13" s="66">
        <f t="shared" si="14"/>
        <v>33991</v>
      </c>
      <c r="BM13" s="52">
        <f t="shared" si="14"/>
        <v>3.3973676164929834</v>
      </c>
      <c r="BN13" s="59">
        <f t="shared" si="14"/>
        <v>115479.92265221299</v>
      </c>
      <c r="BO13" s="65">
        <f>SUM(BO12)</f>
        <v>25702</v>
      </c>
      <c r="BP13" s="66">
        <f>SUM(BP12)</f>
        <v>62</v>
      </c>
      <c r="BQ13" s="66"/>
      <c r="BR13" s="66"/>
      <c r="BS13" s="66">
        <f>SUM(BS12)</f>
        <v>25640</v>
      </c>
      <c r="BT13" s="52">
        <f t="shared" ref="BT13:BT52" si="15">BU13/BS13</f>
        <v>2.6249120360280078</v>
      </c>
      <c r="BU13" s="59">
        <f>SUM(BU12)</f>
        <v>67302.744603758125</v>
      </c>
      <c r="BV13" s="65"/>
      <c r="BW13" s="66"/>
      <c r="BX13" s="66"/>
      <c r="BY13" s="66"/>
      <c r="BZ13" s="66"/>
      <c r="CA13" s="52"/>
      <c r="CB13" s="59"/>
      <c r="CC13" s="65"/>
      <c r="CD13" s="66"/>
      <c r="CE13" s="66"/>
      <c r="CF13" s="66"/>
      <c r="CG13" s="66"/>
      <c r="CH13" s="52"/>
      <c r="CI13" s="59"/>
      <c r="CJ13" s="65"/>
      <c r="CK13" s="66"/>
      <c r="CL13" s="66"/>
      <c r="CM13" s="66"/>
      <c r="CN13" s="66"/>
      <c r="CO13" s="52"/>
      <c r="CP13" s="59"/>
      <c r="CQ13" s="76">
        <f t="shared" ref="CQ13:CQ52" si="16">AM13+D13+K13+R13+Y13+AF13+BA13+BH13+BO13</f>
        <v>269715</v>
      </c>
      <c r="CR13" s="69">
        <f t="shared" si="8"/>
        <v>575</v>
      </c>
      <c r="CS13" s="69"/>
      <c r="CT13" s="79">
        <f t="shared" si="9"/>
        <v>2</v>
      </c>
      <c r="CU13" s="69">
        <f t="shared" si="10"/>
        <v>269138</v>
      </c>
      <c r="CV13" s="52">
        <f t="shared" si="2"/>
        <v>3.4431959150676099</v>
      </c>
      <c r="CW13" s="53">
        <f t="shared" si="11"/>
        <v>926694.86218946637</v>
      </c>
    </row>
    <row r="14" spans="1:101" hidden="1" x14ac:dyDescent="0.15">
      <c r="A14" s="460"/>
      <c r="B14" s="5">
        <v>8</v>
      </c>
      <c r="C14" s="27" t="s">
        <v>65</v>
      </c>
      <c r="D14" s="32"/>
      <c r="E14" s="29"/>
      <c r="F14" s="29"/>
      <c r="G14" s="29"/>
      <c r="H14" s="29"/>
      <c r="I14" s="6"/>
      <c r="J14" s="30"/>
      <c r="K14" s="31"/>
      <c r="L14" s="29"/>
      <c r="M14" s="71"/>
      <c r="N14" s="29"/>
      <c r="O14" s="32"/>
      <c r="P14" s="6"/>
      <c r="Q14" s="30"/>
      <c r="R14" s="28"/>
      <c r="S14" s="29"/>
      <c r="T14" s="29"/>
      <c r="U14" s="29"/>
      <c r="V14" s="29"/>
      <c r="W14" s="6"/>
      <c r="X14" s="33"/>
      <c r="Y14" s="74"/>
      <c r="Z14" s="36"/>
      <c r="AA14" s="36"/>
      <c r="AB14" s="36"/>
      <c r="AC14" s="36"/>
      <c r="AD14" s="37"/>
      <c r="AE14" s="38"/>
      <c r="AF14" s="74"/>
      <c r="AG14" s="36"/>
      <c r="AH14" s="36"/>
      <c r="AI14" s="36"/>
      <c r="AJ14" s="36"/>
      <c r="AK14" s="37"/>
      <c r="AL14" s="38"/>
      <c r="AM14" s="46"/>
      <c r="AN14" s="40"/>
      <c r="AO14" s="40"/>
      <c r="AP14" s="40"/>
      <c r="AQ14" s="40"/>
      <c r="AR14" s="6"/>
      <c r="AS14" s="30"/>
      <c r="AT14" s="39">
        <f t="shared" si="6"/>
        <v>0</v>
      </c>
      <c r="AU14" s="40">
        <f t="shared" si="6"/>
        <v>0</v>
      </c>
      <c r="AV14" s="40">
        <f t="shared" si="6"/>
        <v>0</v>
      </c>
      <c r="AW14" s="40">
        <f t="shared" si="6"/>
        <v>0</v>
      </c>
      <c r="AX14" s="35">
        <f t="shared" si="6"/>
        <v>0</v>
      </c>
      <c r="AY14" s="6" t="e">
        <f t="shared" si="13"/>
        <v>#DIV/0!</v>
      </c>
      <c r="AZ14" s="30">
        <f t="shared" si="7"/>
        <v>0</v>
      </c>
      <c r="BA14" s="46"/>
      <c r="BB14" s="40"/>
      <c r="BC14" s="40"/>
      <c r="BD14" s="40"/>
      <c r="BE14" s="40"/>
      <c r="BF14" s="6"/>
      <c r="BG14" s="33"/>
      <c r="BH14" s="46"/>
      <c r="BI14" s="40"/>
      <c r="BJ14" s="40"/>
      <c r="BK14" s="40"/>
      <c r="BL14" s="40"/>
      <c r="BM14" s="6"/>
      <c r="BN14" s="33"/>
      <c r="BO14" s="46"/>
      <c r="BP14" s="40"/>
      <c r="BQ14" s="40"/>
      <c r="BR14" s="40"/>
      <c r="BS14" s="40"/>
      <c r="BT14" s="6" t="e">
        <f t="shared" si="15"/>
        <v>#DIV/0!</v>
      </c>
      <c r="BU14" s="33"/>
      <c r="BV14" s="46"/>
      <c r="BW14" s="40"/>
      <c r="BX14" s="40"/>
      <c r="BY14" s="40"/>
      <c r="BZ14" s="40"/>
      <c r="CA14" s="6"/>
      <c r="CB14" s="33"/>
      <c r="CC14" s="46"/>
      <c r="CD14" s="40"/>
      <c r="CE14" s="40"/>
      <c r="CF14" s="40"/>
      <c r="CG14" s="40"/>
      <c r="CH14" s="6"/>
      <c r="CI14" s="33"/>
      <c r="CJ14" s="46"/>
      <c r="CK14" s="40"/>
      <c r="CL14" s="40"/>
      <c r="CM14" s="40"/>
      <c r="CN14" s="40"/>
      <c r="CO14" s="6"/>
      <c r="CP14" s="33"/>
      <c r="CQ14" s="72">
        <f t="shared" si="16"/>
        <v>0</v>
      </c>
      <c r="CR14" s="73">
        <f t="shared" si="8"/>
        <v>0</v>
      </c>
      <c r="CS14" s="73"/>
      <c r="CT14" s="48">
        <f t="shared" si="9"/>
        <v>0</v>
      </c>
      <c r="CU14" s="48">
        <f t="shared" si="10"/>
        <v>0</v>
      </c>
      <c r="CV14" s="6" t="e">
        <f t="shared" si="2"/>
        <v>#DIV/0!</v>
      </c>
      <c r="CW14" s="30">
        <f t="shared" si="11"/>
        <v>0</v>
      </c>
    </row>
    <row r="15" spans="1:101" hidden="1" x14ac:dyDescent="0.15">
      <c r="A15" s="460"/>
      <c r="B15" s="5">
        <v>9</v>
      </c>
      <c r="C15" s="27" t="s">
        <v>66</v>
      </c>
      <c r="D15" s="32"/>
      <c r="E15" s="29"/>
      <c r="F15" s="29"/>
      <c r="G15" s="29"/>
      <c r="H15" s="29"/>
      <c r="I15" s="6"/>
      <c r="J15" s="30"/>
      <c r="K15" s="31"/>
      <c r="L15" s="29"/>
      <c r="M15" s="71"/>
      <c r="N15" s="29"/>
      <c r="O15" s="32"/>
      <c r="P15" s="6"/>
      <c r="Q15" s="30"/>
      <c r="R15" s="28"/>
      <c r="S15" s="29"/>
      <c r="T15" s="29"/>
      <c r="U15" s="29"/>
      <c r="V15" s="29"/>
      <c r="W15" s="6"/>
      <c r="X15" s="33"/>
      <c r="Y15" s="74"/>
      <c r="Z15" s="36"/>
      <c r="AA15" s="36"/>
      <c r="AB15" s="36"/>
      <c r="AC15" s="36"/>
      <c r="AD15" s="37"/>
      <c r="AE15" s="38"/>
      <c r="AF15" s="74"/>
      <c r="AG15" s="36"/>
      <c r="AH15" s="36"/>
      <c r="AI15" s="36"/>
      <c r="AJ15" s="36"/>
      <c r="AK15" s="37"/>
      <c r="AL15" s="38"/>
      <c r="AM15" s="46"/>
      <c r="AN15" s="40"/>
      <c r="AO15" s="40"/>
      <c r="AP15" s="40"/>
      <c r="AQ15" s="40"/>
      <c r="AR15" s="6"/>
      <c r="AS15" s="30"/>
      <c r="AT15" s="39">
        <f t="shared" si="6"/>
        <v>0</v>
      </c>
      <c r="AU15" s="40">
        <f t="shared" si="6"/>
        <v>0</v>
      </c>
      <c r="AV15" s="40">
        <f t="shared" si="6"/>
        <v>0</v>
      </c>
      <c r="AW15" s="40">
        <f t="shared" si="6"/>
        <v>0</v>
      </c>
      <c r="AX15" s="35">
        <f t="shared" si="6"/>
        <v>0</v>
      </c>
      <c r="AY15" s="6" t="e">
        <f t="shared" si="13"/>
        <v>#DIV/0!</v>
      </c>
      <c r="AZ15" s="30">
        <f t="shared" si="7"/>
        <v>0</v>
      </c>
      <c r="BA15" s="46"/>
      <c r="BB15" s="40"/>
      <c r="BC15" s="40"/>
      <c r="BD15" s="40"/>
      <c r="BE15" s="40"/>
      <c r="BF15" s="6"/>
      <c r="BG15" s="33"/>
      <c r="BH15" s="46"/>
      <c r="BI15" s="40"/>
      <c r="BJ15" s="40"/>
      <c r="BK15" s="40"/>
      <c r="BL15" s="40"/>
      <c r="BM15" s="6"/>
      <c r="BN15" s="33"/>
      <c r="BO15" s="46"/>
      <c r="BP15" s="40"/>
      <c r="BQ15" s="40"/>
      <c r="BR15" s="40"/>
      <c r="BS15" s="40"/>
      <c r="BT15" s="6" t="e">
        <f t="shared" si="15"/>
        <v>#DIV/0!</v>
      </c>
      <c r="BU15" s="33"/>
      <c r="BV15" s="46"/>
      <c r="BW15" s="40"/>
      <c r="BX15" s="40"/>
      <c r="BY15" s="40"/>
      <c r="BZ15" s="40"/>
      <c r="CA15" s="6"/>
      <c r="CB15" s="33"/>
      <c r="CC15" s="46"/>
      <c r="CD15" s="40"/>
      <c r="CE15" s="40"/>
      <c r="CF15" s="40"/>
      <c r="CG15" s="40"/>
      <c r="CH15" s="6"/>
      <c r="CI15" s="33"/>
      <c r="CJ15" s="46"/>
      <c r="CK15" s="40"/>
      <c r="CL15" s="40"/>
      <c r="CM15" s="40"/>
      <c r="CN15" s="40"/>
      <c r="CO15" s="6"/>
      <c r="CP15" s="33"/>
      <c r="CQ15" s="72">
        <f t="shared" si="16"/>
        <v>0</v>
      </c>
      <c r="CR15" s="73">
        <f t="shared" si="8"/>
        <v>0</v>
      </c>
      <c r="CS15" s="73"/>
      <c r="CT15" s="48">
        <f t="shared" si="9"/>
        <v>0</v>
      </c>
      <c r="CU15" s="48">
        <f t="shared" si="10"/>
        <v>0</v>
      </c>
      <c r="CV15" s="6" t="e">
        <f t="shared" si="2"/>
        <v>#DIV/0!</v>
      </c>
      <c r="CW15" s="30">
        <f t="shared" si="11"/>
        <v>0</v>
      </c>
    </row>
    <row r="16" spans="1:101" s="70" customFormat="1" hidden="1" x14ac:dyDescent="0.15">
      <c r="A16" s="460"/>
      <c r="B16" s="479" t="s">
        <v>61</v>
      </c>
      <c r="C16" s="480"/>
      <c r="D16" s="57"/>
      <c r="E16" s="55"/>
      <c r="F16" s="55"/>
      <c r="G16" s="55"/>
      <c r="H16" s="55"/>
      <c r="I16" s="52"/>
      <c r="J16" s="53"/>
      <c r="K16" s="54" t="s">
        <v>67</v>
      </c>
      <c r="L16" s="55"/>
      <c r="M16" s="56"/>
      <c r="N16" s="55"/>
      <c r="O16" s="57"/>
      <c r="P16" s="52"/>
      <c r="Q16" s="53"/>
      <c r="R16" s="58"/>
      <c r="S16" s="55"/>
      <c r="T16" s="55"/>
      <c r="U16" s="55"/>
      <c r="V16" s="55"/>
      <c r="W16" s="52"/>
      <c r="X16" s="59"/>
      <c r="Y16" s="75"/>
      <c r="Z16" s="62"/>
      <c r="AA16" s="62"/>
      <c r="AB16" s="62"/>
      <c r="AC16" s="62"/>
      <c r="AD16" s="63"/>
      <c r="AE16" s="64"/>
      <c r="AF16" s="75"/>
      <c r="AG16" s="62"/>
      <c r="AH16" s="62"/>
      <c r="AI16" s="62"/>
      <c r="AJ16" s="62"/>
      <c r="AK16" s="63"/>
      <c r="AL16" s="64"/>
      <c r="AM16" s="67"/>
      <c r="AN16" s="66"/>
      <c r="AO16" s="66"/>
      <c r="AP16" s="66"/>
      <c r="AQ16" s="66"/>
      <c r="AR16" s="52"/>
      <c r="AS16" s="53"/>
      <c r="AT16" s="65">
        <f t="shared" si="6"/>
        <v>0</v>
      </c>
      <c r="AU16" s="66">
        <f t="shared" si="6"/>
        <v>0</v>
      </c>
      <c r="AV16" s="66">
        <f t="shared" si="6"/>
        <v>0</v>
      </c>
      <c r="AW16" s="66">
        <f t="shared" si="6"/>
        <v>0</v>
      </c>
      <c r="AX16" s="61">
        <f t="shared" si="6"/>
        <v>0</v>
      </c>
      <c r="AY16" s="52" t="e">
        <f t="shared" si="13"/>
        <v>#DIV/0!</v>
      </c>
      <c r="AZ16" s="53">
        <f t="shared" si="7"/>
        <v>0</v>
      </c>
      <c r="BA16" s="67"/>
      <c r="BB16" s="66"/>
      <c r="BC16" s="66"/>
      <c r="BD16" s="66"/>
      <c r="BE16" s="66"/>
      <c r="BF16" s="52"/>
      <c r="BG16" s="33"/>
      <c r="BH16" s="67"/>
      <c r="BI16" s="66"/>
      <c r="BJ16" s="66"/>
      <c r="BK16" s="66"/>
      <c r="BL16" s="66"/>
      <c r="BM16" s="52"/>
      <c r="BN16" s="59"/>
      <c r="BO16" s="67"/>
      <c r="BP16" s="66"/>
      <c r="BQ16" s="66"/>
      <c r="BR16" s="66"/>
      <c r="BS16" s="66"/>
      <c r="BT16" s="52" t="e">
        <f t="shared" si="15"/>
        <v>#DIV/0!</v>
      </c>
      <c r="BU16" s="59"/>
      <c r="BV16" s="67"/>
      <c r="BW16" s="66"/>
      <c r="BX16" s="66"/>
      <c r="BY16" s="66"/>
      <c r="BZ16" s="66"/>
      <c r="CA16" s="52"/>
      <c r="CB16" s="59"/>
      <c r="CC16" s="67"/>
      <c r="CD16" s="66"/>
      <c r="CE16" s="66"/>
      <c r="CF16" s="66"/>
      <c r="CG16" s="66"/>
      <c r="CH16" s="52"/>
      <c r="CI16" s="59"/>
      <c r="CJ16" s="67"/>
      <c r="CK16" s="66"/>
      <c r="CL16" s="66"/>
      <c r="CM16" s="66"/>
      <c r="CN16" s="66"/>
      <c r="CO16" s="52"/>
      <c r="CP16" s="59"/>
      <c r="CQ16" s="68" t="e">
        <f t="shared" si="16"/>
        <v>#VALUE!</v>
      </c>
      <c r="CR16" s="69">
        <f t="shared" si="8"/>
        <v>0</v>
      </c>
      <c r="CS16" s="69"/>
      <c r="CT16" s="69">
        <f t="shared" si="9"/>
        <v>0</v>
      </c>
      <c r="CU16" s="69">
        <f t="shared" si="10"/>
        <v>0</v>
      </c>
      <c r="CV16" s="52" t="e">
        <f t="shared" si="2"/>
        <v>#DIV/0!</v>
      </c>
      <c r="CW16" s="53">
        <f t="shared" si="11"/>
        <v>0</v>
      </c>
    </row>
    <row r="17" spans="1:101" x14ac:dyDescent="0.15">
      <c r="A17" s="460"/>
      <c r="B17" s="5">
        <v>5</v>
      </c>
      <c r="C17" s="27" t="s">
        <v>8</v>
      </c>
      <c r="D17" s="32">
        <f>[1]明细表!D10</f>
        <v>10975</v>
      </c>
      <c r="E17" s="29">
        <f>[1]明细表!E10</f>
        <v>62</v>
      </c>
      <c r="F17" s="29"/>
      <c r="G17" s="29"/>
      <c r="H17" s="29">
        <f t="shared" si="5"/>
        <v>10913</v>
      </c>
      <c r="I17" s="6">
        <f t="shared" si="4"/>
        <v>4.9873431290720935</v>
      </c>
      <c r="J17" s="30">
        <f>[1]明细表!R10</f>
        <v>54426.875567563759</v>
      </c>
      <c r="K17" s="31">
        <f>[2]明细表!D10</f>
        <v>12023</v>
      </c>
      <c r="L17" s="29">
        <f>[2]明细表!E10</f>
        <v>62</v>
      </c>
      <c r="M17" s="71"/>
      <c r="N17" s="29"/>
      <c r="O17" s="32">
        <f>[2]明细表!F10</f>
        <v>11961</v>
      </c>
      <c r="P17" s="6">
        <f t="shared" si="0"/>
        <v>5.0737736796425779</v>
      </c>
      <c r="Q17" s="30">
        <f>[2]明细表!R10</f>
        <v>60687.406982204877</v>
      </c>
      <c r="R17" s="28">
        <f>[3]明细表!D5</f>
        <v>9880</v>
      </c>
      <c r="S17" s="29">
        <f>[3]明细表!E5</f>
        <v>61</v>
      </c>
      <c r="T17" s="29"/>
      <c r="U17" s="29"/>
      <c r="V17" s="29">
        <f>[3]明细表!F5</f>
        <v>9819</v>
      </c>
      <c r="W17" s="6">
        <f>X17/V17</f>
        <v>4.622189065001824</v>
      </c>
      <c r="X17" s="33">
        <f>[3]明细表!R5</f>
        <v>45385.27442925291</v>
      </c>
      <c r="Y17" s="74">
        <f>[4]明细表!D5</f>
        <v>11661</v>
      </c>
      <c r="Z17" s="36">
        <f>[4]明细表!E5</f>
        <v>62</v>
      </c>
      <c r="AA17" s="36"/>
      <c r="AB17" s="36"/>
      <c r="AC17" s="36">
        <f>[4]明细表!F5</f>
        <v>11599</v>
      </c>
      <c r="AD17" s="37">
        <f>AE17/AC17</f>
        <v>5.2904983348675625</v>
      </c>
      <c r="AE17" s="38">
        <f>[4]明细表!R5</f>
        <v>61364.49018612886</v>
      </c>
      <c r="AF17" s="74">
        <f>[5]明细表!D5</f>
        <v>10992</v>
      </c>
      <c r="AG17" s="36">
        <f>[5]明细表!E6</f>
        <v>60</v>
      </c>
      <c r="AH17" s="36"/>
      <c r="AI17" s="36"/>
      <c r="AJ17" s="36">
        <f>[5]明细表!G6</f>
        <v>10932</v>
      </c>
      <c r="AK17" s="37">
        <f>AL17/AJ17</f>
        <v>5.215122759801293</v>
      </c>
      <c r="AL17" s="38">
        <f>[5]明细表!S6</f>
        <v>57011.722010147736</v>
      </c>
      <c r="AM17" s="46">
        <f>[6]明细表!D5</f>
        <v>10996</v>
      </c>
      <c r="AN17" s="40">
        <f>[6]明细表!E5</f>
        <v>81</v>
      </c>
      <c r="AO17" s="40"/>
      <c r="AP17" s="40">
        <f>[6]明细表!F5</f>
        <v>2</v>
      </c>
      <c r="AQ17" s="40">
        <f>[6]明细表!G5</f>
        <v>10913</v>
      </c>
      <c r="AR17" s="6">
        <f>AS17/AQ17</f>
        <v>5.2452011375848127</v>
      </c>
      <c r="AS17" s="30">
        <f>[6]明细表!S5</f>
        <v>57240.880014463059</v>
      </c>
      <c r="AT17" s="39">
        <f t="shared" si="6"/>
        <v>33649</v>
      </c>
      <c r="AU17" s="40">
        <f t="shared" si="6"/>
        <v>203</v>
      </c>
      <c r="AV17" s="40">
        <f t="shared" si="6"/>
        <v>0</v>
      </c>
      <c r="AW17" s="40">
        <f t="shared" si="6"/>
        <v>2</v>
      </c>
      <c r="AX17" s="35">
        <f t="shared" si="6"/>
        <v>33444</v>
      </c>
      <c r="AY17" s="6">
        <f t="shared" si="13"/>
        <v>5.2510791834331911</v>
      </c>
      <c r="AZ17" s="30">
        <f t="shared" si="7"/>
        <v>175617.09221073965</v>
      </c>
      <c r="BA17" s="46">
        <f>[7]明细表!D5</f>
        <v>13315</v>
      </c>
      <c r="BB17" s="40">
        <f>[7]明细表!E5</f>
        <v>60</v>
      </c>
      <c r="BC17" s="40"/>
      <c r="BD17" s="40"/>
      <c r="BE17" s="40">
        <f>[7]明细表!F5</f>
        <v>13255</v>
      </c>
      <c r="BF17" s="6">
        <f t="shared" ref="BF17" si="17">BG17/BE17</f>
        <v>5.2190145615822487</v>
      </c>
      <c r="BG17" s="33">
        <f>[7]明细表!R5</f>
        <v>69178.038013772704</v>
      </c>
      <c r="BH17" s="46">
        <f>[8]明细表!D5</f>
        <v>13749</v>
      </c>
      <c r="BI17" s="40">
        <f>[8]明细表!E5</f>
        <v>62</v>
      </c>
      <c r="BJ17" s="40"/>
      <c r="BK17" s="40"/>
      <c r="BL17" s="40">
        <f>[8]明细表!G5</f>
        <v>13687</v>
      </c>
      <c r="BM17" s="6">
        <f>BN17/BL17</f>
        <v>5.294796915614187</v>
      </c>
      <c r="BN17" s="33">
        <f>[8]明细表!S5</f>
        <v>72469.885384011373</v>
      </c>
      <c r="BO17" s="46">
        <f>明细表!D5</f>
        <v>10468</v>
      </c>
      <c r="BP17" s="40">
        <f>明细表!E5</f>
        <v>62</v>
      </c>
      <c r="BQ17" s="40"/>
      <c r="BR17" s="40"/>
      <c r="BS17" s="40">
        <f>明细表!F5</f>
        <v>10406</v>
      </c>
      <c r="BT17" s="6">
        <f t="shared" si="15"/>
        <v>4.4174732625797795</v>
      </c>
      <c r="BU17" s="33">
        <f>明细表!R5</f>
        <v>45968.226770405185</v>
      </c>
      <c r="BV17" s="46"/>
      <c r="BW17" s="40"/>
      <c r="BX17" s="40"/>
      <c r="BY17" s="40"/>
      <c r="BZ17" s="40"/>
      <c r="CA17" s="6"/>
      <c r="CB17" s="33"/>
      <c r="CC17" s="46"/>
      <c r="CD17" s="40"/>
      <c r="CE17" s="40"/>
      <c r="CF17" s="40"/>
      <c r="CG17" s="40"/>
      <c r="CH17" s="6"/>
      <c r="CI17" s="33"/>
      <c r="CJ17" s="46"/>
      <c r="CK17" s="40"/>
      <c r="CL17" s="40"/>
      <c r="CM17" s="40"/>
      <c r="CN17" s="40"/>
      <c r="CO17" s="6"/>
      <c r="CP17" s="33"/>
      <c r="CQ17" s="72">
        <f t="shared" si="16"/>
        <v>104059</v>
      </c>
      <c r="CR17" s="73">
        <f t="shared" si="8"/>
        <v>572</v>
      </c>
      <c r="CS17" s="73"/>
      <c r="CT17" s="48">
        <f t="shared" si="9"/>
        <v>2</v>
      </c>
      <c r="CU17" s="48">
        <f t="shared" si="10"/>
        <v>103485</v>
      </c>
      <c r="CV17" s="6">
        <f t="shared" si="2"/>
        <v>5.0609537552104218</v>
      </c>
      <c r="CW17" s="30">
        <f t="shared" si="11"/>
        <v>523732.79935795051</v>
      </c>
    </row>
    <row r="18" spans="1:101" s="70" customFormat="1" x14ac:dyDescent="0.15">
      <c r="A18" s="460"/>
      <c r="B18" s="479" t="s">
        <v>61</v>
      </c>
      <c r="C18" s="480"/>
      <c r="D18" s="57">
        <f>SUM(D17)</f>
        <v>10975</v>
      </c>
      <c r="E18" s="55">
        <f>SUM(E17)</f>
        <v>62</v>
      </c>
      <c r="F18" s="55"/>
      <c r="G18" s="55"/>
      <c r="H18" s="55">
        <f>SUM(H17)</f>
        <v>10913</v>
      </c>
      <c r="I18" s="52">
        <f t="shared" si="4"/>
        <v>4.9873431290720935</v>
      </c>
      <c r="J18" s="53">
        <f>SUM(J17:J17)</f>
        <v>54426.875567563759</v>
      </c>
      <c r="K18" s="54">
        <f>SUM(K17)</f>
        <v>12023</v>
      </c>
      <c r="L18" s="55">
        <f>SUM(L17)</f>
        <v>62</v>
      </c>
      <c r="M18" s="56"/>
      <c r="N18" s="55"/>
      <c r="O18" s="57">
        <f>SUM(O17)</f>
        <v>11961</v>
      </c>
      <c r="P18" s="52">
        <f t="shared" si="0"/>
        <v>5.0737736796425779</v>
      </c>
      <c r="Q18" s="53">
        <f>SUM(Q17:Q17)</f>
        <v>60687.406982204877</v>
      </c>
      <c r="R18" s="54">
        <f>SUM(R17:R17)</f>
        <v>9880</v>
      </c>
      <c r="S18" s="55">
        <f>SUM(S17:S17)</f>
        <v>61</v>
      </c>
      <c r="T18" s="78"/>
      <c r="U18" s="55"/>
      <c r="V18" s="57">
        <f>SUM(V17:V17)</f>
        <v>9819</v>
      </c>
      <c r="W18" s="52">
        <f>X18/V18</f>
        <v>4.622189065001824</v>
      </c>
      <c r="X18" s="53">
        <f>SUM(X17:X17)</f>
        <v>45385.27442925291</v>
      </c>
      <c r="Y18" s="75">
        <f>SUM(Y17:Y17)</f>
        <v>11661</v>
      </c>
      <c r="Z18" s="62">
        <f>SUM(Z17:Z17)</f>
        <v>62</v>
      </c>
      <c r="AA18" s="62"/>
      <c r="AB18" s="62"/>
      <c r="AC18" s="62">
        <f>SUM(AC17:AC17)</f>
        <v>11599</v>
      </c>
      <c r="AD18" s="63">
        <f>SUM(AD17:AD17)</f>
        <v>5.2904983348675625</v>
      </c>
      <c r="AE18" s="64">
        <f>SUM(AE17:AE17)</f>
        <v>61364.49018612886</v>
      </c>
      <c r="AF18" s="75">
        <f>SUM(AF17:AF17)</f>
        <v>10992</v>
      </c>
      <c r="AG18" s="62">
        <f>SUM(AG17:AG17)</f>
        <v>60</v>
      </c>
      <c r="AH18" s="62"/>
      <c r="AI18" s="62"/>
      <c r="AJ18" s="62">
        <f>SUM(AJ17:AJ17)</f>
        <v>10932</v>
      </c>
      <c r="AK18" s="63">
        <f>SUM(AK17:AK17)</f>
        <v>5.215122759801293</v>
      </c>
      <c r="AL18" s="64">
        <f>SUM(AL17:AL17)</f>
        <v>57011.722010147736</v>
      </c>
      <c r="AM18" s="67">
        <f>SUM(AM17)</f>
        <v>10996</v>
      </c>
      <c r="AN18" s="66">
        <f>SUM(AN17)</f>
        <v>81</v>
      </c>
      <c r="AO18" s="66"/>
      <c r="AP18" s="66">
        <f>SUM(AP17)</f>
        <v>2</v>
      </c>
      <c r="AQ18" s="66">
        <f>SUM(AQ17)</f>
        <v>10913</v>
      </c>
      <c r="AR18" s="52">
        <f>SUM(AR17)</f>
        <v>5.2452011375848127</v>
      </c>
      <c r="AS18" s="53">
        <f>SUM(AS17)</f>
        <v>57240.880014463059</v>
      </c>
      <c r="AT18" s="65">
        <f t="shared" si="6"/>
        <v>33649</v>
      </c>
      <c r="AU18" s="66">
        <f t="shared" si="6"/>
        <v>203</v>
      </c>
      <c r="AV18" s="66">
        <f t="shared" si="6"/>
        <v>0</v>
      </c>
      <c r="AW18" s="66">
        <f t="shared" si="6"/>
        <v>2</v>
      </c>
      <c r="AX18" s="61">
        <f t="shared" si="6"/>
        <v>33444</v>
      </c>
      <c r="AY18" s="52">
        <f t="shared" si="13"/>
        <v>5.2510791834331911</v>
      </c>
      <c r="AZ18" s="53">
        <f t="shared" si="7"/>
        <v>175617.09221073965</v>
      </c>
      <c r="BA18" s="67">
        <f>SUM(BA17)</f>
        <v>13315</v>
      </c>
      <c r="BB18" s="66">
        <f t="shared" ref="BB18:BN18" si="18">SUM(BB17)</f>
        <v>60</v>
      </c>
      <c r="BC18" s="66"/>
      <c r="BD18" s="66"/>
      <c r="BE18" s="66">
        <f t="shared" si="18"/>
        <v>13255</v>
      </c>
      <c r="BF18" s="52">
        <f t="shared" si="18"/>
        <v>5.2190145615822487</v>
      </c>
      <c r="BG18" s="59">
        <f t="shared" si="18"/>
        <v>69178.038013772704</v>
      </c>
      <c r="BH18" s="67">
        <f>SUM(BH17)</f>
        <v>13749</v>
      </c>
      <c r="BI18" s="66">
        <f t="shared" si="18"/>
        <v>62</v>
      </c>
      <c r="BJ18" s="66"/>
      <c r="BK18" s="66"/>
      <c r="BL18" s="66">
        <f t="shared" si="18"/>
        <v>13687</v>
      </c>
      <c r="BM18" s="52">
        <f t="shared" si="18"/>
        <v>5.294796915614187</v>
      </c>
      <c r="BN18" s="59">
        <f t="shared" si="18"/>
        <v>72469.885384011373</v>
      </c>
      <c r="BO18" s="67">
        <f>SUM(BO17)</f>
        <v>10468</v>
      </c>
      <c r="BP18" s="66">
        <f>SUM(BP17)</f>
        <v>62</v>
      </c>
      <c r="BQ18" s="66"/>
      <c r="BR18" s="66"/>
      <c r="BS18" s="66">
        <f>SUM(BS17)</f>
        <v>10406</v>
      </c>
      <c r="BT18" s="52">
        <f t="shared" si="15"/>
        <v>4.4174732625797795</v>
      </c>
      <c r="BU18" s="59">
        <f>SUM(BU17)</f>
        <v>45968.226770405185</v>
      </c>
      <c r="BV18" s="67"/>
      <c r="BW18" s="66"/>
      <c r="BX18" s="66"/>
      <c r="BY18" s="66"/>
      <c r="BZ18" s="66"/>
      <c r="CA18" s="52"/>
      <c r="CB18" s="59"/>
      <c r="CC18" s="67"/>
      <c r="CD18" s="66"/>
      <c r="CE18" s="66"/>
      <c r="CF18" s="66"/>
      <c r="CG18" s="66"/>
      <c r="CH18" s="52"/>
      <c r="CI18" s="59"/>
      <c r="CJ18" s="67"/>
      <c r="CK18" s="66"/>
      <c r="CL18" s="66"/>
      <c r="CM18" s="66"/>
      <c r="CN18" s="66"/>
      <c r="CO18" s="52"/>
      <c r="CP18" s="59"/>
      <c r="CQ18" s="76">
        <f t="shared" si="16"/>
        <v>104059</v>
      </c>
      <c r="CR18" s="69">
        <f t="shared" si="8"/>
        <v>572</v>
      </c>
      <c r="CS18" s="69"/>
      <c r="CT18" s="69">
        <f t="shared" si="9"/>
        <v>2</v>
      </c>
      <c r="CU18" s="69">
        <f t="shared" si="10"/>
        <v>103485</v>
      </c>
      <c r="CV18" s="52">
        <f t="shared" si="2"/>
        <v>5.0609537552104218</v>
      </c>
      <c r="CW18" s="53">
        <f t="shared" si="11"/>
        <v>523732.79935795051</v>
      </c>
    </row>
    <row r="19" spans="1:101" x14ac:dyDescent="0.15">
      <c r="A19" s="460"/>
      <c r="B19" s="5">
        <v>6</v>
      </c>
      <c r="C19" s="27" t="s">
        <v>9</v>
      </c>
      <c r="D19" s="32">
        <f>[1]明细表!D12</f>
        <v>2975</v>
      </c>
      <c r="E19" s="29">
        <f>[1]明细表!E12</f>
        <v>62</v>
      </c>
      <c r="F19" s="29"/>
      <c r="G19" s="29"/>
      <c r="H19" s="29">
        <f t="shared" si="5"/>
        <v>2913</v>
      </c>
      <c r="I19" s="6">
        <f t="shared" si="4"/>
        <v>6.1841241394539708</v>
      </c>
      <c r="J19" s="30">
        <f>[1]明细表!R12</f>
        <v>18014.353618229416</v>
      </c>
      <c r="K19" s="31">
        <f>[2]明细表!D12</f>
        <v>3526</v>
      </c>
      <c r="L19" s="29">
        <f>[2]明细表!E12</f>
        <v>62</v>
      </c>
      <c r="M19" s="71"/>
      <c r="N19" s="29"/>
      <c r="O19" s="32">
        <f>[2]明细表!F12</f>
        <v>3464</v>
      </c>
      <c r="P19" s="6">
        <f t="shared" si="0"/>
        <v>7.0061875663577817</v>
      </c>
      <c r="Q19" s="30">
        <f>[2]明细表!R12</f>
        <v>24269.433729863355</v>
      </c>
      <c r="R19" s="28">
        <f>[3]明细表!D7</f>
        <v>3488</v>
      </c>
      <c r="S19" s="29">
        <f>[3]明细表!E7</f>
        <v>61</v>
      </c>
      <c r="T19" s="29"/>
      <c r="U19" s="29"/>
      <c r="V19" s="29">
        <f>[3]明细表!F7</f>
        <v>3427</v>
      </c>
      <c r="W19" s="6">
        <f>X19/V19</f>
        <v>6.8373173777389509</v>
      </c>
      <c r="X19" s="33">
        <f>[3]明细表!R7</f>
        <v>23431.486653511383</v>
      </c>
      <c r="Y19" s="74">
        <f>[4]明细表!D7</f>
        <v>4210</v>
      </c>
      <c r="Z19" s="36">
        <f>[4]明细表!E7</f>
        <v>62</v>
      </c>
      <c r="AA19" s="36"/>
      <c r="AB19" s="36"/>
      <c r="AC19" s="36">
        <f>[4]明细表!F7</f>
        <v>4148</v>
      </c>
      <c r="AD19" s="37">
        <f>AE19/AC19</f>
        <v>7.377503517872503</v>
      </c>
      <c r="AE19" s="38">
        <f>[4]明细表!R7</f>
        <v>30601.884592135142</v>
      </c>
      <c r="AF19" s="74">
        <f>[5]明细表!D7</f>
        <v>4679</v>
      </c>
      <c r="AG19" s="36">
        <f>[5]明细表!E7</f>
        <v>60</v>
      </c>
      <c r="AH19" s="36"/>
      <c r="AI19" s="36"/>
      <c r="AJ19" s="36">
        <f>[5]明细表!G8</f>
        <v>4619</v>
      </c>
      <c r="AK19" s="37">
        <f>AL19/AJ19</f>
        <v>7.4696811314173504</v>
      </c>
      <c r="AL19" s="38">
        <f>[5]明细表!S7</f>
        <v>34502.457146016743</v>
      </c>
      <c r="AM19" s="46">
        <f>[6]明细表!D7</f>
        <v>5406</v>
      </c>
      <c r="AN19" s="40">
        <f>[6]明细表!E7</f>
        <v>62</v>
      </c>
      <c r="AO19" s="40"/>
      <c r="AP19" s="40">
        <f>[6]明细表!F7</f>
        <v>2</v>
      </c>
      <c r="AQ19" s="40">
        <f>[6]明细表!G7</f>
        <v>5342</v>
      </c>
      <c r="AR19" s="6">
        <f t="shared" ref="AR19:AR50" si="19">AS19/AQ19</f>
        <v>7.4760531126905017</v>
      </c>
      <c r="AS19" s="30">
        <f>[6]明细表!S7</f>
        <v>39937.075727992662</v>
      </c>
      <c r="AT19" s="39">
        <f t="shared" si="6"/>
        <v>14295</v>
      </c>
      <c r="AU19" s="40">
        <f t="shared" si="6"/>
        <v>184</v>
      </c>
      <c r="AV19" s="40">
        <f t="shared" si="6"/>
        <v>0</v>
      </c>
      <c r="AW19" s="40">
        <f t="shared" si="6"/>
        <v>2</v>
      </c>
      <c r="AX19" s="35">
        <f t="shared" si="6"/>
        <v>14109</v>
      </c>
      <c r="AY19" s="6">
        <f t="shared" si="13"/>
        <v>7.4449937958852184</v>
      </c>
      <c r="AZ19" s="30">
        <f t="shared" si="7"/>
        <v>105041.41746614454</v>
      </c>
      <c r="BA19" s="46">
        <f>[7]明细表!D7</f>
        <v>7131</v>
      </c>
      <c r="BB19" s="40">
        <f>[7]明细表!E7</f>
        <v>60</v>
      </c>
      <c r="BC19" s="40"/>
      <c r="BD19" s="40"/>
      <c r="BE19" s="40">
        <f>[7]明细表!F8</f>
        <v>7071</v>
      </c>
      <c r="BF19" s="6">
        <f t="shared" ref="BF19" si="20">BG19/BE19</f>
        <v>6.9359399551563126</v>
      </c>
      <c r="BG19" s="33">
        <f>[7]明细表!R7</f>
        <v>49044.031422910288</v>
      </c>
      <c r="BH19" s="46">
        <f>[8]明细表!D7</f>
        <v>6867</v>
      </c>
      <c r="BI19" s="40">
        <f>[8]明细表!E7</f>
        <v>62</v>
      </c>
      <c r="BJ19" s="40"/>
      <c r="BK19" s="40"/>
      <c r="BL19" s="40">
        <f>[8]明细表!G7</f>
        <v>6805</v>
      </c>
      <c r="BM19" s="6">
        <f>BN19/BL19</f>
        <v>7.4402625896950312</v>
      </c>
      <c r="BN19" s="33">
        <f>[8]明细表!S7</f>
        <v>50630.98692287469</v>
      </c>
      <c r="BO19" s="46">
        <f>明细表!D7</f>
        <v>4983</v>
      </c>
      <c r="BP19" s="40">
        <f>明细表!E7</f>
        <v>62</v>
      </c>
      <c r="BQ19" s="40"/>
      <c r="BR19" s="40"/>
      <c r="BS19" s="40">
        <f>明细表!F7</f>
        <v>4921</v>
      </c>
      <c r="BT19" s="6">
        <f t="shared" si="15"/>
        <v>6.8977914377704863</v>
      </c>
      <c r="BU19" s="33">
        <f>明细表!R7</f>
        <v>33944.031665268565</v>
      </c>
      <c r="BV19" s="46"/>
      <c r="BW19" s="40"/>
      <c r="BX19" s="40"/>
      <c r="BY19" s="40"/>
      <c r="BZ19" s="40"/>
      <c r="CA19" s="6"/>
      <c r="CB19" s="33"/>
      <c r="CC19" s="46"/>
      <c r="CD19" s="40"/>
      <c r="CE19" s="40"/>
      <c r="CF19" s="40"/>
      <c r="CG19" s="40"/>
      <c r="CH19" s="6"/>
      <c r="CI19" s="33"/>
      <c r="CJ19" s="46"/>
      <c r="CK19" s="40"/>
      <c r="CL19" s="40"/>
      <c r="CM19" s="40"/>
      <c r="CN19" s="40"/>
      <c r="CO19" s="6"/>
      <c r="CP19" s="33"/>
      <c r="CQ19" s="72">
        <f t="shared" si="16"/>
        <v>43265</v>
      </c>
      <c r="CR19" s="73">
        <f t="shared" si="8"/>
        <v>553</v>
      </c>
      <c r="CS19" s="73"/>
      <c r="CT19" s="48">
        <f t="shared" si="9"/>
        <v>2</v>
      </c>
      <c r="CU19" s="48">
        <f t="shared" si="10"/>
        <v>42710</v>
      </c>
      <c r="CV19" s="6">
        <f t="shared" si="2"/>
        <v>7.1265685197565496</v>
      </c>
      <c r="CW19" s="30">
        <f t="shared" si="11"/>
        <v>304375.74147880223</v>
      </c>
    </row>
    <row r="20" spans="1:101" s="70" customFormat="1" x14ac:dyDescent="0.15">
      <c r="A20" s="460"/>
      <c r="B20" s="479" t="s">
        <v>61</v>
      </c>
      <c r="C20" s="480"/>
      <c r="D20" s="57">
        <f>SUM(D19)</f>
        <v>2975</v>
      </c>
      <c r="E20" s="55">
        <f>SUM(E19)</f>
        <v>62</v>
      </c>
      <c r="F20" s="55"/>
      <c r="G20" s="55"/>
      <c r="H20" s="55">
        <f>SUM(H19)</f>
        <v>2913</v>
      </c>
      <c r="I20" s="52">
        <f t="shared" si="4"/>
        <v>6.1841241394539708</v>
      </c>
      <c r="J20" s="53">
        <f>SUM(J19:J19)</f>
        <v>18014.353618229416</v>
      </c>
      <c r="K20" s="54">
        <f>SUM(K19)</f>
        <v>3526</v>
      </c>
      <c r="L20" s="55">
        <f>SUM(L19)</f>
        <v>62</v>
      </c>
      <c r="M20" s="78"/>
      <c r="N20" s="55"/>
      <c r="O20" s="57">
        <f>SUM(O19)</f>
        <v>3464</v>
      </c>
      <c r="P20" s="52">
        <f t="shared" si="0"/>
        <v>7.0061875663577817</v>
      </c>
      <c r="Q20" s="53">
        <f>SUM(Q19:Q19)</f>
        <v>24269.433729863355</v>
      </c>
      <c r="R20" s="54">
        <f>SUM(R19:R19)</f>
        <v>3488</v>
      </c>
      <c r="S20" s="55">
        <f>SUM(S19:S19)</f>
        <v>61</v>
      </c>
      <c r="T20" s="78"/>
      <c r="U20" s="55"/>
      <c r="V20" s="57">
        <f>SUM(V19:V19)</f>
        <v>3427</v>
      </c>
      <c r="W20" s="52">
        <f>X20/V20</f>
        <v>6.8373173777389509</v>
      </c>
      <c r="X20" s="53">
        <f>SUM(X19:X19)</f>
        <v>23431.486653511383</v>
      </c>
      <c r="Y20" s="75">
        <f>SUM(Y19:Y19)</f>
        <v>4210</v>
      </c>
      <c r="Z20" s="62">
        <f>SUM(Z19:Z19)</f>
        <v>62</v>
      </c>
      <c r="AA20" s="62"/>
      <c r="AB20" s="62"/>
      <c r="AC20" s="62">
        <f>SUM(AC19:AC19)</f>
        <v>4148</v>
      </c>
      <c r="AD20" s="63">
        <f>SUM(AD19:AD19)</f>
        <v>7.377503517872503</v>
      </c>
      <c r="AE20" s="64">
        <f>SUM(AE19:AE19)</f>
        <v>30601.884592135142</v>
      </c>
      <c r="AF20" s="75">
        <f>SUM(AF19:AF19)</f>
        <v>4679</v>
      </c>
      <c r="AG20" s="62">
        <f>SUM(AG19:AG19)</f>
        <v>60</v>
      </c>
      <c r="AH20" s="62"/>
      <c r="AI20" s="62"/>
      <c r="AJ20" s="62">
        <f>SUM(AJ19:AJ19)</f>
        <v>4619</v>
      </c>
      <c r="AK20" s="63">
        <f>SUM(AK19:AK19)</f>
        <v>7.4696811314173504</v>
      </c>
      <c r="AL20" s="64">
        <f>SUM(AL19:AL19)</f>
        <v>34502.457146016743</v>
      </c>
      <c r="AM20" s="67">
        <f>SUM(AM19)</f>
        <v>5406</v>
      </c>
      <c r="AN20" s="66">
        <f>SUM(AN19)</f>
        <v>62</v>
      </c>
      <c r="AO20" s="66"/>
      <c r="AP20" s="66">
        <f>SUM(AP19)</f>
        <v>2</v>
      </c>
      <c r="AQ20" s="66">
        <f>SUM(AQ19)</f>
        <v>5342</v>
      </c>
      <c r="AR20" s="52">
        <f t="shared" si="19"/>
        <v>7.4760531126905017</v>
      </c>
      <c r="AS20" s="53">
        <f>SUM(AS19)</f>
        <v>39937.075727992662</v>
      </c>
      <c r="AT20" s="65">
        <f t="shared" si="6"/>
        <v>14295</v>
      </c>
      <c r="AU20" s="66">
        <f t="shared" si="6"/>
        <v>184</v>
      </c>
      <c r="AV20" s="66">
        <f t="shared" si="6"/>
        <v>0</v>
      </c>
      <c r="AW20" s="66">
        <f t="shared" si="6"/>
        <v>2</v>
      </c>
      <c r="AX20" s="61">
        <f t="shared" si="6"/>
        <v>14109</v>
      </c>
      <c r="AY20" s="52">
        <f t="shared" si="13"/>
        <v>7.4449937958852184</v>
      </c>
      <c r="AZ20" s="53">
        <f t="shared" si="7"/>
        <v>105041.41746614454</v>
      </c>
      <c r="BA20" s="67">
        <f>SUM(BA19)</f>
        <v>7131</v>
      </c>
      <c r="BB20" s="66">
        <f t="shared" ref="BB20:BN20" si="21">SUM(BB19)</f>
        <v>60</v>
      </c>
      <c r="BC20" s="66"/>
      <c r="BD20" s="66"/>
      <c r="BE20" s="66">
        <f t="shared" si="21"/>
        <v>7071</v>
      </c>
      <c r="BF20" s="52">
        <f t="shared" si="21"/>
        <v>6.9359399551563126</v>
      </c>
      <c r="BG20" s="59">
        <f t="shared" si="21"/>
        <v>49044.031422910288</v>
      </c>
      <c r="BH20" s="67">
        <f>SUM(BH19)</f>
        <v>6867</v>
      </c>
      <c r="BI20" s="66">
        <f t="shared" si="21"/>
        <v>62</v>
      </c>
      <c r="BJ20" s="66"/>
      <c r="BK20" s="66"/>
      <c r="BL20" s="66">
        <f t="shared" si="21"/>
        <v>6805</v>
      </c>
      <c r="BM20" s="52">
        <f t="shared" si="21"/>
        <v>7.4402625896950312</v>
      </c>
      <c r="BN20" s="59">
        <f t="shared" si="21"/>
        <v>50630.98692287469</v>
      </c>
      <c r="BO20" s="67">
        <f>SUM(BO19)</f>
        <v>4983</v>
      </c>
      <c r="BP20" s="66">
        <f>SUM(BP19)</f>
        <v>62</v>
      </c>
      <c r="BQ20" s="66"/>
      <c r="BR20" s="66"/>
      <c r="BS20" s="66">
        <f>SUM(BS19)</f>
        <v>4921</v>
      </c>
      <c r="BT20" s="52">
        <f t="shared" si="15"/>
        <v>6.8977914377704863</v>
      </c>
      <c r="BU20" s="59">
        <f>SUM(BU19)</f>
        <v>33944.031665268565</v>
      </c>
      <c r="BV20" s="67"/>
      <c r="BW20" s="66"/>
      <c r="BX20" s="66"/>
      <c r="BY20" s="66"/>
      <c r="BZ20" s="66"/>
      <c r="CA20" s="52"/>
      <c r="CB20" s="59"/>
      <c r="CC20" s="67"/>
      <c r="CD20" s="66"/>
      <c r="CE20" s="66"/>
      <c r="CF20" s="66"/>
      <c r="CG20" s="66"/>
      <c r="CH20" s="52"/>
      <c r="CI20" s="59"/>
      <c r="CJ20" s="67"/>
      <c r="CK20" s="66"/>
      <c r="CL20" s="66"/>
      <c r="CM20" s="66"/>
      <c r="CN20" s="66"/>
      <c r="CO20" s="52"/>
      <c r="CP20" s="59"/>
      <c r="CQ20" s="68">
        <f t="shared" si="16"/>
        <v>43265</v>
      </c>
      <c r="CR20" s="69">
        <f t="shared" si="8"/>
        <v>553</v>
      </c>
      <c r="CS20" s="69"/>
      <c r="CT20" s="69">
        <f t="shared" si="9"/>
        <v>2</v>
      </c>
      <c r="CU20" s="69">
        <f t="shared" si="10"/>
        <v>42710</v>
      </c>
      <c r="CV20" s="52">
        <f t="shared" si="2"/>
        <v>7.1265685197565496</v>
      </c>
      <c r="CW20" s="53">
        <f t="shared" si="11"/>
        <v>304375.74147880223</v>
      </c>
    </row>
    <row r="21" spans="1:101" hidden="1" x14ac:dyDescent="0.15">
      <c r="A21" s="460"/>
      <c r="B21" s="5">
        <v>12</v>
      </c>
      <c r="C21" s="27" t="s">
        <v>68</v>
      </c>
      <c r="D21" s="32"/>
      <c r="E21" s="29"/>
      <c r="F21" s="29"/>
      <c r="G21" s="29"/>
      <c r="H21" s="29"/>
      <c r="I21" s="6"/>
      <c r="J21" s="30"/>
      <c r="K21" s="31"/>
      <c r="L21" s="29"/>
      <c r="M21" s="71"/>
      <c r="N21" s="29"/>
      <c r="O21" s="32"/>
      <c r="P21" s="6"/>
      <c r="Q21" s="30"/>
      <c r="R21" s="28"/>
      <c r="S21" s="29"/>
      <c r="T21" s="29"/>
      <c r="U21" s="29"/>
      <c r="V21" s="29"/>
      <c r="W21" s="6"/>
      <c r="X21" s="33"/>
      <c r="Y21" s="74"/>
      <c r="Z21" s="36"/>
      <c r="AA21" s="36"/>
      <c r="AB21" s="36"/>
      <c r="AC21" s="36"/>
      <c r="AD21" s="37"/>
      <c r="AE21" s="38"/>
      <c r="AF21" s="74"/>
      <c r="AG21" s="36"/>
      <c r="AH21" s="36"/>
      <c r="AI21" s="36"/>
      <c r="AJ21" s="36"/>
      <c r="AK21" s="37"/>
      <c r="AL21" s="38"/>
      <c r="AM21" s="46"/>
      <c r="AN21" s="40"/>
      <c r="AO21" s="40"/>
      <c r="AP21" s="40"/>
      <c r="AQ21" s="40"/>
      <c r="AR21" s="6" t="e">
        <f t="shared" si="19"/>
        <v>#DIV/0!</v>
      </c>
      <c r="AS21" s="30"/>
      <c r="AT21" s="39">
        <f t="shared" si="6"/>
        <v>0</v>
      </c>
      <c r="AU21" s="40">
        <f t="shared" si="6"/>
        <v>0</v>
      </c>
      <c r="AV21" s="40">
        <f t="shared" si="6"/>
        <v>0</v>
      </c>
      <c r="AW21" s="40">
        <f t="shared" si="6"/>
        <v>0</v>
      </c>
      <c r="AX21" s="35">
        <f t="shared" si="6"/>
        <v>0</v>
      </c>
      <c r="AY21" s="6" t="e">
        <f t="shared" si="13"/>
        <v>#DIV/0!</v>
      </c>
      <c r="AZ21" s="30">
        <f t="shared" si="7"/>
        <v>0</v>
      </c>
      <c r="BA21" s="46"/>
      <c r="BB21" s="40"/>
      <c r="BC21" s="40"/>
      <c r="BD21" s="40"/>
      <c r="BE21" s="40"/>
      <c r="BF21" s="6" t="e">
        <f t="shared" ref="BF21" si="22">BG21/BE21</f>
        <v>#DIV/0!</v>
      </c>
      <c r="BG21" s="33"/>
      <c r="BH21" s="46"/>
      <c r="BI21" s="40"/>
      <c r="BJ21" s="40"/>
      <c r="BK21" s="40"/>
      <c r="BL21" s="40"/>
      <c r="BM21" s="6"/>
      <c r="BN21" s="33"/>
      <c r="BO21" s="46"/>
      <c r="BP21" s="40"/>
      <c r="BQ21" s="40"/>
      <c r="BR21" s="40"/>
      <c r="BS21" s="40"/>
      <c r="BT21" s="6" t="e">
        <f t="shared" si="15"/>
        <v>#DIV/0!</v>
      </c>
      <c r="BU21" s="33"/>
      <c r="BV21" s="46"/>
      <c r="BW21" s="40"/>
      <c r="BX21" s="40"/>
      <c r="BY21" s="40"/>
      <c r="BZ21" s="40"/>
      <c r="CA21" s="6"/>
      <c r="CB21" s="33"/>
      <c r="CC21" s="46"/>
      <c r="CD21" s="40"/>
      <c r="CE21" s="40"/>
      <c r="CF21" s="40"/>
      <c r="CG21" s="40"/>
      <c r="CH21" s="6"/>
      <c r="CI21" s="33"/>
      <c r="CJ21" s="46"/>
      <c r="CK21" s="40"/>
      <c r="CL21" s="40"/>
      <c r="CM21" s="40"/>
      <c r="CN21" s="40"/>
      <c r="CO21" s="6"/>
      <c r="CP21" s="33"/>
      <c r="CQ21" s="72">
        <f t="shared" si="16"/>
        <v>0</v>
      </c>
      <c r="CR21" s="73">
        <f t="shared" si="8"/>
        <v>0</v>
      </c>
      <c r="CS21" s="73"/>
      <c r="CT21" s="48">
        <f t="shared" si="9"/>
        <v>0</v>
      </c>
      <c r="CU21" s="48">
        <f t="shared" si="10"/>
        <v>0</v>
      </c>
      <c r="CV21" s="6" t="e">
        <f t="shared" si="2"/>
        <v>#DIV/0!</v>
      </c>
      <c r="CW21" s="30">
        <f t="shared" si="11"/>
        <v>0</v>
      </c>
    </row>
    <row r="22" spans="1:101" s="70" customFormat="1" hidden="1" x14ac:dyDescent="0.15">
      <c r="A22" s="460"/>
      <c r="B22" s="479" t="s">
        <v>61</v>
      </c>
      <c r="C22" s="480"/>
      <c r="D22" s="377"/>
      <c r="E22" s="51"/>
      <c r="F22" s="51"/>
      <c r="G22" s="51"/>
      <c r="H22" s="51"/>
      <c r="I22" s="52"/>
      <c r="J22" s="53"/>
      <c r="K22" s="54"/>
      <c r="L22" s="55"/>
      <c r="M22" s="55"/>
      <c r="N22" s="55"/>
      <c r="O22" s="55"/>
      <c r="P22" s="52"/>
      <c r="Q22" s="53"/>
      <c r="R22" s="58"/>
      <c r="S22" s="55"/>
      <c r="T22" s="51"/>
      <c r="U22" s="51"/>
      <c r="V22" s="55"/>
      <c r="W22" s="52"/>
      <c r="X22" s="59"/>
      <c r="Y22" s="75"/>
      <c r="Z22" s="62"/>
      <c r="AA22" s="62"/>
      <c r="AB22" s="62"/>
      <c r="AC22" s="62"/>
      <c r="AD22" s="63"/>
      <c r="AE22" s="64"/>
      <c r="AF22" s="75"/>
      <c r="AG22" s="62"/>
      <c r="AH22" s="62"/>
      <c r="AI22" s="62"/>
      <c r="AJ22" s="62"/>
      <c r="AK22" s="63"/>
      <c r="AL22" s="64"/>
      <c r="AM22" s="67"/>
      <c r="AN22" s="66"/>
      <c r="AO22" s="66"/>
      <c r="AP22" s="66"/>
      <c r="AQ22" s="66"/>
      <c r="AR22" s="52" t="e">
        <f t="shared" si="19"/>
        <v>#DIV/0!</v>
      </c>
      <c r="AS22" s="53"/>
      <c r="AT22" s="65">
        <f t="shared" si="6"/>
        <v>0</v>
      </c>
      <c r="AU22" s="66">
        <f t="shared" si="6"/>
        <v>0</v>
      </c>
      <c r="AV22" s="66">
        <f t="shared" si="6"/>
        <v>0</v>
      </c>
      <c r="AW22" s="66">
        <f t="shared" si="6"/>
        <v>0</v>
      </c>
      <c r="AX22" s="61">
        <f t="shared" si="6"/>
        <v>0</v>
      </c>
      <c r="AY22" s="52" t="e">
        <f t="shared" si="13"/>
        <v>#DIV/0!</v>
      </c>
      <c r="AZ22" s="53">
        <f t="shared" si="7"/>
        <v>0</v>
      </c>
      <c r="BA22" s="67"/>
      <c r="BB22" s="66"/>
      <c r="BC22" s="66"/>
      <c r="BD22" s="66"/>
      <c r="BE22" s="66"/>
      <c r="BF22" s="52" t="e">
        <f t="shared" ref="BF22" si="23">SUM(BF21)</f>
        <v>#DIV/0!</v>
      </c>
      <c r="BG22" s="33"/>
      <c r="BH22" s="67"/>
      <c r="BI22" s="66"/>
      <c r="BJ22" s="66"/>
      <c r="BK22" s="66"/>
      <c r="BL22" s="66"/>
      <c r="BM22" s="52"/>
      <c r="BN22" s="59"/>
      <c r="BO22" s="67"/>
      <c r="BP22" s="66"/>
      <c r="BQ22" s="66"/>
      <c r="BR22" s="66"/>
      <c r="BS22" s="66"/>
      <c r="BT22" s="52" t="e">
        <f t="shared" si="15"/>
        <v>#DIV/0!</v>
      </c>
      <c r="BU22" s="59"/>
      <c r="BV22" s="67"/>
      <c r="BW22" s="66"/>
      <c r="BX22" s="66"/>
      <c r="BY22" s="66"/>
      <c r="BZ22" s="66"/>
      <c r="CA22" s="52"/>
      <c r="CB22" s="59"/>
      <c r="CC22" s="67"/>
      <c r="CD22" s="66"/>
      <c r="CE22" s="66"/>
      <c r="CF22" s="66"/>
      <c r="CG22" s="66"/>
      <c r="CH22" s="52"/>
      <c r="CI22" s="59"/>
      <c r="CJ22" s="67"/>
      <c r="CK22" s="66"/>
      <c r="CL22" s="66"/>
      <c r="CM22" s="66"/>
      <c r="CN22" s="66"/>
      <c r="CO22" s="52"/>
      <c r="CP22" s="59"/>
      <c r="CQ22" s="76">
        <f t="shared" si="16"/>
        <v>0</v>
      </c>
      <c r="CR22" s="69">
        <f t="shared" si="8"/>
        <v>0</v>
      </c>
      <c r="CS22" s="69"/>
      <c r="CT22" s="69">
        <f t="shared" si="9"/>
        <v>0</v>
      </c>
      <c r="CU22" s="69">
        <f t="shared" si="10"/>
        <v>0</v>
      </c>
      <c r="CV22" s="52" t="e">
        <f t="shared" si="2"/>
        <v>#DIV/0!</v>
      </c>
      <c r="CW22" s="53">
        <f t="shared" si="11"/>
        <v>0</v>
      </c>
    </row>
    <row r="23" spans="1:101" x14ac:dyDescent="0.15">
      <c r="A23" s="460"/>
      <c r="B23" s="5">
        <v>7</v>
      </c>
      <c r="C23" s="27" t="s">
        <v>10</v>
      </c>
      <c r="D23" s="32">
        <f>[1]明细表!D14</f>
        <v>19216</v>
      </c>
      <c r="E23" s="29">
        <f>[1]明细表!E14</f>
        <v>62</v>
      </c>
      <c r="F23" s="29"/>
      <c r="G23" s="29"/>
      <c r="H23" s="29">
        <f t="shared" si="5"/>
        <v>19154</v>
      </c>
      <c r="I23" s="6">
        <f t="shared" si="4"/>
        <v>9.4227355409316527</v>
      </c>
      <c r="J23" s="30">
        <f>[1]明细表!R14</f>
        <v>180483.07655100487</v>
      </c>
      <c r="K23" s="31">
        <f>[2]明细表!D14</f>
        <v>18879</v>
      </c>
      <c r="L23" s="29">
        <f>[2]明细表!E14</f>
        <v>62</v>
      </c>
      <c r="M23" s="32"/>
      <c r="N23" s="29"/>
      <c r="O23" s="29">
        <f>[2]明细表!F14</f>
        <v>18817</v>
      </c>
      <c r="P23" s="6">
        <f t="shared" si="0"/>
        <v>9.4504368547309721</v>
      </c>
      <c r="Q23" s="30">
        <f>[2]明细表!R14</f>
        <v>177828.87029547271</v>
      </c>
      <c r="R23" s="28">
        <f>[3]明细表!D9</f>
        <v>19243</v>
      </c>
      <c r="S23" s="29">
        <f>[3]明细表!E9</f>
        <v>56</v>
      </c>
      <c r="T23" s="29"/>
      <c r="U23" s="29"/>
      <c r="V23" s="29">
        <f>[3]明细表!F9</f>
        <v>19187</v>
      </c>
      <c r="W23" s="6">
        <f t="shared" ref="W23:W41" si="24">X23/V23</f>
        <v>9.1111342598901999</v>
      </c>
      <c r="X23" s="33">
        <f>[3]明细表!R9</f>
        <v>174815.33304451327</v>
      </c>
      <c r="Y23" s="74">
        <f>[4]明细表!D9</f>
        <v>27790</v>
      </c>
      <c r="Z23" s="36">
        <f>[4]明细表!E9</f>
        <v>62</v>
      </c>
      <c r="AA23" s="36"/>
      <c r="AB23" s="36"/>
      <c r="AC23" s="36">
        <f>[4]明细表!F9</f>
        <v>27728</v>
      </c>
      <c r="AD23" s="37">
        <f t="shared" ref="AD23:AD29" si="25">AE23/AC23</f>
        <v>9.6233118932224482</v>
      </c>
      <c r="AE23" s="38">
        <f>[4]明细表!R9</f>
        <v>266835.19217527204</v>
      </c>
      <c r="AF23" s="74">
        <f>[5]明细表!D9</f>
        <v>27966</v>
      </c>
      <c r="AG23" s="36">
        <f>[5]明细表!E9</f>
        <v>65</v>
      </c>
      <c r="AH23" s="36"/>
      <c r="AI23" s="36"/>
      <c r="AJ23" s="36">
        <f>[5]明细表!G9</f>
        <v>27901</v>
      </c>
      <c r="AK23" s="37">
        <f t="shared" ref="AK23:AK41" si="26">AL23/AJ23</f>
        <v>9.4718124114003253</v>
      </c>
      <c r="AL23" s="38">
        <f>[5]明细表!S9</f>
        <v>264273.03809048049</v>
      </c>
      <c r="AM23" s="46">
        <f>[6]明细表!D9</f>
        <v>24437</v>
      </c>
      <c r="AN23" s="40">
        <f>[6]明细表!E9</f>
        <v>62</v>
      </c>
      <c r="AO23" s="40"/>
      <c r="AP23" s="40">
        <f>[6]明细表!F9</f>
        <v>2</v>
      </c>
      <c r="AQ23" s="40">
        <f>[6]明细表!G9</f>
        <v>24373</v>
      </c>
      <c r="AR23" s="6">
        <f t="shared" si="19"/>
        <v>9.6661501319115057</v>
      </c>
      <c r="AS23" s="30">
        <f>[6]明细表!S9</f>
        <v>235593.07716507913</v>
      </c>
      <c r="AT23" s="39">
        <f t="shared" si="6"/>
        <v>80193</v>
      </c>
      <c r="AU23" s="40">
        <f t="shared" si="6"/>
        <v>189</v>
      </c>
      <c r="AV23" s="40">
        <f t="shared" si="6"/>
        <v>0</v>
      </c>
      <c r="AW23" s="40">
        <f t="shared" si="6"/>
        <v>2</v>
      </c>
      <c r="AX23" s="35">
        <f t="shared" si="6"/>
        <v>80002</v>
      </c>
      <c r="AY23" s="6">
        <f t="shared" si="13"/>
        <v>9.5835267547165284</v>
      </c>
      <c r="AZ23" s="30">
        <f t="shared" si="7"/>
        <v>766701.30743083172</v>
      </c>
      <c r="BA23" s="46">
        <f>[7]明细表!D9</f>
        <v>32664</v>
      </c>
      <c r="BB23" s="40">
        <f>[7]明细表!E9</f>
        <v>60</v>
      </c>
      <c r="BC23" s="40"/>
      <c r="BD23" s="40"/>
      <c r="BE23" s="40">
        <f>[7]明细表!F9</f>
        <v>32604</v>
      </c>
      <c r="BF23" s="6">
        <f>BG23/BE23</f>
        <v>9.9109908102007758</v>
      </c>
      <c r="BG23" s="33">
        <f>[7]明细表!R9</f>
        <v>323137.94437578612</v>
      </c>
      <c r="BH23" s="46">
        <f>[8]明细表!D9</f>
        <v>38282</v>
      </c>
      <c r="BI23" s="40">
        <f>[8]明细表!E9</f>
        <v>62</v>
      </c>
      <c r="BJ23" s="40"/>
      <c r="BK23" s="40"/>
      <c r="BL23" s="40">
        <f>[8]明细表!G9</f>
        <v>38220</v>
      </c>
      <c r="BM23" s="6">
        <f t="shared" ref="BM23:BM30" si="27">BN23/BL23</f>
        <v>9.4203259267454218</v>
      </c>
      <c r="BN23" s="33">
        <f>[8]明细表!S9</f>
        <v>360044.85692021</v>
      </c>
      <c r="BO23" s="46">
        <f>明细表!D9</f>
        <v>23847</v>
      </c>
      <c r="BP23" s="40">
        <f>明细表!E9</f>
        <v>62</v>
      </c>
      <c r="BQ23" s="40"/>
      <c r="BR23" s="40"/>
      <c r="BS23" s="40">
        <f>明细表!F9</f>
        <v>23785</v>
      </c>
      <c r="BT23" s="6">
        <f t="shared" si="15"/>
        <v>9.2355708719334828</v>
      </c>
      <c r="BU23" s="33">
        <f>明细表!R9</f>
        <v>219668.05318893789</v>
      </c>
      <c r="BV23" s="46"/>
      <c r="BW23" s="40"/>
      <c r="BX23" s="40"/>
      <c r="BY23" s="40"/>
      <c r="BZ23" s="40"/>
      <c r="CA23" s="6"/>
      <c r="CB23" s="33"/>
      <c r="CC23" s="46"/>
      <c r="CD23" s="40"/>
      <c r="CE23" s="40"/>
      <c r="CF23" s="40"/>
      <c r="CG23" s="40"/>
      <c r="CH23" s="6"/>
      <c r="CI23" s="33"/>
      <c r="CJ23" s="46"/>
      <c r="CK23" s="40"/>
      <c r="CL23" s="40"/>
      <c r="CM23" s="40"/>
      <c r="CN23" s="40"/>
      <c r="CO23" s="6"/>
      <c r="CP23" s="33"/>
      <c r="CQ23" s="72">
        <f t="shared" si="16"/>
        <v>232324</v>
      </c>
      <c r="CR23" s="73">
        <f t="shared" si="8"/>
        <v>553</v>
      </c>
      <c r="CS23" s="73"/>
      <c r="CT23" s="48">
        <f t="shared" si="9"/>
        <v>2</v>
      </c>
      <c r="CU23" s="48">
        <f t="shared" si="10"/>
        <v>231769</v>
      </c>
      <c r="CV23" s="6">
        <f t="shared" si="2"/>
        <v>9.5037707450381905</v>
      </c>
      <c r="CW23" s="30">
        <f t="shared" si="11"/>
        <v>2202679.4418067564</v>
      </c>
    </row>
    <row r="24" spans="1:101" s="87" customFormat="1" x14ac:dyDescent="0.15">
      <c r="A24" s="460"/>
      <c r="B24" s="29">
        <v>8</v>
      </c>
      <c r="C24" s="80" t="s">
        <v>11</v>
      </c>
      <c r="D24" s="32">
        <f>[1]明细表!D15</f>
        <v>53179</v>
      </c>
      <c r="E24" s="29">
        <f>[1]明细表!E15</f>
        <v>62</v>
      </c>
      <c r="F24" s="29"/>
      <c r="G24" s="29"/>
      <c r="H24" s="29">
        <f t="shared" si="5"/>
        <v>53117</v>
      </c>
      <c r="I24" s="81">
        <f t="shared" si="4"/>
        <v>7.0740861078512411</v>
      </c>
      <c r="J24" s="82">
        <f>[1]明细表!R15</f>
        <v>375754.2317907344</v>
      </c>
      <c r="K24" s="31">
        <f>[2]明细表!D15</f>
        <v>57339</v>
      </c>
      <c r="L24" s="29">
        <f>[2]明细表!E15</f>
        <v>62</v>
      </c>
      <c r="M24" s="32"/>
      <c r="N24" s="29"/>
      <c r="O24" s="29">
        <f>[2]明细表!F15</f>
        <v>57277</v>
      </c>
      <c r="P24" s="81">
        <f t="shared" si="0"/>
        <v>7.3378240852419445</v>
      </c>
      <c r="Q24" s="82">
        <f>[2]明细表!R15</f>
        <v>420288.55013040284</v>
      </c>
      <c r="R24" s="28">
        <f>[3]明细表!D10</f>
        <v>51558</v>
      </c>
      <c r="S24" s="29">
        <f>[3]明细表!E10</f>
        <v>61</v>
      </c>
      <c r="T24" s="29"/>
      <c r="U24" s="29"/>
      <c r="V24" s="29">
        <f>[3]明细表!F10</f>
        <v>51497</v>
      </c>
      <c r="W24" s="81">
        <f t="shared" si="24"/>
        <v>6.8942774245164298</v>
      </c>
      <c r="X24" s="83">
        <f>[3]明细表!R10</f>
        <v>355034.6045303226</v>
      </c>
      <c r="Y24" s="72">
        <f>[4]明细表!D10</f>
        <v>67537</v>
      </c>
      <c r="Z24" s="84">
        <f>[4]明细表!E10</f>
        <v>62</v>
      </c>
      <c r="AA24" s="84"/>
      <c r="AB24" s="84"/>
      <c r="AC24" s="84">
        <f>[4]明细表!F10</f>
        <v>67475</v>
      </c>
      <c r="AD24" s="85">
        <f t="shared" si="25"/>
        <v>7.5570278793744876</v>
      </c>
      <c r="AE24" s="86">
        <f>[4]明细表!R10</f>
        <v>509910.45616079355</v>
      </c>
      <c r="AF24" s="72">
        <f>[5]明细表!D10</f>
        <v>72278</v>
      </c>
      <c r="AG24" s="84">
        <f>[5]明细表!E10</f>
        <v>60</v>
      </c>
      <c r="AH24" s="84"/>
      <c r="AI24" s="84"/>
      <c r="AJ24" s="84">
        <f>[5]明细表!G10</f>
        <v>72218</v>
      </c>
      <c r="AK24" s="85">
        <f t="shared" si="26"/>
        <v>7.5148663936864883</v>
      </c>
      <c r="AL24" s="86">
        <f>[5]明细表!S10</f>
        <v>542708.62121925084</v>
      </c>
      <c r="AM24" s="47">
        <f>[6]明细表!D10</f>
        <v>69086</v>
      </c>
      <c r="AN24" s="48">
        <f>[6]明细表!E10</f>
        <v>81</v>
      </c>
      <c r="AO24" s="48"/>
      <c r="AP24" s="40">
        <f>[6]明细表!F10</f>
        <v>2</v>
      </c>
      <c r="AQ24" s="40">
        <f>[6]明细表!G10</f>
        <v>69003</v>
      </c>
      <c r="AR24" s="81">
        <f t="shared" si="19"/>
        <v>7.5353006489800727</v>
      </c>
      <c r="AS24" s="30">
        <f>[6]明细表!S10</f>
        <v>519958.35068157193</v>
      </c>
      <c r="AT24" s="77">
        <f t="shared" si="6"/>
        <v>208901</v>
      </c>
      <c r="AU24" s="48">
        <f t="shared" si="6"/>
        <v>203</v>
      </c>
      <c r="AV24" s="48">
        <f t="shared" si="6"/>
        <v>0</v>
      </c>
      <c r="AW24" s="48">
        <f t="shared" si="6"/>
        <v>2</v>
      </c>
      <c r="AX24" s="48">
        <f t="shared" si="6"/>
        <v>208696</v>
      </c>
      <c r="AY24" s="81">
        <f t="shared" si="13"/>
        <v>7.5352542840381052</v>
      </c>
      <c r="AZ24" s="82">
        <f t="shared" si="7"/>
        <v>1572577.4280616164</v>
      </c>
      <c r="BA24" s="47">
        <f>[7]明细表!D10</f>
        <v>83715</v>
      </c>
      <c r="BB24" s="48">
        <f>[7]明细表!E10</f>
        <v>60</v>
      </c>
      <c r="BC24" s="48"/>
      <c r="BD24" s="48"/>
      <c r="BE24" s="48">
        <f>[7]明细表!F10</f>
        <v>83655</v>
      </c>
      <c r="BF24" s="81">
        <f t="shared" ref="BF24:BF52" si="28">BG24/BE24</f>
        <v>7.4297506508998881</v>
      </c>
      <c r="BG24" s="83">
        <f>[7]明细表!R10</f>
        <v>621535.79070103017</v>
      </c>
      <c r="BH24" s="46">
        <f>[8]明细表!D10</f>
        <v>93798</v>
      </c>
      <c r="BI24" s="40">
        <f>[8]明细表!E10</f>
        <v>62</v>
      </c>
      <c r="BJ24" s="48"/>
      <c r="BK24" s="48"/>
      <c r="BL24" s="40">
        <f>[8]明细表!G10</f>
        <v>93736</v>
      </c>
      <c r="BM24" s="81">
        <f t="shared" si="27"/>
        <v>7.3576690007972809</v>
      </c>
      <c r="BN24" s="33">
        <f>[8]明细表!S10</f>
        <v>689678.46145873389</v>
      </c>
      <c r="BO24" s="47">
        <f>明细表!D10</f>
        <v>69067</v>
      </c>
      <c r="BP24" s="48">
        <f>明细表!E10</f>
        <v>62</v>
      </c>
      <c r="BQ24" s="48"/>
      <c r="BR24" s="48"/>
      <c r="BS24" s="48">
        <f>明细表!F10</f>
        <v>69005</v>
      </c>
      <c r="BT24" s="81">
        <f t="shared" si="15"/>
        <v>6.4771864409764799</v>
      </c>
      <c r="BU24" s="83">
        <f>明细表!R10</f>
        <v>446958.25035958202</v>
      </c>
      <c r="BV24" s="47"/>
      <c r="BW24" s="48"/>
      <c r="BX24" s="48"/>
      <c r="BY24" s="48"/>
      <c r="BZ24" s="48"/>
      <c r="CA24" s="81"/>
      <c r="CB24" s="83"/>
      <c r="CC24" s="47"/>
      <c r="CD24" s="48"/>
      <c r="CE24" s="48"/>
      <c r="CF24" s="48"/>
      <c r="CG24" s="48"/>
      <c r="CH24" s="81"/>
      <c r="CI24" s="83"/>
      <c r="CJ24" s="47"/>
      <c r="CK24" s="48"/>
      <c r="CL24" s="48"/>
      <c r="CM24" s="48"/>
      <c r="CN24" s="48"/>
      <c r="CO24" s="81"/>
      <c r="CP24" s="83"/>
      <c r="CQ24" s="72">
        <f t="shared" si="16"/>
        <v>617557</v>
      </c>
      <c r="CR24" s="73">
        <f t="shared" si="8"/>
        <v>572</v>
      </c>
      <c r="CS24" s="73"/>
      <c r="CT24" s="48">
        <f t="shared" si="9"/>
        <v>2</v>
      </c>
      <c r="CU24" s="48">
        <f t="shared" si="10"/>
        <v>616983</v>
      </c>
      <c r="CV24" s="81">
        <f t="shared" si="2"/>
        <v>7.2641017937810632</v>
      </c>
      <c r="CW24" s="82">
        <f t="shared" si="11"/>
        <v>4481827.3170324219</v>
      </c>
    </row>
    <row r="25" spans="1:101" s="87" customFormat="1" x14ac:dyDescent="0.15">
      <c r="A25" s="460"/>
      <c r="B25" s="29">
        <v>15</v>
      </c>
      <c r="C25" s="80" t="s">
        <v>69</v>
      </c>
      <c r="D25" s="32"/>
      <c r="E25" s="29"/>
      <c r="F25" s="29"/>
      <c r="G25" s="29"/>
      <c r="H25" s="29"/>
      <c r="I25" s="81"/>
      <c r="J25" s="82"/>
      <c r="K25" s="31"/>
      <c r="L25" s="29"/>
      <c r="M25" s="32"/>
      <c r="N25" s="29"/>
      <c r="O25" s="29"/>
      <c r="P25" s="81"/>
      <c r="Q25" s="82"/>
      <c r="R25" s="28"/>
      <c r="S25" s="29"/>
      <c r="T25" s="29"/>
      <c r="U25" s="29"/>
      <c r="V25" s="29"/>
      <c r="W25" s="81"/>
      <c r="X25" s="83"/>
      <c r="Y25" s="72"/>
      <c r="Z25" s="84"/>
      <c r="AA25" s="84"/>
      <c r="AB25" s="84"/>
      <c r="AC25" s="84"/>
      <c r="AD25" s="85"/>
      <c r="AE25" s="86"/>
      <c r="AF25" s="72"/>
      <c r="AG25" s="84"/>
      <c r="AH25" s="84"/>
      <c r="AI25" s="84"/>
      <c r="AJ25" s="84"/>
      <c r="AK25" s="85"/>
      <c r="AL25" s="86"/>
      <c r="AM25" s="47"/>
      <c r="AN25" s="48"/>
      <c r="AO25" s="48"/>
      <c r="AP25" s="48"/>
      <c r="AQ25" s="48"/>
      <c r="AR25" s="81"/>
      <c r="AS25" s="82"/>
      <c r="AT25" s="77">
        <f t="shared" si="6"/>
        <v>0</v>
      </c>
      <c r="AU25" s="48">
        <f t="shared" si="6"/>
        <v>0</v>
      </c>
      <c r="AV25" s="48">
        <f t="shared" si="6"/>
        <v>0</v>
      </c>
      <c r="AW25" s="48">
        <f t="shared" si="6"/>
        <v>0</v>
      </c>
      <c r="AX25" s="73">
        <f t="shared" si="6"/>
        <v>0</v>
      </c>
      <c r="AY25" s="81" t="e">
        <f t="shared" si="13"/>
        <v>#DIV/0!</v>
      </c>
      <c r="AZ25" s="82">
        <f t="shared" si="7"/>
        <v>0</v>
      </c>
      <c r="BA25" s="47"/>
      <c r="BB25" s="48"/>
      <c r="BC25" s="48"/>
      <c r="BD25" s="48"/>
      <c r="BE25" s="48"/>
      <c r="BF25" s="81" t="e">
        <f t="shared" si="28"/>
        <v>#DIV/0!</v>
      </c>
      <c r="BG25" s="83"/>
      <c r="BH25" s="46">
        <f>[8]明细表!D11</f>
        <v>80283</v>
      </c>
      <c r="BI25" s="40">
        <f>[8]明细表!E11</f>
        <v>67</v>
      </c>
      <c r="BJ25" s="48"/>
      <c r="BK25" s="48"/>
      <c r="BL25" s="40">
        <f>[8]明细表!G11</f>
        <v>80214</v>
      </c>
      <c r="BM25" s="81">
        <f t="shared" si="27"/>
        <v>7.1552850168896498</v>
      </c>
      <c r="BN25" s="33">
        <f>[8]明细表!S11</f>
        <v>573954.03234478633</v>
      </c>
      <c r="BO25" s="47"/>
      <c r="BP25" s="48"/>
      <c r="BQ25" s="48"/>
      <c r="BR25" s="48"/>
      <c r="BS25" s="48"/>
      <c r="BT25" s="81"/>
      <c r="BU25" s="83"/>
      <c r="BV25" s="47"/>
      <c r="BW25" s="48"/>
      <c r="BX25" s="48"/>
      <c r="BY25" s="48"/>
      <c r="BZ25" s="48"/>
      <c r="CA25" s="81"/>
      <c r="CB25" s="83"/>
      <c r="CC25" s="47"/>
      <c r="CD25" s="48"/>
      <c r="CE25" s="48"/>
      <c r="CF25" s="48"/>
      <c r="CG25" s="48"/>
      <c r="CH25" s="81"/>
      <c r="CI25" s="83"/>
      <c r="CJ25" s="47"/>
      <c r="CK25" s="48"/>
      <c r="CL25" s="48"/>
      <c r="CM25" s="48"/>
      <c r="CN25" s="48"/>
      <c r="CO25" s="81"/>
      <c r="CP25" s="83"/>
      <c r="CQ25" s="72">
        <f t="shared" si="16"/>
        <v>80283</v>
      </c>
      <c r="CR25" s="73">
        <f t="shared" si="8"/>
        <v>67</v>
      </c>
      <c r="CS25" s="73"/>
      <c r="CT25" s="48"/>
      <c r="CU25" s="48">
        <f t="shared" si="10"/>
        <v>80214</v>
      </c>
      <c r="CV25" s="81">
        <f t="shared" si="2"/>
        <v>7.1552850168896498</v>
      </c>
      <c r="CW25" s="82">
        <f t="shared" si="11"/>
        <v>573954.03234478633</v>
      </c>
    </row>
    <row r="26" spans="1:101" s="87" customFormat="1" x14ac:dyDescent="0.15">
      <c r="A26" s="460"/>
      <c r="B26" s="29">
        <v>9</v>
      </c>
      <c r="C26" s="80" t="s">
        <v>12</v>
      </c>
      <c r="D26" s="32">
        <f>[1]明细表!D16</f>
        <v>55371</v>
      </c>
      <c r="E26" s="29">
        <f>[1]明细表!E16</f>
        <v>67</v>
      </c>
      <c r="F26" s="29"/>
      <c r="G26" s="29"/>
      <c r="H26" s="29">
        <f t="shared" si="5"/>
        <v>55304</v>
      </c>
      <c r="I26" s="81">
        <f t="shared" si="4"/>
        <v>6.5957462692891271</v>
      </c>
      <c r="J26" s="82">
        <f>[1]明细表!R16</f>
        <v>364771.15167676588</v>
      </c>
      <c r="K26" s="31">
        <f>[2]明细表!D16</f>
        <v>56800</v>
      </c>
      <c r="L26" s="29">
        <f>[2]明细表!E16</f>
        <v>62</v>
      </c>
      <c r="M26" s="32"/>
      <c r="N26" s="29"/>
      <c r="O26" s="29">
        <f>[2]明细表!F16</f>
        <v>56738</v>
      </c>
      <c r="P26" s="81">
        <f t="shared" si="0"/>
        <v>6.7646726170427005</v>
      </c>
      <c r="Q26" s="82">
        <f>[2]明细表!R16</f>
        <v>383813.99494576873</v>
      </c>
      <c r="R26" s="28">
        <f>[3]明细表!D11</f>
        <v>50995</v>
      </c>
      <c r="S26" s="29">
        <f>[3]明细表!E11</f>
        <v>56</v>
      </c>
      <c r="T26" s="29"/>
      <c r="U26" s="29"/>
      <c r="V26" s="29">
        <f>[3]明细表!F11</f>
        <v>50939</v>
      </c>
      <c r="W26" s="81">
        <f t="shared" si="24"/>
        <v>6.297448691357574</v>
      </c>
      <c r="X26" s="83">
        <f>[3]明细表!R11</f>
        <v>320785.73888906348</v>
      </c>
      <c r="Y26" s="72">
        <f>[4]明细表!D11</f>
        <v>67013</v>
      </c>
      <c r="Z26" s="84">
        <f>[4]明细表!E11</f>
        <v>67</v>
      </c>
      <c r="AA26" s="84"/>
      <c r="AB26" s="84"/>
      <c r="AC26" s="84">
        <f>[4]明细表!F11</f>
        <v>66946</v>
      </c>
      <c r="AD26" s="85">
        <f t="shared" si="25"/>
        <v>6.9492692862752747</v>
      </c>
      <c r="AE26" s="86">
        <f>[4]明细表!R11</f>
        <v>465225.78163898457</v>
      </c>
      <c r="AF26" s="72">
        <f>[5]明细表!D11</f>
        <v>65068</v>
      </c>
      <c r="AG26" s="84">
        <f>[5]明细表!E11</f>
        <v>60</v>
      </c>
      <c r="AH26" s="84"/>
      <c r="AI26" s="84">
        <f>[5]明细表!F11</f>
        <v>2</v>
      </c>
      <c r="AJ26" s="84">
        <f>[5]明细表!G11</f>
        <v>65006</v>
      </c>
      <c r="AK26" s="85">
        <f t="shared" si="26"/>
        <v>7.0881085434660154</v>
      </c>
      <c r="AL26" s="86">
        <f>[5]明细表!S11</f>
        <v>460769.58397655177</v>
      </c>
      <c r="AM26" s="47">
        <f>[6]明细表!D11</f>
        <v>61885</v>
      </c>
      <c r="AN26" s="48">
        <f>[6]明细表!E11</f>
        <v>70</v>
      </c>
      <c r="AO26" s="48"/>
      <c r="AP26" s="48">
        <f>[6]明细表!F11</f>
        <v>2</v>
      </c>
      <c r="AQ26" s="48">
        <f>[6]明细表!G11</f>
        <v>61813</v>
      </c>
      <c r="AR26" s="81">
        <f t="shared" si="19"/>
        <v>7.0790184594783891</v>
      </c>
      <c r="AS26" s="82">
        <f>[6]明细表!S11</f>
        <v>437575.36803573766</v>
      </c>
      <c r="AT26" s="77">
        <f t="shared" si="6"/>
        <v>193966</v>
      </c>
      <c r="AU26" s="48">
        <f t="shared" si="6"/>
        <v>197</v>
      </c>
      <c r="AV26" s="48">
        <f t="shared" si="6"/>
        <v>0</v>
      </c>
      <c r="AW26" s="48">
        <f t="shared" si="6"/>
        <v>4</v>
      </c>
      <c r="AX26" s="73">
        <f t="shared" si="6"/>
        <v>193765</v>
      </c>
      <c r="AY26" s="81">
        <f t="shared" si="13"/>
        <v>7.0372396131978112</v>
      </c>
      <c r="AZ26" s="82">
        <f t="shared" si="7"/>
        <v>1363570.7336512739</v>
      </c>
      <c r="BA26" s="47">
        <f>[7]明细表!D11</f>
        <v>76831</v>
      </c>
      <c r="BB26" s="48">
        <f>[7]明细表!E11</f>
        <v>60</v>
      </c>
      <c r="BC26" s="48"/>
      <c r="BD26" s="48"/>
      <c r="BE26" s="48">
        <f>[7]明细表!F11</f>
        <v>76771</v>
      </c>
      <c r="BF26" s="81">
        <f t="shared" si="28"/>
        <v>7.3862655353579294</v>
      </c>
      <c r="BG26" s="83">
        <f>[7]明细表!R11</f>
        <v>567050.99141496362</v>
      </c>
      <c r="BH26" s="46">
        <f>[8]明细表!D12</f>
        <v>5601</v>
      </c>
      <c r="BI26" s="40">
        <f>[8]明细表!E12</f>
        <v>62</v>
      </c>
      <c r="BJ26" s="48"/>
      <c r="BK26" s="48">
        <v>2</v>
      </c>
      <c r="BL26" s="40">
        <f>[8]明细表!G12</f>
        <v>5539</v>
      </c>
      <c r="BM26" s="81">
        <f t="shared" si="27"/>
        <v>9.205595058601368</v>
      </c>
      <c r="BN26" s="33">
        <f>[8]明细表!S12</f>
        <v>50989.791029592976</v>
      </c>
      <c r="BO26" s="47">
        <f>明细表!D11</f>
        <v>55330</v>
      </c>
      <c r="BP26" s="48">
        <f>明细表!E11</f>
        <v>62</v>
      </c>
      <c r="BQ26" s="48"/>
      <c r="BR26" s="48"/>
      <c r="BS26" s="48">
        <f>明细表!F11</f>
        <v>55268</v>
      </c>
      <c r="BT26" s="81">
        <f t="shared" si="15"/>
        <v>7.5806346265183402</v>
      </c>
      <c r="BU26" s="83">
        <f>明细表!R11</f>
        <v>418966.51453841565</v>
      </c>
      <c r="BV26" s="47"/>
      <c r="BW26" s="48"/>
      <c r="BX26" s="48"/>
      <c r="BY26" s="48"/>
      <c r="BZ26" s="48"/>
      <c r="CA26" s="81"/>
      <c r="CB26" s="83"/>
      <c r="CC26" s="47"/>
      <c r="CD26" s="48"/>
      <c r="CE26" s="48"/>
      <c r="CF26" s="48"/>
      <c r="CG26" s="48"/>
      <c r="CH26" s="81"/>
      <c r="CI26" s="83"/>
      <c r="CJ26" s="47"/>
      <c r="CK26" s="48"/>
      <c r="CL26" s="48"/>
      <c r="CM26" s="48"/>
      <c r="CN26" s="48"/>
      <c r="CO26" s="81"/>
      <c r="CP26" s="83"/>
      <c r="CQ26" s="77">
        <f t="shared" si="16"/>
        <v>494894</v>
      </c>
      <c r="CR26" s="73">
        <f t="shared" si="8"/>
        <v>566</v>
      </c>
      <c r="CS26" s="73"/>
      <c r="CT26" s="48">
        <f t="shared" si="9"/>
        <v>6</v>
      </c>
      <c r="CU26" s="48">
        <f t="shared" si="10"/>
        <v>494324</v>
      </c>
      <c r="CV26" s="81">
        <f t="shared" si="2"/>
        <v>7.01958415158043</v>
      </c>
      <c r="CW26" s="82">
        <f t="shared" si="11"/>
        <v>3469948.9161458444</v>
      </c>
    </row>
    <row r="27" spans="1:101" s="87" customFormat="1" x14ac:dyDescent="0.15">
      <c r="A27" s="460"/>
      <c r="B27" s="29">
        <v>10</v>
      </c>
      <c r="C27" s="80" t="s">
        <v>13</v>
      </c>
      <c r="D27" s="32">
        <f>[1]明细表!D17</f>
        <v>5503</v>
      </c>
      <c r="E27" s="29">
        <f>[1]明细表!E17</f>
        <v>62</v>
      </c>
      <c r="F27" s="29"/>
      <c r="G27" s="29"/>
      <c r="H27" s="29">
        <f t="shared" si="5"/>
        <v>5441</v>
      </c>
      <c r="I27" s="81">
        <f t="shared" si="4"/>
        <v>8.4831873015738832</v>
      </c>
      <c r="J27" s="82">
        <f>[1]明细表!R17</f>
        <v>46157.0221078635</v>
      </c>
      <c r="K27" s="31">
        <f>[2]明细表!D17</f>
        <v>6597</v>
      </c>
      <c r="L27" s="29">
        <f>[2]明细表!E17</f>
        <v>62</v>
      </c>
      <c r="M27" s="32"/>
      <c r="N27" s="29"/>
      <c r="O27" s="29">
        <f>[2]明细表!F17</f>
        <v>6535</v>
      </c>
      <c r="P27" s="81">
        <f t="shared" si="0"/>
        <v>8.3372531386110804</v>
      </c>
      <c r="Q27" s="82">
        <f>[2]明细表!R17</f>
        <v>54483.949260823414</v>
      </c>
      <c r="R27" s="28">
        <f>[3]明细表!D12</f>
        <v>5599</v>
      </c>
      <c r="S27" s="29">
        <f>[3]明细表!E12</f>
        <v>61</v>
      </c>
      <c r="T27" s="29"/>
      <c r="U27" s="29"/>
      <c r="V27" s="29">
        <f>[3]明细表!F12</f>
        <v>5538</v>
      </c>
      <c r="W27" s="81">
        <f t="shared" si="24"/>
        <v>8.1889887597365441</v>
      </c>
      <c r="X27" s="83">
        <f>[3]明细表!R12</f>
        <v>45350.619751420978</v>
      </c>
      <c r="Y27" s="72">
        <f>[4]明细表!D12</f>
        <v>7001</v>
      </c>
      <c r="Z27" s="84">
        <f>[4]明细表!E12</f>
        <v>62</v>
      </c>
      <c r="AA27" s="84"/>
      <c r="AB27" s="84"/>
      <c r="AC27" s="84">
        <f>[4]明细表!F12</f>
        <v>6939</v>
      </c>
      <c r="AD27" s="85">
        <f t="shared" si="25"/>
        <v>8.838913014010668</v>
      </c>
      <c r="AE27" s="86">
        <f>[4]明细表!R12</f>
        <v>61333.217404220028</v>
      </c>
      <c r="AF27" s="72">
        <f>[5]明细表!D12</f>
        <v>6217</v>
      </c>
      <c r="AG27" s="84">
        <f>[5]明细表!E12</f>
        <v>60</v>
      </c>
      <c r="AH27" s="84"/>
      <c r="AI27" s="84"/>
      <c r="AJ27" s="84">
        <f>[5]明细表!G12</f>
        <v>6157</v>
      </c>
      <c r="AK27" s="85">
        <f t="shared" si="26"/>
        <v>9.0914055910303126</v>
      </c>
      <c r="AL27" s="86">
        <f>[5]明细表!S12</f>
        <v>55975.784223973635</v>
      </c>
      <c r="AM27" s="47">
        <f>[6]明细表!D12</f>
        <v>7099</v>
      </c>
      <c r="AN27" s="48">
        <f>[6]明细表!E12</f>
        <v>64</v>
      </c>
      <c r="AO27" s="48"/>
      <c r="AP27" s="48">
        <f>[6]明细表!F12</f>
        <v>2</v>
      </c>
      <c r="AQ27" s="48">
        <f>[6]明细表!G12</f>
        <v>7033</v>
      </c>
      <c r="AR27" s="81">
        <f t="shared" si="19"/>
        <v>8.9817864270337804</v>
      </c>
      <c r="AS27" s="82">
        <f>[6]明细表!S12</f>
        <v>63168.903941328579</v>
      </c>
      <c r="AT27" s="77">
        <f t="shared" si="6"/>
        <v>20317</v>
      </c>
      <c r="AU27" s="48">
        <f t="shared" si="6"/>
        <v>186</v>
      </c>
      <c r="AV27" s="48">
        <f t="shared" si="6"/>
        <v>0</v>
      </c>
      <c r="AW27" s="48">
        <f t="shared" si="6"/>
        <v>2</v>
      </c>
      <c r="AX27" s="73">
        <f t="shared" si="6"/>
        <v>20129</v>
      </c>
      <c r="AY27" s="81">
        <f t="shared" si="13"/>
        <v>8.96606416461435</v>
      </c>
      <c r="AZ27" s="82">
        <f t="shared" si="7"/>
        <v>180477.90556952223</v>
      </c>
      <c r="BA27" s="47">
        <f>[7]明细表!D12</f>
        <v>7357</v>
      </c>
      <c r="BB27" s="48">
        <f>[7]明细表!E12</f>
        <v>60</v>
      </c>
      <c r="BC27" s="48"/>
      <c r="BD27" s="48"/>
      <c r="BE27" s="48">
        <f>[7]明细表!F12</f>
        <v>7297</v>
      </c>
      <c r="BF27" s="81">
        <f t="shared" si="28"/>
        <v>8.9262449772690644</v>
      </c>
      <c r="BG27" s="83">
        <f>[7]明细表!R12</f>
        <v>65134.809599132364</v>
      </c>
      <c r="BH27" s="46">
        <f>[8]明细表!D13</f>
        <v>61889</v>
      </c>
      <c r="BI27" s="40">
        <f>[8]明细表!E13</f>
        <v>62</v>
      </c>
      <c r="BJ27" s="48"/>
      <c r="BK27" s="48"/>
      <c r="BL27" s="40">
        <f>[8]明细表!G13</f>
        <v>61827</v>
      </c>
      <c r="BM27" s="81">
        <f t="shared" si="27"/>
        <v>6.6924829133911237</v>
      </c>
      <c r="BN27" s="33">
        <f>[8]明细表!S13</f>
        <v>413776.14108623302</v>
      </c>
      <c r="BO27" s="47">
        <f>明细表!D12</f>
        <v>3812</v>
      </c>
      <c r="BP27" s="48">
        <f>明细表!E12</f>
        <v>62</v>
      </c>
      <c r="BQ27" s="48"/>
      <c r="BR27" s="48"/>
      <c r="BS27" s="48">
        <f>明细表!F12</f>
        <v>3750</v>
      </c>
      <c r="BT27" s="81">
        <f t="shared" si="15"/>
        <v>8.7541345846375656</v>
      </c>
      <c r="BU27" s="83">
        <f>明细表!R12</f>
        <v>32828.004692390874</v>
      </c>
      <c r="BV27" s="47"/>
      <c r="BW27" s="48"/>
      <c r="BX27" s="48"/>
      <c r="BY27" s="48"/>
      <c r="BZ27" s="48"/>
      <c r="CA27" s="81"/>
      <c r="CB27" s="83"/>
      <c r="CC27" s="47"/>
      <c r="CD27" s="48"/>
      <c r="CE27" s="48"/>
      <c r="CF27" s="48"/>
      <c r="CG27" s="48"/>
      <c r="CH27" s="81"/>
      <c r="CI27" s="83"/>
      <c r="CJ27" s="47"/>
      <c r="CK27" s="48"/>
      <c r="CL27" s="48"/>
      <c r="CM27" s="48"/>
      <c r="CN27" s="48"/>
      <c r="CO27" s="81"/>
      <c r="CP27" s="83"/>
      <c r="CQ27" s="77">
        <f t="shared" si="16"/>
        <v>111074</v>
      </c>
      <c r="CR27" s="73">
        <f t="shared" si="8"/>
        <v>555</v>
      </c>
      <c r="CS27" s="73"/>
      <c r="CT27" s="48">
        <f t="shared" si="9"/>
        <v>2</v>
      </c>
      <c r="CU27" s="48">
        <f t="shared" si="10"/>
        <v>110517</v>
      </c>
      <c r="CV27" s="81">
        <f t="shared" si="2"/>
        <v>7.5844300159015035</v>
      </c>
      <c r="CW27" s="82">
        <f t="shared" si="11"/>
        <v>838208.45206738648</v>
      </c>
    </row>
    <row r="28" spans="1:101" s="87" customFormat="1" x14ac:dyDescent="0.15">
      <c r="A28" s="460"/>
      <c r="B28" s="29">
        <v>11</v>
      </c>
      <c r="C28" s="80" t="str">
        <f>[1]明细表!C18</f>
        <v>45元香菇卤肉饭套餐</v>
      </c>
      <c r="D28" s="32">
        <f>[1]明细表!D18</f>
        <v>39957</v>
      </c>
      <c r="E28" s="29">
        <f>[1]明细表!E18</f>
        <v>62</v>
      </c>
      <c r="F28" s="29"/>
      <c r="G28" s="29"/>
      <c r="H28" s="29">
        <f t="shared" si="5"/>
        <v>39895</v>
      </c>
      <c r="I28" s="81">
        <f t="shared" si="4"/>
        <v>6.4673372696289277</v>
      </c>
      <c r="J28" s="82">
        <f>[1]明细表!R18</f>
        <v>258014.42037184606</v>
      </c>
      <c r="K28" s="31">
        <f>[2]明细表!D18</f>
        <v>39780</v>
      </c>
      <c r="L28" s="29">
        <f>[2]明细表!E18</f>
        <v>67</v>
      </c>
      <c r="M28" s="32"/>
      <c r="N28" s="29"/>
      <c r="O28" s="29">
        <f>[2]明细表!F18</f>
        <v>39713</v>
      </c>
      <c r="P28" s="81">
        <f t="shared" si="0"/>
        <v>6.4650964388118268</v>
      </c>
      <c r="Q28" s="82">
        <f>[2]明细表!R18</f>
        <v>256748.37487453409</v>
      </c>
      <c r="R28" s="28">
        <f>[3]明细表!D13</f>
        <v>39028</v>
      </c>
      <c r="S28" s="29">
        <f>[3]明细表!E13</f>
        <v>56</v>
      </c>
      <c r="T28" s="29"/>
      <c r="U28" s="29"/>
      <c r="V28" s="29">
        <f>[3]明细表!F13</f>
        <v>38972</v>
      </c>
      <c r="W28" s="81">
        <f t="shared" si="24"/>
        <v>6.0034148931826499</v>
      </c>
      <c r="X28" s="83">
        <f>[3]明细表!R13</f>
        <v>233965.08521711422</v>
      </c>
      <c r="Y28" s="72">
        <f>[4]明细表!D13</f>
        <v>51048</v>
      </c>
      <c r="Z28" s="84">
        <f>[4]明细表!E13</f>
        <v>62</v>
      </c>
      <c r="AA28" s="84"/>
      <c r="AB28" s="84"/>
      <c r="AC28" s="84">
        <f>[4]明细表!F13</f>
        <v>50986</v>
      </c>
      <c r="AD28" s="85">
        <f t="shared" si="25"/>
        <v>6.6645814522104914</v>
      </c>
      <c r="AE28" s="86">
        <f>[4]明细表!R13</f>
        <v>339800.3499224041</v>
      </c>
      <c r="AF28" s="72">
        <f>[5]明细表!D13</f>
        <v>48527</v>
      </c>
      <c r="AG28" s="84">
        <f>[5]明细表!E13</f>
        <v>60</v>
      </c>
      <c r="AH28" s="84"/>
      <c r="AI28" s="84"/>
      <c r="AJ28" s="84">
        <f>[5]明细表!G13</f>
        <v>48467</v>
      </c>
      <c r="AK28" s="85">
        <f t="shared" si="26"/>
        <v>6.7798397214729302</v>
      </c>
      <c r="AL28" s="86">
        <f>[5]明细表!S13</f>
        <v>328598.49178062851</v>
      </c>
      <c r="AM28" s="47">
        <f>[6]明细表!D13</f>
        <v>47713</v>
      </c>
      <c r="AN28" s="48">
        <f>[6]明细表!E13</f>
        <v>62</v>
      </c>
      <c r="AO28" s="48"/>
      <c r="AP28" s="48">
        <f>[6]明细表!F13</f>
        <v>2</v>
      </c>
      <c r="AQ28" s="48">
        <f>[6]明细表!G13</f>
        <v>47649</v>
      </c>
      <c r="AR28" s="81">
        <f t="shared" si="19"/>
        <v>6.7062202802515785</v>
      </c>
      <c r="AS28" s="82">
        <f>[6]明细表!S13</f>
        <v>319544.69013370748</v>
      </c>
      <c r="AT28" s="77">
        <f t="shared" si="6"/>
        <v>147288</v>
      </c>
      <c r="AU28" s="48">
        <f t="shared" si="6"/>
        <v>184</v>
      </c>
      <c r="AV28" s="48">
        <f t="shared" si="6"/>
        <v>0</v>
      </c>
      <c r="AW28" s="48">
        <f t="shared" si="6"/>
        <v>2</v>
      </c>
      <c r="AX28" s="73">
        <f t="shared" si="6"/>
        <v>147102</v>
      </c>
      <c r="AY28" s="81">
        <f t="shared" si="13"/>
        <v>6.7160441859168474</v>
      </c>
      <c r="AZ28" s="82">
        <f t="shared" si="7"/>
        <v>987943.53183674009</v>
      </c>
      <c r="BA28" s="47">
        <f>[7]明细表!D13</f>
        <v>55953</v>
      </c>
      <c r="BB28" s="48">
        <f>[7]明细表!E13</f>
        <v>60</v>
      </c>
      <c r="BC28" s="48"/>
      <c r="BD28" s="48"/>
      <c r="BE28" s="48">
        <f>[7]明细表!F13</f>
        <v>55893</v>
      </c>
      <c r="BF28" s="81">
        <f t="shared" si="28"/>
        <v>6.5915176212119402</v>
      </c>
      <c r="BG28" s="83">
        <f>[7]明细表!R13</f>
        <v>368419.69440239895</v>
      </c>
      <c r="BH28" s="46">
        <f>[8]明细表!D14</f>
        <v>12132</v>
      </c>
      <c r="BI28" s="40">
        <f>[8]明细表!E14</f>
        <v>62</v>
      </c>
      <c r="BJ28" s="48"/>
      <c r="BK28" s="48"/>
      <c r="BL28" s="40">
        <f>[8]明细表!G14</f>
        <v>12068</v>
      </c>
      <c r="BM28" s="81">
        <f t="shared" si="27"/>
        <v>12.685074166174891</v>
      </c>
      <c r="BN28" s="33">
        <f>[8]明细表!S14</f>
        <v>153083.47503739857</v>
      </c>
      <c r="BO28" s="47">
        <f>明细表!D13</f>
        <v>43051</v>
      </c>
      <c r="BP28" s="48">
        <f>明细表!E13</f>
        <v>62</v>
      </c>
      <c r="BQ28" s="48"/>
      <c r="BR28" s="48"/>
      <c r="BS28" s="48">
        <f>明细表!F13</f>
        <v>42989</v>
      </c>
      <c r="BT28" s="81">
        <f t="shared" si="15"/>
        <v>6.9959992681908396</v>
      </c>
      <c r="BU28" s="83">
        <f>明细表!R13</f>
        <v>300751.01254025602</v>
      </c>
      <c r="BV28" s="47"/>
      <c r="BW28" s="48"/>
      <c r="BX28" s="48"/>
      <c r="BY28" s="48"/>
      <c r="BZ28" s="48"/>
      <c r="CA28" s="81"/>
      <c r="CB28" s="83"/>
      <c r="CC28" s="47"/>
      <c r="CD28" s="48"/>
      <c r="CE28" s="48"/>
      <c r="CF28" s="48"/>
      <c r="CG28" s="48"/>
      <c r="CH28" s="81"/>
      <c r="CI28" s="83"/>
      <c r="CJ28" s="47"/>
      <c r="CK28" s="48"/>
      <c r="CL28" s="48"/>
      <c r="CM28" s="48"/>
      <c r="CN28" s="48"/>
      <c r="CO28" s="81"/>
      <c r="CP28" s="83"/>
      <c r="CQ28" s="77">
        <f t="shared" si="16"/>
        <v>377189</v>
      </c>
      <c r="CR28" s="73">
        <f t="shared" si="8"/>
        <v>553</v>
      </c>
      <c r="CS28" s="73"/>
      <c r="CT28" s="48">
        <f t="shared" si="9"/>
        <v>2</v>
      </c>
      <c r="CU28" s="48">
        <f t="shared" si="10"/>
        <v>376632</v>
      </c>
      <c r="CV28" s="81">
        <f t="shared" si="2"/>
        <v>6.7942330823729478</v>
      </c>
      <c r="CW28" s="82">
        <f t="shared" si="11"/>
        <v>2558925.5942802881</v>
      </c>
    </row>
    <row r="29" spans="1:101" s="87" customFormat="1" x14ac:dyDescent="0.15">
      <c r="A29" s="460"/>
      <c r="B29" s="29">
        <v>12</v>
      </c>
      <c r="C29" s="80" t="str">
        <f>[1]明细表!C19</f>
        <v>45元椒香水煮鱼套餐</v>
      </c>
      <c r="D29" s="32">
        <f>[1]明细表!D19</f>
        <v>16757</v>
      </c>
      <c r="E29" s="29">
        <f>[1]明细表!E19</f>
        <v>62</v>
      </c>
      <c r="F29" s="29"/>
      <c r="G29" s="29"/>
      <c r="H29" s="29">
        <f t="shared" si="5"/>
        <v>16695</v>
      </c>
      <c r="I29" s="81">
        <f t="shared" si="4"/>
        <v>12.106209592006076</v>
      </c>
      <c r="J29" s="82">
        <f>[1]明细表!R19</f>
        <v>202113.16913854145</v>
      </c>
      <c r="K29" s="31">
        <f>[2]明细表!D19</f>
        <v>13898</v>
      </c>
      <c r="L29" s="29">
        <f>[2]明细表!E19</f>
        <v>62</v>
      </c>
      <c r="M29" s="32"/>
      <c r="N29" s="29"/>
      <c r="O29" s="29">
        <f>[2]明细表!F19:F19</f>
        <v>13836</v>
      </c>
      <c r="P29" s="81">
        <f t="shared" si="0"/>
        <v>12.238901547509091</v>
      </c>
      <c r="Q29" s="82">
        <f>[2]明细表!R19</f>
        <v>169337.44181133577</v>
      </c>
      <c r="R29" s="28">
        <f>[3]明细表!D14</f>
        <v>12942</v>
      </c>
      <c r="S29" s="29">
        <f>[3]明细表!E14</f>
        <v>56</v>
      </c>
      <c r="T29" s="29"/>
      <c r="U29" s="29"/>
      <c r="V29" s="29">
        <f>[3]明细表!F14</f>
        <v>12886</v>
      </c>
      <c r="W29" s="81">
        <f t="shared" si="24"/>
        <v>12.231857789462726</v>
      </c>
      <c r="X29" s="83">
        <f>[3]明细表!R14</f>
        <v>157619.7194750167</v>
      </c>
      <c r="Y29" s="72">
        <f>[4]明细表!D14</f>
        <v>15722</v>
      </c>
      <c r="Z29" s="84">
        <f>[4]明细表!E14</f>
        <v>62</v>
      </c>
      <c r="AA29" s="84"/>
      <c r="AB29" s="84"/>
      <c r="AC29" s="84">
        <f>[4]明细表!F14</f>
        <v>15660</v>
      </c>
      <c r="AD29" s="85">
        <f t="shared" si="25"/>
        <v>12.434109268055067</v>
      </c>
      <c r="AE29" s="86">
        <f>[4]明细表!R14</f>
        <v>194718.15113774236</v>
      </c>
      <c r="AF29" s="72">
        <f>[5]明细表!D14</f>
        <v>13747</v>
      </c>
      <c r="AG29" s="84">
        <f>[5]明细表!E14</f>
        <v>65</v>
      </c>
      <c r="AH29" s="84"/>
      <c r="AI29" s="84">
        <f>[5]明细表!F14</f>
        <v>2</v>
      </c>
      <c r="AJ29" s="84">
        <f>[5]明细表!G14</f>
        <v>13680</v>
      </c>
      <c r="AK29" s="85">
        <f t="shared" si="26"/>
        <v>12.256660277908281</v>
      </c>
      <c r="AL29" s="86">
        <f>[5]明细表!S14</f>
        <v>167671.11260178528</v>
      </c>
      <c r="AM29" s="47">
        <f>[6]明细表!D14</f>
        <v>13467</v>
      </c>
      <c r="AN29" s="48">
        <f>[6]明细表!E14</f>
        <v>64</v>
      </c>
      <c r="AO29" s="48"/>
      <c r="AP29" s="48">
        <f>[6]明细表!F14</f>
        <v>2</v>
      </c>
      <c r="AQ29" s="48">
        <f>[6]明细表!G14</f>
        <v>13401</v>
      </c>
      <c r="AR29" s="81">
        <f t="shared" si="19"/>
        <v>12.472311572250506</v>
      </c>
      <c r="AS29" s="82">
        <f>[6]明细表!S14</f>
        <v>167141.44737972904</v>
      </c>
      <c r="AT29" s="77">
        <f t="shared" si="6"/>
        <v>42936</v>
      </c>
      <c r="AU29" s="48">
        <f t="shared" si="6"/>
        <v>191</v>
      </c>
      <c r="AV29" s="48">
        <f t="shared" si="6"/>
        <v>0</v>
      </c>
      <c r="AW29" s="48">
        <f t="shared" si="6"/>
        <v>4</v>
      </c>
      <c r="AX29" s="73">
        <f t="shared" si="6"/>
        <v>42741</v>
      </c>
      <c r="AY29" s="81">
        <f t="shared" si="13"/>
        <v>12.389291572945337</v>
      </c>
      <c r="AZ29" s="82">
        <f t="shared" si="7"/>
        <v>529530.71111925668</v>
      </c>
      <c r="BA29" s="47">
        <f>[7]明细表!D14</f>
        <v>13064</v>
      </c>
      <c r="BB29" s="48">
        <f>[7]明细表!E14</f>
        <v>60</v>
      </c>
      <c r="BC29" s="48"/>
      <c r="BD29" s="48"/>
      <c r="BE29" s="48">
        <f>[7]明细表!F14</f>
        <v>13004</v>
      </c>
      <c r="BF29" s="81">
        <f t="shared" si="28"/>
        <v>13.306079599844495</v>
      </c>
      <c r="BG29" s="83">
        <f>[7]明细表!R14</f>
        <v>173032.2591163778</v>
      </c>
      <c r="BH29" s="46">
        <f>[8]明细表!D15</f>
        <v>4996</v>
      </c>
      <c r="BI29" s="40">
        <f>[8]明细表!E15</f>
        <v>67</v>
      </c>
      <c r="BJ29" s="48"/>
      <c r="BK29" s="48">
        <v>2</v>
      </c>
      <c r="BL29" s="40">
        <f>[8]明细表!G15</f>
        <v>4928</v>
      </c>
      <c r="BM29" s="81">
        <f t="shared" si="27"/>
        <v>12.58082713420454</v>
      </c>
      <c r="BN29" s="33">
        <f>[8]明细表!S15</f>
        <v>61998.316117359973</v>
      </c>
      <c r="BO29" s="47">
        <f>明细表!D14</f>
        <v>8220</v>
      </c>
      <c r="BP29" s="48">
        <f>明细表!E14</f>
        <v>62</v>
      </c>
      <c r="BQ29" s="48"/>
      <c r="BR29" s="48"/>
      <c r="BS29" s="48">
        <f>明细表!F14</f>
        <v>8158</v>
      </c>
      <c r="BT29" s="81">
        <f t="shared" si="15"/>
        <v>12.428654836272718</v>
      </c>
      <c r="BU29" s="83">
        <f>明细表!R14</f>
        <v>101392.96615431283</v>
      </c>
      <c r="BV29" s="47"/>
      <c r="BW29" s="48"/>
      <c r="BX29" s="48"/>
      <c r="BY29" s="48"/>
      <c r="BZ29" s="48"/>
      <c r="CA29" s="81"/>
      <c r="CB29" s="83"/>
      <c r="CC29" s="47"/>
      <c r="CD29" s="48"/>
      <c r="CE29" s="48"/>
      <c r="CF29" s="48"/>
      <c r="CG29" s="48"/>
      <c r="CH29" s="81"/>
      <c r="CI29" s="83"/>
      <c r="CJ29" s="47"/>
      <c r="CK29" s="48"/>
      <c r="CL29" s="48"/>
      <c r="CM29" s="48"/>
      <c r="CN29" s="48"/>
      <c r="CO29" s="81"/>
      <c r="CP29" s="83"/>
      <c r="CQ29" s="77">
        <f t="shared" si="16"/>
        <v>112813</v>
      </c>
      <c r="CR29" s="73">
        <f t="shared" si="8"/>
        <v>560</v>
      </c>
      <c r="CS29" s="73"/>
      <c r="CT29" s="48">
        <f t="shared" si="9"/>
        <v>6</v>
      </c>
      <c r="CU29" s="48">
        <f t="shared" si="10"/>
        <v>112248</v>
      </c>
      <c r="CV29" s="81">
        <f t="shared" si="2"/>
        <v>12.428057363447021</v>
      </c>
      <c r="CW29" s="82">
        <f t="shared" si="11"/>
        <v>1395024.5829322012</v>
      </c>
    </row>
    <row r="30" spans="1:101" s="87" customFormat="1" x14ac:dyDescent="0.15">
      <c r="A30" s="460"/>
      <c r="B30" s="29">
        <v>13</v>
      </c>
      <c r="C30" s="80" t="str">
        <f>[5]明细表!C15</f>
        <v>45元草菇蒸滑鸡套餐</v>
      </c>
      <c r="D30" s="32"/>
      <c r="E30" s="29"/>
      <c r="F30" s="29"/>
      <c r="G30" s="29"/>
      <c r="H30" s="29"/>
      <c r="I30" s="81"/>
      <c r="J30" s="82"/>
      <c r="K30" s="31"/>
      <c r="L30" s="29"/>
      <c r="M30" s="32"/>
      <c r="N30" s="29"/>
      <c r="O30" s="29"/>
      <c r="P30" s="81"/>
      <c r="Q30" s="82"/>
      <c r="R30" s="31"/>
      <c r="S30" s="29"/>
      <c r="T30" s="32"/>
      <c r="U30" s="29"/>
      <c r="V30" s="29"/>
      <c r="W30" s="81"/>
      <c r="X30" s="83"/>
      <c r="Y30" s="72"/>
      <c r="Z30" s="84"/>
      <c r="AA30" s="84"/>
      <c r="AB30" s="84"/>
      <c r="AC30" s="84"/>
      <c r="AD30" s="85"/>
      <c r="AE30" s="86"/>
      <c r="AF30" s="72">
        <f>[5]明细表!D15</f>
        <v>1846</v>
      </c>
      <c r="AG30" s="84">
        <f>[5]明细表!E15</f>
        <v>36</v>
      </c>
      <c r="AH30" s="84"/>
      <c r="AI30" s="84">
        <f>[5]明细表!F15</f>
        <v>2</v>
      </c>
      <c r="AJ30" s="84">
        <f>[5]明细表!G15</f>
        <v>1808</v>
      </c>
      <c r="AK30" s="85">
        <f t="shared" si="26"/>
        <v>12.77242465197028</v>
      </c>
      <c r="AL30" s="86">
        <f>[5]明细表!S15</f>
        <v>23092.543770762266</v>
      </c>
      <c r="AM30" s="47">
        <f>[6]明细表!D15</f>
        <v>3282</v>
      </c>
      <c r="AN30" s="48">
        <f>[6]明细表!E15</f>
        <v>62</v>
      </c>
      <c r="AO30" s="48"/>
      <c r="AP30" s="48">
        <f>[6]明细表!F15</f>
        <v>2</v>
      </c>
      <c r="AQ30" s="48">
        <f>[6]明细表!G15</f>
        <v>3218</v>
      </c>
      <c r="AR30" s="81">
        <f t="shared" si="19"/>
        <v>12.329230341102063</v>
      </c>
      <c r="AS30" s="82">
        <f>[6]明细表!S15</f>
        <v>39675.463237666438</v>
      </c>
      <c r="AT30" s="77">
        <f t="shared" si="6"/>
        <v>5128</v>
      </c>
      <c r="AU30" s="48">
        <f t="shared" si="6"/>
        <v>98</v>
      </c>
      <c r="AV30" s="48">
        <f t="shared" si="6"/>
        <v>0</v>
      </c>
      <c r="AW30" s="48">
        <f t="shared" si="6"/>
        <v>4</v>
      </c>
      <c r="AX30" s="73">
        <f t="shared" si="6"/>
        <v>5026</v>
      </c>
      <c r="AY30" s="81">
        <f t="shared" si="13"/>
        <v>12.488660367773319</v>
      </c>
      <c r="AZ30" s="82">
        <f t="shared" si="7"/>
        <v>62768.0070084287</v>
      </c>
      <c r="BA30" s="47">
        <f>[7]明细表!D15</f>
        <v>4276</v>
      </c>
      <c r="BB30" s="48">
        <f>[7]明细表!E15</f>
        <v>60</v>
      </c>
      <c r="BC30" s="48"/>
      <c r="BD30" s="48"/>
      <c r="BE30" s="48">
        <f>[7]明细表!F15</f>
        <v>4216</v>
      </c>
      <c r="BF30" s="81">
        <f t="shared" si="28"/>
        <v>12.382471267683378</v>
      </c>
      <c r="BG30" s="83">
        <f>[7]明细表!R15</f>
        <v>52204.498864553127</v>
      </c>
      <c r="BH30" s="46">
        <f>[8]明细表!D16</f>
        <v>296981</v>
      </c>
      <c r="BI30" s="40">
        <f>[8]明细表!E16</f>
        <v>444</v>
      </c>
      <c r="BJ30" s="48"/>
      <c r="BK30" s="48">
        <v>1</v>
      </c>
      <c r="BL30" s="40">
        <f>[8]明细表!G16</f>
        <v>296532</v>
      </c>
      <c r="BM30" s="81">
        <f t="shared" si="27"/>
        <v>7.7682175077034357</v>
      </c>
      <c r="BN30" s="33">
        <f>[8]明细表!S16</f>
        <v>2303525.0739943152</v>
      </c>
      <c r="BO30" s="47">
        <f>明细表!D15</f>
        <v>3862</v>
      </c>
      <c r="BP30" s="48">
        <f>明细表!E15</f>
        <v>62</v>
      </c>
      <c r="BQ30" s="48"/>
      <c r="BR30" s="48"/>
      <c r="BS30" s="48">
        <f>明细表!F15</f>
        <v>3800</v>
      </c>
      <c r="BT30" s="81">
        <f t="shared" si="15"/>
        <v>11.776152471497486</v>
      </c>
      <c r="BU30" s="83">
        <f>明细表!R15</f>
        <v>44749.379391690447</v>
      </c>
      <c r="BV30" s="47"/>
      <c r="BW30" s="48"/>
      <c r="BX30" s="48"/>
      <c r="BY30" s="48"/>
      <c r="BZ30" s="48"/>
      <c r="CA30" s="81"/>
      <c r="CB30" s="83"/>
      <c r="CC30" s="47"/>
      <c r="CD30" s="48"/>
      <c r="CE30" s="48"/>
      <c r="CF30" s="48"/>
      <c r="CG30" s="48"/>
      <c r="CH30" s="81"/>
      <c r="CI30" s="83"/>
      <c r="CJ30" s="47"/>
      <c r="CK30" s="48"/>
      <c r="CL30" s="48"/>
      <c r="CM30" s="48"/>
      <c r="CN30" s="48"/>
      <c r="CO30" s="81"/>
      <c r="CP30" s="83"/>
      <c r="CQ30" s="77">
        <f t="shared" si="16"/>
        <v>310247</v>
      </c>
      <c r="CR30" s="73">
        <f t="shared" si="8"/>
        <v>664</v>
      </c>
      <c r="CS30" s="73"/>
      <c r="CT30" s="48">
        <f t="shared" si="9"/>
        <v>5</v>
      </c>
      <c r="CU30" s="48">
        <f t="shared" si="10"/>
        <v>309574</v>
      </c>
      <c r="CV30" s="81">
        <f t="shared" si="2"/>
        <v>7.9568922430791575</v>
      </c>
      <c r="CW30" s="82">
        <f t="shared" si="11"/>
        <v>2463246.9592589871</v>
      </c>
    </row>
    <row r="31" spans="1:101" s="95" customFormat="1" x14ac:dyDescent="0.15">
      <c r="A31" s="460"/>
      <c r="B31" s="474" t="s">
        <v>61</v>
      </c>
      <c r="C31" s="475"/>
      <c r="D31" s="377">
        <f>SUM(D23:D29)</f>
        <v>189983</v>
      </c>
      <c r="E31" s="51">
        <f>SUM(E23:E29)</f>
        <v>377</v>
      </c>
      <c r="F31" s="51"/>
      <c r="G31" s="51"/>
      <c r="H31" s="51">
        <f>SUM(H23:H29)</f>
        <v>189606</v>
      </c>
      <c r="I31" s="88">
        <f>J31/H31</f>
        <v>7.5276788268132648</v>
      </c>
      <c r="J31" s="89">
        <f>SUM(J23:J29)</f>
        <v>1427293.071636756</v>
      </c>
      <c r="K31" s="54">
        <f>SUM(K23:K29)</f>
        <v>193293</v>
      </c>
      <c r="L31" s="55">
        <f>SUM(L23:L29)</f>
        <v>377</v>
      </c>
      <c r="M31" s="57"/>
      <c r="N31" s="51"/>
      <c r="O31" s="55">
        <f>SUM(O23:O29)</f>
        <v>192916</v>
      </c>
      <c r="P31" s="88">
        <f>Q31/O31</f>
        <v>7.5810258419122185</v>
      </c>
      <c r="Q31" s="89">
        <f>SUM(Q23:Q29)</f>
        <v>1462501.1813183376</v>
      </c>
      <c r="R31" s="54">
        <f>SUM(R23:R29)</f>
        <v>179365</v>
      </c>
      <c r="S31" s="55">
        <f>SUM(S23:S29)</f>
        <v>346</v>
      </c>
      <c r="T31" s="57"/>
      <c r="U31" s="51"/>
      <c r="V31" s="55">
        <f>SUM(V23:V29)</f>
        <v>179019</v>
      </c>
      <c r="W31" s="88">
        <f>X31/V31</f>
        <v>7.1923712058912814</v>
      </c>
      <c r="X31" s="89">
        <f>SUM(X23:X29)</f>
        <v>1287571.1009074512</v>
      </c>
      <c r="Y31" s="76">
        <f>SUM(Y23:Y29)</f>
        <v>236111</v>
      </c>
      <c r="Z31" s="90">
        <f>SUM(Z23:Z29)</f>
        <v>377</v>
      </c>
      <c r="AA31" s="90"/>
      <c r="AB31" s="90"/>
      <c r="AC31" s="90">
        <f>SUM(AC23:AC29)</f>
        <v>235734</v>
      </c>
      <c r="AD31" s="91">
        <f>SUM(AD23:AD29)</f>
        <v>52.067212793148435</v>
      </c>
      <c r="AE31" s="92">
        <f>SUM(AE23:AE29)</f>
        <v>1837823.1484394167</v>
      </c>
      <c r="AF31" s="76">
        <f>SUM(AF23:AF30)</f>
        <v>235649</v>
      </c>
      <c r="AG31" s="90">
        <f>SUM(AG23:AG30)</f>
        <v>406</v>
      </c>
      <c r="AH31" s="90"/>
      <c r="AI31" s="90">
        <f>SUM(AI23:AI30)</f>
        <v>6</v>
      </c>
      <c r="AJ31" s="90">
        <f>SUM(AJ23:AJ30)</f>
        <v>235237</v>
      </c>
      <c r="AK31" s="88">
        <f t="shared" si="26"/>
        <v>7.8350309503327829</v>
      </c>
      <c r="AL31" s="93">
        <f>SUM(AL23:AL30)</f>
        <v>1843089.1756634328</v>
      </c>
      <c r="AM31" s="94">
        <f>SUM(AM23:AM30)</f>
        <v>226969</v>
      </c>
      <c r="AN31" s="79">
        <f>SUM(AN23:AN30)</f>
        <v>465</v>
      </c>
      <c r="AO31" s="79"/>
      <c r="AP31" s="79">
        <f>SUM(AP23:AP30)</f>
        <v>14</v>
      </c>
      <c r="AQ31" s="79">
        <f>SUM(AQ23:AQ30)</f>
        <v>226490</v>
      </c>
      <c r="AR31" s="88">
        <f t="shared" si="19"/>
        <v>7.8707991548184033</v>
      </c>
      <c r="AS31" s="89">
        <f>SUM(AS23:AS30)</f>
        <v>1782657.3005748203</v>
      </c>
      <c r="AT31" s="68">
        <f t="shared" si="6"/>
        <v>698729</v>
      </c>
      <c r="AU31" s="79">
        <f t="shared" si="6"/>
        <v>1248</v>
      </c>
      <c r="AV31" s="79">
        <f t="shared" si="6"/>
        <v>0</v>
      </c>
      <c r="AW31" s="79">
        <f t="shared" si="6"/>
        <v>20</v>
      </c>
      <c r="AX31" s="69">
        <f t="shared" si="6"/>
        <v>697461</v>
      </c>
      <c r="AY31" s="88">
        <f t="shared" si="13"/>
        <v>7.8335127335831967</v>
      </c>
      <c r="AZ31" s="89">
        <f t="shared" si="7"/>
        <v>5463569.6246776702</v>
      </c>
      <c r="BA31" s="94">
        <f>SUM(BA23:BA30)</f>
        <v>273860</v>
      </c>
      <c r="BB31" s="79">
        <f>SUM(BB23:BB30)</f>
        <v>420</v>
      </c>
      <c r="BC31" s="79"/>
      <c r="BD31" s="79">
        <f>SUM(BD23:BD30)</f>
        <v>0</v>
      </c>
      <c r="BE31" s="79">
        <f>SUM(BE23:BE30)</f>
        <v>273440</v>
      </c>
      <c r="BF31" s="88">
        <f>BG31/BE31</f>
        <v>7.937814469259223</v>
      </c>
      <c r="BG31" s="93">
        <f>SUM(BG23:BG30)</f>
        <v>2170515.9884742419</v>
      </c>
      <c r="BH31" s="94">
        <f>SUM(BH23:BH30)</f>
        <v>593962</v>
      </c>
      <c r="BI31" s="79">
        <f>SUM(BI23:BI30)</f>
        <v>888</v>
      </c>
      <c r="BJ31" s="79"/>
      <c r="BK31" s="79">
        <f>SUM(BK23:BK30)</f>
        <v>5</v>
      </c>
      <c r="BL31" s="79">
        <f>SUM(BL23:BL30)</f>
        <v>593064</v>
      </c>
      <c r="BM31" s="88">
        <f>BN31/BL31</f>
        <v>7.7682175077034357</v>
      </c>
      <c r="BN31" s="93">
        <f>SUM(BN23:BN30)</f>
        <v>4607050.1479886305</v>
      </c>
      <c r="BO31" s="94">
        <f>SUM(BO23:BO30)</f>
        <v>207189</v>
      </c>
      <c r="BP31" s="79">
        <f>SUM(BP23:BP30)</f>
        <v>434</v>
      </c>
      <c r="BQ31" s="79"/>
      <c r="BR31" s="79"/>
      <c r="BS31" s="79">
        <f>SUM(BS23:BS30)</f>
        <v>206755</v>
      </c>
      <c r="BT31" s="88">
        <f t="shared" si="15"/>
        <v>7.5708649409474287</v>
      </c>
      <c r="BU31" s="93">
        <f>SUM(BU23:BU30)</f>
        <v>1565314.1808655856</v>
      </c>
      <c r="BV31" s="94"/>
      <c r="BW31" s="79"/>
      <c r="BX31" s="79"/>
      <c r="BY31" s="79"/>
      <c r="BZ31" s="79"/>
      <c r="CA31" s="88"/>
      <c r="CB31" s="93"/>
      <c r="CC31" s="94"/>
      <c r="CD31" s="79"/>
      <c r="CE31" s="79"/>
      <c r="CF31" s="79"/>
      <c r="CG31" s="79"/>
      <c r="CH31" s="88"/>
      <c r="CI31" s="93"/>
      <c r="CJ31" s="94"/>
      <c r="CK31" s="79"/>
      <c r="CL31" s="79"/>
      <c r="CM31" s="79"/>
      <c r="CN31" s="79"/>
      <c r="CO31" s="88"/>
      <c r="CP31" s="93"/>
      <c r="CQ31" s="68">
        <f t="shared" si="16"/>
        <v>2336381</v>
      </c>
      <c r="CR31" s="69">
        <f t="shared" si="8"/>
        <v>4090</v>
      </c>
      <c r="CS31" s="69"/>
      <c r="CT31" s="69">
        <f t="shared" si="9"/>
        <v>25</v>
      </c>
      <c r="CU31" s="69">
        <f t="shared" si="10"/>
        <v>2332261</v>
      </c>
      <c r="CV31" s="88">
        <f t="shared" si="2"/>
        <v>7.710893118681259</v>
      </c>
      <c r="CW31" s="89">
        <f t="shared" si="11"/>
        <v>17983815.295868672</v>
      </c>
    </row>
    <row r="32" spans="1:101" s="87" customFormat="1" x14ac:dyDescent="0.15">
      <c r="A32" s="460"/>
      <c r="B32" s="96">
        <v>14</v>
      </c>
      <c r="C32" s="97" t="str">
        <f>[12]明细表!C29</f>
        <v>川香排骨套餐</v>
      </c>
      <c r="D32" s="378">
        <f>[1]明细表!D21</f>
        <v>15838</v>
      </c>
      <c r="E32" s="98">
        <f>[1]明细表!E21</f>
        <v>62</v>
      </c>
      <c r="F32" s="98"/>
      <c r="G32" s="98"/>
      <c r="H32" s="29">
        <f t="shared" si="5"/>
        <v>15776</v>
      </c>
      <c r="I32" s="81">
        <f t="shared" si="4"/>
        <v>11.002603675196985</v>
      </c>
      <c r="J32" s="82">
        <f>[1]明细表!R21</f>
        <v>173577.07557990763</v>
      </c>
      <c r="K32" s="31">
        <f>[2]明细表!D21</f>
        <v>18235</v>
      </c>
      <c r="L32" s="29">
        <f>[2]明细表!E21</f>
        <v>62</v>
      </c>
      <c r="M32" s="32"/>
      <c r="N32" s="98"/>
      <c r="O32" s="29">
        <f>[2]明细表!F21</f>
        <v>18173</v>
      </c>
      <c r="P32" s="81">
        <f t="shared" si="0"/>
        <v>11.287894498042874</v>
      </c>
      <c r="Q32" s="82">
        <f>[2]明细表!R21</f>
        <v>205134.90671293315</v>
      </c>
      <c r="R32" s="28">
        <f>[3]明细表!D16</f>
        <v>15333</v>
      </c>
      <c r="S32" s="29">
        <f>[3]明细表!E16</f>
        <v>56</v>
      </c>
      <c r="T32" s="98"/>
      <c r="U32" s="98"/>
      <c r="V32" s="29">
        <f>[3]明细表!F16</f>
        <v>15277</v>
      </c>
      <c r="W32" s="81">
        <f t="shared" si="24"/>
        <v>10.814241332044432</v>
      </c>
      <c r="X32" s="83">
        <f>[3]明细表!R16</f>
        <v>165209.16482964277</v>
      </c>
      <c r="Y32" s="72">
        <f>[4]明细表!D16</f>
        <v>19065</v>
      </c>
      <c r="Z32" s="84">
        <f>[4]明细表!E16</f>
        <v>62</v>
      </c>
      <c r="AA32" s="84"/>
      <c r="AB32" s="84"/>
      <c r="AC32" s="84">
        <f>[4]明细表!F16</f>
        <v>19003</v>
      </c>
      <c r="AD32" s="85">
        <f>AE32/AC32</f>
        <v>11.40651299733449</v>
      </c>
      <c r="AE32" s="86">
        <f>[4]明细表!R16</f>
        <v>216757.9664883473</v>
      </c>
      <c r="AF32" s="72">
        <f>[5]明细表!D17</f>
        <v>19543</v>
      </c>
      <c r="AG32" s="84">
        <f>[5]明细表!E17</f>
        <v>60</v>
      </c>
      <c r="AH32" s="84"/>
      <c r="AI32" s="84">
        <f>[5]明细表!F17</f>
        <v>2</v>
      </c>
      <c r="AJ32" s="84">
        <f>[5]明细表!G17</f>
        <v>19481</v>
      </c>
      <c r="AK32" s="85">
        <f t="shared" si="26"/>
        <v>11.656281058467016</v>
      </c>
      <c r="AL32" s="86">
        <f>[5]明细表!S17</f>
        <v>227076.01129999594</v>
      </c>
      <c r="AM32" s="47">
        <f>[6]明细表!D17</f>
        <v>19973</v>
      </c>
      <c r="AN32" s="48">
        <f>[6]明细表!E17</f>
        <v>62</v>
      </c>
      <c r="AO32" s="48"/>
      <c r="AP32" s="48">
        <f>[6]明细表!F17</f>
        <v>2</v>
      </c>
      <c r="AQ32" s="48">
        <f>[6]明细表!G17</f>
        <v>19909</v>
      </c>
      <c r="AR32" s="81">
        <f t="shared" si="19"/>
        <v>11.728700345766351</v>
      </c>
      <c r="AS32" s="82">
        <f>[6]明细表!S17</f>
        <v>233506.69518386226</v>
      </c>
      <c r="AT32" s="77">
        <f t="shared" si="6"/>
        <v>58581</v>
      </c>
      <c r="AU32" s="48">
        <f t="shared" si="6"/>
        <v>184</v>
      </c>
      <c r="AV32" s="48">
        <f t="shared" si="6"/>
        <v>0</v>
      </c>
      <c r="AW32" s="48">
        <f t="shared" si="6"/>
        <v>4</v>
      </c>
      <c r="AX32" s="73">
        <f t="shared" si="6"/>
        <v>58393</v>
      </c>
      <c r="AY32" s="81">
        <f t="shared" si="13"/>
        <v>11.599689568479192</v>
      </c>
      <c r="AZ32" s="82">
        <f t="shared" si="7"/>
        <v>677340.67297220544</v>
      </c>
      <c r="BA32" s="47">
        <f>[7]明细表!D17</f>
        <v>25447</v>
      </c>
      <c r="BB32" s="48">
        <f>[7]明细表!E17</f>
        <v>60</v>
      </c>
      <c r="BC32" s="48"/>
      <c r="BD32" s="48"/>
      <c r="BE32" s="48">
        <f>[7]明细表!F17</f>
        <v>25387</v>
      </c>
      <c r="BF32" s="81">
        <f t="shared" si="28"/>
        <v>10.884369140857162</v>
      </c>
      <c r="BG32" s="83">
        <f>[7]明细表!R17</f>
        <v>276321.47937894077</v>
      </c>
      <c r="BH32" s="47">
        <f>[8]明细表!D17</f>
        <v>26836</v>
      </c>
      <c r="BI32" s="48">
        <f>[8]明细表!E17</f>
        <v>62</v>
      </c>
      <c r="BJ32" s="48"/>
      <c r="BK32" s="48">
        <v>2</v>
      </c>
      <c r="BL32" s="48">
        <f>[8]明细表!G17</f>
        <v>26772</v>
      </c>
      <c r="BM32" s="6">
        <f t="shared" ref="BM32:BM39" si="29">BN32/BL32</f>
        <v>10.984915971119086</v>
      </c>
      <c r="BN32" s="83">
        <f>[8]明细表!S17</f>
        <v>294088.17037880019</v>
      </c>
      <c r="BO32" s="47">
        <f>明细表!D17</f>
        <v>21294</v>
      </c>
      <c r="BP32" s="48">
        <f>明细表!E17</f>
        <v>62</v>
      </c>
      <c r="BQ32" s="48"/>
      <c r="BR32" s="48"/>
      <c r="BS32" s="48">
        <f>明细表!F17</f>
        <v>21232</v>
      </c>
      <c r="BT32" s="81">
        <f t="shared" si="15"/>
        <v>11.28882267023401</v>
      </c>
      <c r="BU32" s="83">
        <f>明细表!R17</f>
        <v>239684.28293440852</v>
      </c>
      <c r="BV32" s="47"/>
      <c r="BW32" s="48"/>
      <c r="BX32" s="48"/>
      <c r="BY32" s="48"/>
      <c r="BZ32" s="48"/>
      <c r="CA32" s="81"/>
      <c r="CB32" s="83"/>
      <c r="CC32" s="47"/>
      <c r="CD32" s="48"/>
      <c r="CE32" s="48"/>
      <c r="CF32" s="48"/>
      <c r="CG32" s="48"/>
      <c r="CH32" s="81"/>
      <c r="CI32" s="83"/>
      <c r="CJ32" s="47"/>
      <c r="CK32" s="48"/>
      <c r="CL32" s="48"/>
      <c r="CM32" s="48"/>
      <c r="CN32" s="48"/>
      <c r="CO32" s="81"/>
      <c r="CP32" s="83"/>
      <c r="CQ32" s="77">
        <f t="shared" si="16"/>
        <v>181564</v>
      </c>
      <c r="CR32" s="73">
        <f t="shared" si="8"/>
        <v>548</v>
      </c>
      <c r="CS32" s="73"/>
      <c r="CT32" s="73">
        <f t="shared" si="9"/>
        <v>6</v>
      </c>
      <c r="CU32" s="73">
        <f t="shared" si="10"/>
        <v>181010</v>
      </c>
      <c r="CV32" s="81">
        <f t="shared" si="2"/>
        <v>11.222339941366988</v>
      </c>
      <c r="CW32" s="82">
        <f t="shared" si="11"/>
        <v>2031355.7527868384</v>
      </c>
    </row>
    <row r="33" spans="1:103" s="87" customFormat="1" x14ac:dyDescent="0.15">
      <c r="A33" s="460"/>
      <c r="B33" s="96">
        <v>15</v>
      </c>
      <c r="C33" s="97" t="str">
        <f>[12]明细表!C30</f>
        <v>清蒸鱼套餐</v>
      </c>
      <c r="D33" s="378">
        <f>[1]明细表!D22</f>
        <v>15158</v>
      </c>
      <c r="E33" s="98">
        <f>[1]明细表!E22</f>
        <v>62</v>
      </c>
      <c r="F33" s="98"/>
      <c r="G33" s="98"/>
      <c r="H33" s="29">
        <f t="shared" si="5"/>
        <v>15096</v>
      </c>
      <c r="I33" s="81">
        <f t="shared" si="4"/>
        <v>14.739567554644383</v>
      </c>
      <c r="J33" s="82">
        <f>[1]明细表!R22</f>
        <v>222508.5118049116</v>
      </c>
      <c r="K33" s="31">
        <f>[2]明细表!D22</f>
        <v>18065</v>
      </c>
      <c r="L33" s="29">
        <f>[2]明细表!E22</f>
        <v>62</v>
      </c>
      <c r="M33" s="32"/>
      <c r="N33" s="98"/>
      <c r="O33" s="29">
        <f>[2]明细表!F22</f>
        <v>18003</v>
      </c>
      <c r="P33" s="81">
        <f t="shared" si="0"/>
        <v>14.950806739516816</v>
      </c>
      <c r="Q33" s="82">
        <f>[2]明细表!R22</f>
        <v>269159.37373152125</v>
      </c>
      <c r="R33" s="28">
        <f>[3]明细表!D17</f>
        <v>15219</v>
      </c>
      <c r="S33" s="29">
        <f>[3]明细表!E17</f>
        <v>56</v>
      </c>
      <c r="T33" s="98"/>
      <c r="U33" s="98"/>
      <c r="V33" s="29">
        <f>[3]明细表!F17</f>
        <v>15163</v>
      </c>
      <c r="W33" s="81">
        <f t="shared" si="24"/>
        <v>14.45416368824346</v>
      </c>
      <c r="X33" s="83">
        <f>[3]明细表!R17</f>
        <v>219168.48400483557</v>
      </c>
      <c r="Y33" s="72">
        <f>[4]明细表!D17</f>
        <v>19104</v>
      </c>
      <c r="Z33" s="84">
        <f>[4]明细表!E17</f>
        <v>62</v>
      </c>
      <c r="AA33" s="84"/>
      <c r="AB33" s="84"/>
      <c r="AC33" s="84">
        <f>[4]明细表!F17</f>
        <v>19042</v>
      </c>
      <c r="AD33" s="85">
        <f>AE33/AC33</f>
        <v>15.147198222531493</v>
      </c>
      <c r="AE33" s="86">
        <f>[4]明细表!R17</f>
        <v>288432.9485534447</v>
      </c>
      <c r="AF33" s="72">
        <f>[5]明细表!D18</f>
        <v>19670</v>
      </c>
      <c r="AG33" s="84">
        <f>[5]明细表!E18</f>
        <v>60</v>
      </c>
      <c r="AH33" s="84"/>
      <c r="AI33" s="84">
        <f>[5]明细表!F18</f>
        <v>2</v>
      </c>
      <c r="AJ33" s="84">
        <f>[5]明细表!G18</f>
        <v>19608</v>
      </c>
      <c r="AK33" s="85">
        <f t="shared" si="26"/>
        <v>14.741521583653332</v>
      </c>
      <c r="AL33" s="86">
        <f>[5]明细表!S18</f>
        <v>289051.75521227455</v>
      </c>
      <c r="AM33" s="47">
        <f>[6]明细表!D18</f>
        <v>19868</v>
      </c>
      <c r="AN33" s="48">
        <f>[6]明细表!E18</f>
        <v>62</v>
      </c>
      <c r="AO33" s="48"/>
      <c r="AP33" s="48">
        <f>[6]明细表!F18</f>
        <v>2</v>
      </c>
      <c r="AQ33" s="48">
        <f>[6]明细表!G18</f>
        <v>19804</v>
      </c>
      <c r="AR33" s="81">
        <f t="shared" si="19"/>
        <v>14.878704423094195</v>
      </c>
      <c r="AS33" s="82">
        <f>[6]明细表!S18</f>
        <v>294657.86239495745</v>
      </c>
      <c r="AT33" s="77">
        <f t="shared" si="6"/>
        <v>58642</v>
      </c>
      <c r="AU33" s="48">
        <f t="shared" si="6"/>
        <v>184</v>
      </c>
      <c r="AV33" s="48">
        <f t="shared" si="6"/>
        <v>0</v>
      </c>
      <c r="AW33" s="48">
        <f t="shared" si="6"/>
        <v>4</v>
      </c>
      <c r="AX33" s="73">
        <f t="shared" si="6"/>
        <v>58454</v>
      </c>
      <c r="AY33" s="81">
        <f t="shared" si="13"/>
        <v>14.92015201971938</v>
      </c>
      <c r="AZ33" s="82">
        <f t="shared" si="7"/>
        <v>872142.56616067665</v>
      </c>
      <c r="BA33" s="47">
        <f>[7]明细表!D18</f>
        <v>25083</v>
      </c>
      <c r="BB33" s="48">
        <f>[7]明细表!E18</f>
        <v>60</v>
      </c>
      <c r="BC33" s="48"/>
      <c r="BD33" s="48"/>
      <c r="BE33" s="48">
        <f>[7]明细表!F18</f>
        <v>25023</v>
      </c>
      <c r="BF33" s="81">
        <f t="shared" si="28"/>
        <v>14.657380175786367</v>
      </c>
      <c r="BG33" s="83">
        <f>[7]明细表!R18</f>
        <v>366771.62413870223</v>
      </c>
      <c r="BH33" s="47">
        <f>[8]明细表!D18</f>
        <v>26507</v>
      </c>
      <c r="BI33" s="48">
        <f>[8]明细表!E18</f>
        <v>62</v>
      </c>
      <c r="BJ33" s="48"/>
      <c r="BK33" s="48">
        <v>2</v>
      </c>
      <c r="BL33" s="48">
        <f>[8]明细表!G18</f>
        <v>26443</v>
      </c>
      <c r="BM33" s="6">
        <f t="shared" si="29"/>
        <v>14.428674153649377</v>
      </c>
      <c r="BN33" s="83">
        <f>[8]明细表!S18</f>
        <v>381537.43064495048</v>
      </c>
      <c r="BO33" s="47">
        <f>明细表!D18</f>
        <v>21182</v>
      </c>
      <c r="BP33" s="48">
        <f>明细表!E18</f>
        <v>67</v>
      </c>
      <c r="BQ33" s="48"/>
      <c r="BR33" s="48"/>
      <c r="BS33" s="48">
        <f>明细表!F18</f>
        <v>21115</v>
      </c>
      <c r="BT33" s="81">
        <f t="shared" si="15"/>
        <v>13.952618035434554</v>
      </c>
      <c r="BU33" s="83">
        <f>明细表!R18</f>
        <v>294609.52981820062</v>
      </c>
      <c r="BV33" s="47"/>
      <c r="BW33" s="48"/>
      <c r="BX33" s="48"/>
      <c r="BY33" s="48"/>
      <c r="BZ33" s="48"/>
      <c r="CA33" s="81"/>
      <c r="CB33" s="83"/>
      <c r="CC33" s="47"/>
      <c r="CD33" s="48"/>
      <c r="CE33" s="48"/>
      <c r="CF33" s="48"/>
      <c r="CG33" s="48"/>
      <c r="CH33" s="81"/>
      <c r="CI33" s="83"/>
      <c r="CJ33" s="47"/>
      <c r="CK33" s="48"/>
      <c r="CL33" s="48"/>
      <c r="CM33" s="48"/>
      <c r="CN33" s="48"/>
      <c r="CO33" s="81"/>
      <c r="CP33" s="83"/>
      <c r="CQ33" s="77">
        <f t="shared" si="16"/>
        <v>179856</v>
      </c>
      <c r="CR33" s="73">
        <f t="shared" si="8"/>
        <v>553</v>
      </c>
      <c r="CS33" s="73"/>
      <c r="CT33" s="73">
        <f t="shared" si="9"/>
        <v>6</v>
      </c>
      <c r="CU33" s="73">
        <f t="shared" si="10"/>
        <v>179297</v>
      </c>
      <c r="CV33" s="81">
        <f t="shared" si="2"/>
        <v>14.645518443163011</v>
      </c>
      <c r="CW33" s="82">
        <f t="shared" si="11"/>
        <v>2625897.5203037984</v>
      </c>
    </row>
    <row r="34" spans="1:103" s="95" customFormat="1" x14ac:dyDescent="0.15">
      <c r="A34" s="460"/>
      <c r="B34" s="474" t="s">
        <v>61</v>
      </c>
      <c r="C34" s="475"/>
      <c r="D34" s="377">
        <f>[1]明细表!D23</f>
        <v>30996</v>
      </c>
      <c r="E34" s="51">
        <f>[1]明细表!E23</f>
        <v>124</v>
      </c>
      <c r="F34" s="51"/>
      <c r="G34" s="51"/>
      <c r="H34" s="51">
        <f>SUM(H32:H33)</f>
        <v>30872</v>
      </c>
      <c r="I34" s="88">
        <f>J34/H34</f>
        <v>12.829929625058927</v>
      </c>
      <c r="J34" s="99">
        <f>SUM(J32:J33)</f>
        <v>396085.58738481923</v>
      </c>
      <c r="K34" s="54">
        <f>SUM(K32:K33)</f>
        <v>36300</v>
      </c>
      <c r="L34" s="55">
        <f t="shared" ref="L34:Z34" si="30">SUM(L32:L33)</f>
        <v>124</v>
      </c>
      <c r="M34" s="57">
        <f t="shared" si="30"/>
        <v>0</v>
      </c>
      <c r="N34" s="51">
        <f t="shared" si="30"/>
        <v>0</v>
      </c>
      <c r="O34" s="55">
        <f t="shared" si="30"/>
        <v>36176</v>
      </c>
      <c r="P34" s="88">
        <f t="shared" si="0"/>
        <v>13.110744152047058</v>
      </c>
      <c r="Q34" s="89">
        <f t="shared" si="30"/>
        <v>474294.2804444544</v>
      </c>
      <c r="R34" s="54">
        <f>SUM(R32:R33)</f>
        <v>30552</v>
      </c>
      <c r="S34" s="55">
        <f t="shared" si="30"/>
        <v>112</v>
      </c>
      <c r="T34" s="57">
        <f t="shared" si="30"/>
        <v>0</v>
      </c>
      <c r="U34" s="51">
        <f t="shared" si="30"/>
        <v>0</v>
      </c>
      <c r="V34" s="55">
        <f t="shared" si="30"/>
        <v>30440</v>
      </c>
      <c r="W34" s="88">
        <f t="shared" si="24"/>
        <v>12.627386623997317</v>
      </c>
      <c r="X34" s="89">
        <f t="shared" si="30"/>
        <v>384377.64883447834</v>
      </c>
      <c r="Y34" s="76">
        <f t="shared" si="30"/>
        <v>38169</v>
      </c>
      <c r="Z34" s="90">
        <f t="shared" si="30"/>
        <v>124</v>
      </c>
      <c r="AA34" s="90"/>
      <c r="AB34" s="90"/>
      <c r="AC34" s="90">
        <f t="shared" ref="AC34:AI34" si="31">SUM(AC32:AC33)</f>
        <v>38045</v>
      </c>
      <c r="AD34" s="91">
        <f t="shared" si="31"/>
        <v>26.553711219865981</v>
      </c>
      <c r="AE34" s="92">
        <f t="shared" si="31"/>
        <v>505190.91504179197</v>
      </c>
      <c r="AF34" s="76">
        <f t="shared" si="31"/>
        <v>39213</v>
      </c>
      <c r="AG34" s="90">
        <f t="shared" si="31"/>
        <v>120</v>
      </c>
      <c r="AH34" s="90"/>
      <c r="AI34" s="90">
        <f t="shared" si="31"/>
        <v>4</v>
      </c>
      <c r="AJ34" s="90">
        <f>SUM(AJ32:AJ33)</f>
        <v>39089</v>
      </c>
      <c r="AK34" s="88">
        <f t="shared" si="26"/>
        <v>13.203913287939587</v>
      </c>
      <c r="AL34" s="93">
        <f>SUM(AL32:AL33)</f>
        <v>516127.76651227049</v>
      </c>
      <c r="AM34" s="94">
        <f>SUM(AM32:AM33)</f>
        <v>39841</v>
      </c>
      <c r="AN34" s="79">
        <f>SUM(AN32:AN33)</f>
        <v>124</v>
      </c>
      <c r="AO34" s="79"/>
      <c r="AP34" s="79">
        <f>SUM(AP32:AP33)</f>
        <v>4</v>
      </c>
      <c r="AQ34" s="79">
        <f>SUM(AQ32:AQ33)</f>
        <v>39713</v>
      </c>
      <c r="AR34" s="88">
        <f t="shared" si="19"/>
        <v>13.299538125521106</v>
      </c>
      <c r="AS34" s="89">
        <f>SUM(AS32:AS33)</f>
        <v>528164.55757881969</v>
      </c>
      <c r="AT34" s="68">
        <f t="shared" si="6"/>
        <v>117223</v>
      </c>
      <c r="AU34" s="79">
        <f t="shared" si="6"/>
        <v>368</v>
      </c>
      <c r="AV34" s="79">
        <f t="shared" si="6"/>
        <v>0</v>
      </c>
      <c r="AW34" s="79">
        <f t="shared" si="6"/>
        <v>8</v>
      </c>
      <c r="AX34" s="69">
        <f t="shared" si="6"/>
        <v>116847</v>
      </c>
      <c r="AY34" s="88">
        <f t="shared" si="13"/>
        <v>13.260787518146655</v>
      </c>
      <c r="AZ34" s="89">
        <f t="shared" si="7"/>
        <v>1549483.2391328821</v>
      </c>
      <c r="BA34" s="94">
        <f>SUM(BA32:BA33)</f>
        <v>50530</v>
      </c>
      <c r="BB34" s="79">
        <f>SUM(BB32:BB33)</f>
        <v>120</v>
      </c>
      <c r="BC34" s="79"/>
      <c r="BD34" s="79">
        <f>SUM(BD32:BD33)</f>
        <v>0</v>
      </c>
      <c r="BE34" s="79">
        <f>SUM(BE32:BE33)</f>
        <v>50410</v>
      </c>
      <c r="BF34" s="88">
        <f t="shared" si="28"/>
        <v>12.757252599040726</v>
      </c>
      <c r="BG34" s="93">
        <f>SUM(BG32:BG33)</f>
        <v>643093.10351764294</v>
      </c>
      <c r="BH34" s="94">
        <f>SUM(BH32:BH33)</f>
        <v>53343</v>
      </c>
      <c r="BI34" s="79">
        <f>SUM(BI32:BI33)</f>
        <v>124</v>
      </c>
      <c r="BJ34" s="79"/>
      <c r="BK34" s="79">
        <f>SUM(BK32:BK33)</f>
        <v>4</v>
      </c>
      <c r="BL34" s="79">
        <f>SUM(BL32:BL33)</f>
        <v>53215</v>
      </c>
      <c r="BM34" s="88">
        <f t="shared" si="29"/>
        <v>12.696149601122816</v>
      </c>
      <c r="BN34" s="93">
        <f>SUM(BN32:BN33)</f>
        <v>675625.60102375061</v>
      </c>
      <c r="BO34" s="94">
        <f t="shared" ref="BO34:BP34" si="32">SUM(BO32:BO33)</f>
        <v>42476</v>
      </c>
      <c r="BP34" s="79">
        <f t="shared" si="32"/>
        <v>129</v>
      </c>
      <c r="BQ34" s="79"/>
      <c r="BR34" s="79"/>
      <c r="BS34" s="79">
        <f>SUM(BS32:BS33)</f>
        <v>42347</v>
      </c>
      <c r="BT34" s="88">
        <f t="shared" si="15"/>
        <v>12.617040469280212</v>
      </c>
      <c r="BU34" s="93">
        <f>SUM(BU32:BU33)</f>
        <v>534293.81275260914</v>
      </c>
      <c r="BV34" s="94"/>
      <c r="BW34" s="79"/>
      <c r="BX34" s="79"/>
      <c r="BY34" s="79"/>
      <c r="BZ34" s="79"/>
      <c r="CA34" s="88"/>
      <c r="CB34" s="93"/>
      <c r="CC34" s="94"/>
      <c r="CD34" s="79"/>
      <c r="CE34" s="79"/>
      <c r="CF34" s="79"/>
      <c r="CG34" s="79"/>
      <c r="CH34" s="88"/>
      <c r="CI34" s="93"/>
      <c r="CJ34" s="94"/>
      <c r="CK34" s="79"/>
      <c r="CL34" s="79"/>
      <c r="CM34" s="79"/>
      <c r="CN34" s="79"/>
      <c r="CO34" s="88"/>
      <c r="CP34" s="93"/>
      <c r="CQ34" s="68">
        <f t="shared" si="16"/>
        <v>361420</v>
      </c>
      <c r="CR34" s="69">
        <f t="shared" si="8"/>
        <v>1101</v>
      </c>
      <c r="CS34" s="69"/>
      <c r="CT34" s="69">
        <f t="shared" si="9"/>
        <v>12</v>
      </c>
      <c r="CU34" s="69">
        <f t="shared" si="10"/>
        <v>360307</v>
      </c>
      <c r="CV34" s="88">
        <f t="shared" si="2"/>
        <v>12.925791819450181</v>
      </c>
      <c r="CW34" s="89">
        <f t="shared" si="11"/>
        <v>4657253.2730906364</v>
      </c>
    </row>
    <row r="35" spans="1:103" s="87" customFormat="1" x14ac:dyDescent="0.15">
      <c r="A35" s="460"/>
      <c r="B35" s="29">
        <v>16</v>
      </c>
      <c r="C35" s="80" t="str">
        <f>[1]明细表!C24</f>
        <v>65元椒香大虾套餐</v>
      </c>
      <c r="D35" s="32">
        <f>[1]明细表!D24</f>
        <v>3426</v>
      </c>
      <c r="E35" s="29">
        <f>[1]明细表!E24</f>
        <v>62</v>
      </c>
      <c r="F35" s="29"/>
      <c r="G35" s="29"/>
      <c r="H35" s="29">
        <f t="shared" si="5"/>
        <v>3364</v>
      </c>
      <c r="I35" s="81">
        <f t="shared" si="4"/>
        <v>22.277605507178578</v>
      </c>
      <c r="J35" s="82">
        <f>[1]明细表!R24</f>
        <v>74941.86492614873</v>
      </c>
      <c r="K35" s="31">
        <f>[2]明细表!D26</f>
        <v>3721</v>
      </c>
      <c r="L35" s="29">
        <f>[2]明细表!E26</f>
        <v>67</v>
      </c>
      <c r="M35" s="32"/>
      <c r="N35" s="29"/>
      <c r="O35" s="29">
        <f>[2]明细表!F26</f>
        <v>3654</v>
      </c>
      <c r="P35" s="81">
        <f t="shared" si="0"/>
        <v>22.835550730454894</v>
      </c>
      <c r="Q35" s="82">
        <f>[2]明细表!R26</f>
        <v>83441.102369082189</v>
      </c>
      <c r="R35" s="28">
        <f>[3]明细表!D21</f>
        <v>3213</v>
      </c>
      <c r="S35" s="29">
        <f>[3]明细表!E21</f>
        <v>56</v>
      </c>
      <c r="T35" s="29"/>
      <c r="U35" s="29"/>
      <c r="V35" s="29">
        <f>[3]明细表!F21</f>
        <v>3157</v>
      </c>
      <c r="W35" s="81">
        <f t="shared" si="24"/>
        <v>23.038808192625357</v>
      </c>
      <c r="X35" s="83">
        <f>[3]明细表!R21</f>
        <v>72733.517464118253</v>
      </c>
      <c r="Y35" s="72">
        <f>[4]明细表!D21</f>
        <v>764</v>
      </c>
      <c r="Z35" s="84">
        <f>[4]明细表!E21</f>
        <v>12</v>
      </c>
      <c r="AA35" s="84"/>
      <c r="AB35" s="84"/>
      <c r="AC35" s="84">
        <f>[4]明细表!F21</f>
        <v>752</v>
      </c>
      <c r="AD35" s="85">
        <f>AE35/AC35</f>
        <v>21.896169375117374</v>
      </c>
      <c r="AE35" s="86">
        <f>[4]明细表!R21</f>
        <v>16465.919370088264</v>
      </c>
      <c r="AF35" s="72"/>
      <c r="AG35" s="84"/>
      <c r="AH35" s="84"/>
      <c r="AI35" s="84"/>
      <c r="AJ35" s="84"/>
      <c r="AK35" s="85"/>
      <c r="AL35" s="86"/>
      <c r="AM35" s="47"/>
      <c r="AN35" s="48"/>
      <c r="AO35" s="48"/>
      <c r="AP35" s="48"/>
      <c r="AQ35" s="48"/>
      <c r="AR35" s="81"/>
      <c r="AS35" s="82"/>
      <c r="AT35" s="77">
        <f t="shared" si="6"/>
        <v>764</v>
      </c>
      <c r="AU35" s="48">
        <f t="shared" si="6"/>
        <v>12</v>
      </c>
      <c r="AV35" s="48">
        <f t="shared" si="6"/>
        <v>0</v>
      </c>
      <c r="AW35" s="48">
        <f t="shared" si="6"/>
        <v>0</v>
      </c>
      <c r="AX35" s="73">
        <f t="shared" si="6"/>
        <v>752</v>
      </c>
      <c r="AY35" s="81"/>
      <c r="AZ35" s="82">
        <f t="shared" si="7"/>
        <v>16465.919370088264</v>
      </c>
      <c r="BA35" s="47"/>
      <c r="BB35" s="48"/>
      <c r="BC35" s="48"/>
      <c r="BD35" s="48"/>
      <c r="BE35" s="48"/>
      <c r="BF35" s="81"/>
      <c r="BG35" s="83"/>
      <c r="BH35" s="47"/>
      <c r="BI35" s="48"/>
      <c r="BJ35" s="48"/>
      <c r="BK35" s="48"/>
      <c r="BL35" s="48"/>
      <c r="BM35" s="6"/>
      <c r="BN35" s="83"/>
      <c r="BO35" s="47"/>
      <c r="BP35" s="48"/>
      <c r="BQ35" s="48"/>
      <c r="BR35" s="48"/>
      <c r="BS35" s="48"/>
      <c r="BT35" s="81"/>
      <c r="BU35" s="83"/>
      <c r="BV35" s="47"/>
      <c r="BW35" s="48"/>
      <c r="BX35" s="48"/>
      <c r="BY35" s="48"/>
      <c r="BZ35" s="48"/>
      <c r="CA35" s="81"/>
      <c r="CB35" s="83"/>
      <c r="CC35" s="47"/>
      <c r="CD35" s="48"/>
      <c r="CE35" s="48"/>
      <c r="CF35" s="48"/>
      <c r="CG35" s="48"/>
      <c r="CH35" s="81"/>
      <c r="CI35" s="83"/>
      <c r="CJ35" s="47"/>
      <c r="CK35" s="48"/>
      <c r="CL35" s="48"/>
      <c r="CM35" s="48"/>
      <c r="CN35" s="48"/>
      <c r="CO35" s="81"/>
      <c r="CP35" s="83"/>
      <c r="CQ35" s="72">
        <f t="shared" si="16"/>
        <v>11124</v>
      </c>
      <c r="CR35" s="73">
        <f t="shared" si="8"/>
        <v>197</v>
      </c>
      <c r="CS35" s="73"/>
      <c r="CT35" s="48"/>
      <c r="CU35" s="48">
        <f t="shared" si="10"/>
        <v>10927</v>
      </c>
      <c r="CV35" s="81">
        <f t="shared" si="2"/>
        <v>22.657857063186366</v>
      </c>
      <c r="CW35" s="82">
        <f t="shared" si="11"/>
        <v>247582.40412943743</v>
      </c>
      <c r="CX35" s="100"/>
      <c r="CY35" s="101"/>
    </row>
    <row r="36" spans="1:103" s="87" customFormat="1" x14ac:dyDescent="0.15">
      <c r="A36" s="460"/>
      <c r="B36" s="29">
        <v>17</v>
      </c>
      <c r="C36" s="80" t="str">
        <f>[1]明细表!C25</f>
        <v>65元椒香肥牛套餐</v>
      </c>
      <c r="D36" s="32">
        <f>[1]明细表!D25</f>
        <v>9163</v>
      </c>
      <c r="E36" s="29">
        <f>[1]明细表!E25</f>
        <v>67</v>
      </c>
      <c r="F36" s="29"/>
      <c r="G36" s="29"/>
      <c r="H36" s="29">
        <f t="shared" si="5"/>
        <v>9096</v>
      </c>
      <c r="I36" s="81">
        <f t="shared" si="4"/>
        <v>18.212137130230669</v>
      </c>
      <c r="J36" s="82">
        <f>[1]明细表!R25</f>
        <v>165657.59933657816</v>
      </c>
      <c r="K36" s="31">
        <f>[2]明细表!D27</f>
        <v>11224</v>
      </c>
      <c r="L36" s="29">
        <f>[2]明细表!E27</f>
        <v>62</v>
      </c>
      <c r="M36" s="32"/>
      <c r="N36" s="29"/>
      <c r="O36" s="29">
        <f>[2]明细表!F27</f>
        <v>11162</v>
      </c>
      <c r="P36" s="81">
        <f t="shared" si="0"/>
        <v>18.334694622856269</v>
      </c>
      <c r="Q36" s="82">
        <f>[2]明细表!R27</f>
        <v>204651.86138032167</v>
      </c>
      <c r="R36" s="28">
        <f>[3]明细表!D22</f>
        <v>10719</v>
      </c>
      <c r="S36" s="29">
        <f>[3]明细表!E22</f>
        <v>61</v>
      </c>
      <c r="T36" s="29"/>
      <c r="U36" s="29"/>
      <c r="V36" s="29">
        <f>[3]明细表!F22</f>
        <v>10658</v>
      </c>
      <c r="W36" s="81">
        <f t="shared" si="24"/>
        <v>17.998482275002115</v>
      </c>
      <c r="X36" s="83">
        <f>[3]明细表!R22</f>
        <v>191827.82408697254</v>
      </c>
      <c r="Y36" s="72">
        <f>[4]明细表!D22</f>
        <v>11666</v>
      </c>
      <c r="Z36" s="84">
        <f>[4]明细表!E22</f>
        <v>62</v>
      </c>
      <c r="AA36" s="84"/>
      <c r="AB36" s="84"/>
      <c r="AC36" s="84">
        <f>[4]明细表!F22</f>
        <v>11604</v>
      </c>
      <c r="AD36" s="85">
        <f>AE36/AC36</f>
        <v>18.638763656619716</v>
      </c>
      <c r="AE36" s="86">
        <f>[4]明细表!R22</f>
        <v>216284.21347141519</v>
      </c>
      <c r="AF36" s="72">
        <f>[5]明细表!D22</f>
        <v>9743</v>
      </c>
      <c r="AG36" s="84">
        <f>[5]明细表!E22</f>
        <v>60</v>
      </c>
      <c r="AH36" s="84"/>
      <c r="AI36" s="84">
        <f>[5]明细表!F22</f>
        <v>2</v>
      </c>
      <c r="AJ36" s="84">
        <f>[5]明细表!G22</f>
        <v>9681</v>
      </c>
      <c r="AK36" s="85">
        <f t="shared" si="26"/>
        <v>18.648856210844375</v>
      </c>
      <c r="AL36" s="86">
        <f>[5]明细表!S22</f>
        <v>180539.57697718439</v>
      </c>
      <c r="AM36" s="77">
        <f>[6]明细表!D22</f>
        <v>8747</v>
      </c>
      <c r="AN36" s="48">
        <f>[6]明细表!E22</f>
        <v>64</v>
      </c>
      <c r="AO36" s="48"/>
      <c r="AP36" s="48">
        <f>[6]明细表!F22</f>
        <v>7</v>
      </c>
      <c r="AQ36" s="48">
        <f>[6]明细表!G22</f>
        <v>8676</v>
      </c>
      <c r="AR36" s="81">
        <f t="shared" si="19"/>
        <v>18.671748320019063</v>
      </c>
      <c r="AS36" s="82">
        <f>[6]明细表!S22</f>
        <v>161996.08842448538</v>
      </c>
      <c r="AT36" s="77">
        <f t="shared" si="6"/>
        <v>30156</v>
      </c>
      <c r="AU36" s="48">
        <f t="shared" si="6"/>
        <v>186</v>
      </c>
      <c r="AV36" s="48">
        <f t="shared" si="6"/>
        <v>0</v>
      </c>
      <c r="AW36" s="48">
        <f t="shared" si="6"/>
        <v>9</v>
      </c>
      <c r="AX36" s="73">
        <f t="shared" si="6"/>
        <v>29961</v>
      </c>
      <c r="AY36" s="81">
        <f t="shared" si="13"/>
        <v>18.651576345018025</v>
      </c>
      <c r="AZ36" s="82">
        <f t="shared" si="7"/>
        <v>558819.87887308502</v>
      </c>
      <c r="BA36" s="77">
        <f>[7]明细表!D20</f>
        <v>9256</v>
      </c>
      <c r="BB36" s="48">
        <f>[7]明细表!E20</f>
        <v>60</v>
      </c>
      <c r="BC36" s="48"/>
      <c r="BD36" s="48"/>
      <c r="BE36" s="48">
        <f>[7]明细表!F20</f>
        <v>9196</v>
      </c>
      <c r="BF36" s="81">
        <f t="shared" si="28"/>
        <v>18.696680444513831</v>
      </c>
      <c r="BG36" s="83">
        <f>[7]明细表!R20</f>
        <v>171934.6733677492</v>
      </c>
      <c r="BH36" s="77">
        <f>[8]明细表!D20</f>
        <v>9010</v>
      </c>
      <c r="BI36" s="48">
        <f>[8]明细表!E20</f>
        <v>62</v>
      </c>
      <c r="BJ36" s="48"/>
      <c r="BK36" s="48">
        <f>[8]明细表!F20</f>
        <v>2</v>
      </c>
      <c r="BL36" s="48">
        <f>[8]明细表!G20</f>
        <v>8946</v>
      </c>
      <c r="BM36" s="6">
        <f t="shared" si="29"/>
        <v>19.071095080264737</v>
      </c>
      <c r="BN36" s="83">
        <f>[8]明细表!S20</f>
        <v>170610.01658804834</v>
      </c>
      <c r="BO36" s="47">
        <f>明细表!D20</f>
        <v>6397</v>
      </c>
      <c r="BP36" s="48">
        <f>明细表!E20</f>
        <v>62</v>
      </c>
      <c r="BQ36" s="48"/>
      <c r="BR36" s="48"/>
      <c r="BS36" s="48">
        <f>明细表!F20</f>
        <v>6335</v>
      </c>
      <c r="BT36" s="81">
        <f t="shared" si="15"/>
        <v>17.630948246240379</v>
      </c>
      <c r="BU36" s="83">
        <f>明细表!R20</f>
        <v>111692.0571399328</v>
      </c>
      <c r="BV36" s="47"/>
      <c r="BW36" s="48"/>
      <c r="BX36" s="48"/>
      <c r="BY36" s="48"/>
      <c r="BZ36" s="48"/>
      <c r="CA36" s="81"/>
      <c r="CB36" s="83"/>
      <c r="CC36" s="47"/>
      <c r="CD36" s="48"/>
      <c r="CE36" s="48"/>
      <c r="CF36" s="48"/>
      <c r="CG36" s="48"/>
      <c r="CH36" s="81"/>
      <c r="CI36" s="83"/>
      <c r="CJ36" s="47"/>
      <c r="CK36" s="48"/>
      <c r="CL36" s="48"/>
      <c r="CM36" s="48"/>
      <c r="CN36" s="48"/>
      <c r="CO36" s="81"/>
      <c r="CP36" s="83"/>
      <c r="CQ36" s="72">
        <f t="shared" si="16"/>
        <v>85925</v>
      </c>
      <c r="CR36" s="73">
        <f t="shared" si="8"/>
        <v>560</v>
      </c>
      <c r="CS36" s="73"/>
      <c r="CT36" s="48">
        <f t="shared" si="9"/>
        <v>11</v>
      </c>
      <c r="CU36" s="48">
        <f t="shared" si="10"/>
        <v>85354</v>
      </c>
      <c r="CV36" s="81">
        <f t="shared" si="2"/>
        <v>18.454834111731</v>
      </c>
      <c r="CW36" s="82">
        <f t="shared" si="11"/>
        <v>1575193.9107726878</v>
      </c>
    </row>
    <row r="37" spans="1:103" s="87" customFormat="1" x14ac:dyDescent="0.15">
      <c r="A37" s="460"/>
      <c r="B37" s="29">
        <v>18</v>
      </c>
      <c r="C37" s="80" t="str">
        <f>[1]明细表!C26</f>
        <v>65元椒香牛蛙套餐</v>
      </c>
      <c r="D37" s="32">
        <f>[1]明细表!D26</f>
        <v>1788</v>
      </c>
      <c r="E37" s="29">
        <f>[1]明细表!E26</f>
        <v>62</v>
      </c>
      <c r="F37" s="29"/>
      <c r="G37" s="29"/>
      <c r="H37" s="29">
        <f t="shared" si="5"/>
        <v>1726</v>
      </c>
      <c r="I37" s="81">
        <f t="shared" si="4"/>
        <v>28.9950266027402</v>
      </c>
      <c r="J37" s="82">
        <f>[1]明细表!R26</f>
        <v>50045.415916329584</v>
      </c>
      <c r="K37" s="31">
        <f>[2]明细表!D28</f>
        <v>2236</v>
      </c>
      <c r="L37" s="29">
        <f>[2]明细表!E28</f>
        <v>67</v>
      </c>
      <c r="M37" s="32"/>
      <c r="N37" s="29"/>
      <c r="O37" s="29">
        <f>[2]明细表!F28</f>
        <v>2169</v>
      </c>
      <c r="P37" s="81">
        <f t="shared" si="0"/>
        <v>28.326292020055106</v>
      </c>
      <c r="Q37" s="82">
        <f>[2]明细表!R28</f>
        <v>61439.727391499524</v>
      </c>
      <c r="R37" s="28">
        <f>[3]明细表!D23</f>
        <v>2084</v>
      </c>
      <c r="S37" s="29">
        <f>[3]明细表!E23</f>
        <v>56</v>
      </c>
      <c r="T37" s="29"/>
      <c r="U37" s="29"/>
      <c r="V37" s="29">
        <f>[3]明细表!F23</f>
        <v>2028</v>
      </c>
      <c r="W37" s="81">
        <f t="shared" si="24"/>
        <v>26.639618378374568</v>
      </c>
      <c r="X37" s="83">
        <f>[3]明细表!R23</f>
        <v>54025.146071343624</v>
      </c>
      <c r="Y37" s="72">
        <f>[4]明细表!D23</f>
        <v>785</v>
      </c>
      <c r="Z37" s="84">
        <f>[4]明细表!E23</f>
        <v>22</v>
      </c>
      <c r="AA37" s="84"/>
      <c r="AB37" s="84"/>
      <c r="AC37" s="84">
        <f>[4]明细表!F23</f>
        <v>763</v>
      </c>
      <c r="AD37" s="85">
        <f>AE37/AC37</f>
        <v>28.056461126602276</v>
      </c>
      <c r="AE37" s="86">
        <f>[4]明细表!R23</f>
        <v>21407.079839597536</v>
      </c>
      <c r="AF37" s="72"/>
      <c r="AG37" s="84"/>
      <c r="AH37" s="84"/>
      <c r="AI37" s="84"/>
      <c r="AJ37" s="84"/>
      <c r="AK37" s="85"/>
      <c r="AL37" s="86"/>
      <c r="AM37" s="77"/>
      <c r="AN37" s="48"/>
      <c r="AO37" s="48"/>
      <c r="AP37" s="48"/>
      <c r="AQ37" s="48"/>
      <c r="AR37" s="81"/>
      <c r="AS37" s="82"/>
      <c r="AT37" s="77">
        <f t="shared" si="6"/>
        <v>785</v>
      </c>
      <c r="AU37" s="48">
        <f t="shared" si="6"/>
        <v>22</v>
      </c>
      <c r="AV37" s="48">
        <f t="shared" si="6"/>
        <v>0</v>
      </c>
      <c r="AW37" s="48">
        <f t="shared" si="6"/>
        <v>0</v>
      </c>
      <c r="AX37" s="73">
        <f t="shared" si="6"/>
        <v>763</v>
      </c>
      <c r="AY37" s="81"/>
      <c r="AZ37" s="82">
        <f t="shared" si="7"/>
        <v>21407.079839597536</v>
      </c>
      <c r="BA37" s="77"/>
      <c r="BB37" s="48"/>
      <c r="BC37" s="48"/>
      <c r="BD37" s="48"/>
      <c r="BE37" s="48"/>
      <c r="BF37" s="81"/>
      <c r="BG37" s="83"/>
      <c r="BH37" s="77"/>
      <c r="BI37" s="48"/>
      <c r="BJ37" s="48"/>
      <c r="BK37" s="48"/>
      <c r="BL37" s="48"/>
      <c r="BM37" s="6"/>
      <c r="BN37" s="83"/>
      <c r="BO37" s="47"/>
      <c r="BP37" s="48"/>
      <c r="BQ37" s="48"/>
      <c r="BR37" s="48"/>
      <c r="BS37" s="48"/>
      <c r="BT37" s="81"/>
      <c r="BU37" s="83"/>
      <c r="BV37" s="47"/>
      <c r="BW37" s="48"/>
      <c r="BX37" s="48"/>
      <c r="BY37" s="48"/>
      <c r="BZ37" s="48"/>
      <c r="CA37" s="81"/>
      <c r="CB37" s="83"/>
      <c r="CC37" s="47"/>
      <c r="CD37" s="48"/>
      <c r="CE37" s="48"/>
      <c r="CF37" s="48"/>
      <c r="CG37" s="48"/>
      <c r="CH37" s="81"/>
      <c r="CI37" s="83"/>
      <c r="CJ37" s="47"/>
      <c r="CK37" s="48"/>
      <c r="CL37" s="48"/>
      <c r="CM37" s="48"/>
      <c r="CN37" s="48"/>
      <c r="CO37" s="81"/>
      <c r="CP37" s="83"/>
      <c r="CQ37" s="72">
        <f t="shared" si="16"/>
        <v>6893</v>
      </c>
      <c r="CR37" s="73">
        <f t="shared" si="8"/>
        <v>207</v>
      </c>
      <c r="CS37" s="73"/>
      <c r="CT37" s="48"/>
      <c r="CU37" s="48">
        <f t="shared" si="10"/>
        <v>6686</v>
      </c>
      <c r="CV37" s="81">
        <f t="shared" si="2"/>
        <v>27.956531441634798</v>
      </c>
      <c r="CW37" s="82">
        <f t="shared" si="11"/>
        <v>186917.36921877027</v>
      </c>
      <c r="CX37" s="100"/>
      <c r="CY37" s="101"/>
    </row>
    <row r="38" spans="1:103" s="87" customFormat="1" x14ac:dyDescent="0.15">
      <c r="A38" s="460"/>
      <c r="B38" s="29">
        <v>19</v>
      </c>
      <c r="C38" s="80" t="str">
        <f>[1]明细表!C27</f>
        <v>65元水晶虾仁</v>
      </c>
      <c r="D38" s="32">
        <f>[1]明细表!D27</f>
        <v>16206</v>
      </c>
      <c r="E38" s="29">
        <f>[1]明细表!E27</f>
        <v>62</v>
      </c>
      <c r="F38" s="29"/>
      <c r="G38" s="29"/>
      <c r="H38" s="29">
        <f t="shared" si="5"/>
        <v>16144</v>
      </c>
      <c r="I38" s="81">
        <f t="shared" si="4"/>
        <v>18.801167427781039</v>
      </c>
      <c r="J38" s="82">
        <f>[1]明细表!R27</f>
        <v>303526.04695409711</v>
      </c>
      <c r="K38" s="31">
        <f>[2]明细表!D24</f>
        <v>15312</v>
      </c>
      <c r="L38" s="29">
        <f>[2]明细表!E24</f>
        <v>62</v>
      </c>
      <c r="M38" s="32"/>
      <c r="N38" s="29"/>
      <c r="O38" s="29">
        <f>[2]明细表!F24</f>
        <v>15250</v>
      </c>
      <c r="P38" s="81">
        <f t="shared" si="0"/>
        <v>18.319940281359489</v>
      </c>
      <c r="Q38" s="82">
        <f>[2]明细表!R24</f>
        <v>279379.08929073223</v>
      </c>
      <c r="R38" s="28">
        <f>[3]明细表!D19</f>
        <v>18534</v>
      </c>
      <c r="S38" s="29">
        <f>[3]明细表!E19</f>
        <v>56</v>
      </c>
      <c r="T38" s="29"/>
      <c r="U38" s="29"/>
      <c r="V38" s="29">
        <f>[3]明细表!F19</f>
        <v>18478</v>
      </c>
      <c r="W38" s="81">
        <f t="shared" si="24"/>
        <v>18.258068201289287</v>
      </c>
      <c r="X38" s="83">
        <f>[3]明细表!R19</f>
        <v>337372.58422342344</v>
      </c>
      <c r="Y38" s="72">
        <f>[4]明细表!D19</f>
        <v>24398</v>
      </c>
      <c r="Z38" s="84">
        <f>[4]明细表!E19</f>
        <v>62</v>
      </c>
      <c r="AA38" s="84"/>
      <c r="AB38" s="84"/>
      <c r="AC38" s="84">
        <f>[4]明细表!F19</f>
        <v>24336</v>
      </c>
      <c r="AD38" s="85">
        <f>AE38/AC38</f>
        <v>18.845129504343699</v>
      </c>
      <c r="AE38" s="86">
        <f>[4]明细表!R19</f>
        <v>458615.07161770825</v>
      </c>
      <c r="AF38" s="72">
        <f>[5]明细表!D20</f>
        <v>26187</v>
      </c>
      <c r="AG38" s="84">
        <f>[5]明细表!E20</f>
        <v>60</v>
      </c>
      <c r="AH38" s="84"/>
      <c r="AI38" s="84"/>
      <c r="AJ38" s="84">
        <f>[5]明细表!G20</f>
        <v>26127</v>
      </c>
      <c r="AK38" s="85">
        <f t="shared" si="26"/>
        <v>19.218457992378916</v>
      </c>
      <c r="AL38" s="86">
        <f>[5]明细表!S20</f>
        <v>502120.65196688392</v>
      </c>
      <c r="AM38" s="77">
        <f>[6]明细表!D20</f>
        <v>29160</v>
      </c>
      <c r="AN38" s="48">
        <f>[6]明细表!E20</f>
        <v>62</v>
      </c>
      <c r="AO38" s="48"/>
      <c r="AP38" s="48">
        <f>[6]明细表!F20</f>
        <v>2</v>
      </c>
      <c r="AQ38" s="48">
        <f>[6]明细表!G20</f>
        <v>29096</v>
      </c>
      <c r="AR38" s="81">
        <f t="shared" si="19"/>
        <v>20.393642955139615</v>
      </c>
      <c r="AS38" s="82">
        <f>[6]明细表!S20</f>
        <v>593373.43542274227</v>
      </c>
      <c r="AT38" s="77">
        <f t="shared" si="6"/>
        <v>79745</v>
      </c>
      <c r="AU38" s="48">
        <f t="shared" si="6"/>
        <v>184</v>
      </c>
      <c r="AV38" s="48">
        <f t="shared" si="6"/>
        <v>0</v>
      </c>
      <c r="AW38" s="48">
        <f t="shared" si="6"/>
        <v>2</v>
      </c>
      <c r="AX38" s="73">
        <f t="shared" si="6"/>
        <v>79559</v>
      </c>
      <c r="AY38" s="81">
        <f t="shared" si="13"/>
        <v>19.534045915701988</v>
      </c>
      <c r="AZ38" s="82">
        <f t="shared" si="7"/>
        <v>1554109.1590073344</v>
      </c>
      <c r="BA38" s="77">
        <f>[7]明细表!D21</f>
        <v>35420</v>
      </c>
      <c r="BB38" s="48">
        <f>[7]明细表!E21</f>
        <v>65</v>
      </c>
      <c r="BC38" s="48"/>
      <c r="BD38" s="48"/>
      <c r="BE38" s="48">
        <f>[7]明细表!F21</f>
        <v>35355</v>
      </c>
      <c r="BF38" s="81">
        <f t="shared" si="28"/>
        <v>18.540111750979197</v>
      </c>
      <c r="BG38" s="83">
        <f>[7]明细表!R21</f>
        <v>655485.65095586947</v>
      </c>
      <c r="BH38" s="77">
        <f>[8]明细表!D21</f>
        <v>43773</v>
      </c>
      <c r="BI38" s="48">
        <f>[8]明细表!E21</f>
        <v>62</v>
      </c>
      <c r="BJ38" s="48"/>
      <c r="BK38" s="48">
        <f>[8]明细表!F21</f>
        <v>2</v>
      </c>
      <c r="BL38" s="48">
        <f>[8]明细表!G21</f>
        <v>43709</v>
      </c>
      <c r="BM38" s="6">
        <f t="shared" si="29"/>
        <v>18.737383933040881</v>
      </c>
      <c r="BN38" s="83">
        <f>[8]明细表!S21</f>
        <v>818992.31432928389</v>
      </c>
      <c r="BO38" s="47">
        <f>明细表!D21</f>
        <v>32195</v>
      </c>
      <c r="BP38" s="48">
        <f>明细表!E21</f>
        <v>62</v>
      </c>
      <c r="BQ38" s="48"/>
      <c r="BR38" s="48"/>
      <c r="BS38" s="48">
        <f>明细表!F21</f>
        <v>32133</v>
      </c>
      <c r="BT38" s="81">
        <f t="shared" si="15"/>
        <v>17.574863751357022</v>
      </c>
      <c r="BU38" s="83">
        <f>明细表!R21</f>
        <v>564733.09692235512</v>
      </c>
      <c r="BV38" s="47"/>
      <c r="BW38" s="48"/>
      <c r="BX38" s="48"/>
      <c r="BY38" s="48"/>
      <c r="BZ38" s="48"/>
      <c r="CA38" s="81"/>
      <c r="CB38" s="83"/>
      <c r="CC38" s="47"/>
      <c r="CD38" s="48"/>
      <c r="CE38" s="48"/>
      <c r="CF38" s="48"/>
      <c r="CG38" s="48"/>
      <c r="CH38" s="81"/>
      <c r="CI38" s="83"/>
      <c r="CJ38" s="47"/>
      <c r="CK38" s="48"/>
      <c r="CL38" s="48"/>
      <c r="CM38" s="48"/>
      <c r="CN38" s="48"/>
      <c r="CO38" s="81"/>
      <c r="CP38" s="83"/>
      <c r="CQ38" s="72">
        <f t="shared" si="16"/>
        <v>241185</v>
      </c>
      <c r="CR38" s="73">
        <f t="shared" si="8"/>
        <v>553</v>
      </c>
      <c r="CS38" s="73"/>
      <c r="CT38" s="48">
        <f t="shared" si="9"/>
        <v>4</v>
      </c>
      <c r="CU38" s="48">
        <f t="shared" si="10"/>
        <v>240628</v>
      </c>
      <c r="CV38" s="81">
        <f t="shared" si="2"/>
        <v>18.757575767089012</v>
      </c>
      <c r="CW38" s="82">
        <f t="shared" si="11"/>
        <v>4513597.9416830949</v>
      </c>
    </row>
    <row r="39" spans="1:103" s="87" customFormat="1" x14ac:dyDescent="0.15">
      <c r="A39" s="460"/>
      <c r="B39" s="29">
        <v>20</v>
      </c>
      <c r="C39" s="80" t="str">
        <f>[1]明细表!C28</f>
        <v>65元杏鲍菇炖牛肉</v>
      </c>
      <c r="D39" s="32">
        <f>[1]明细表!D28</f>
        <v>36778</v>
      </c>
      <c r="E39" s="29">
        <f>[1]明细表!E28</f>
        <v>62</v>
      </c>
      <c r="F39" s="29"/>
      <c r="G39" s="29"/>
      <c r="H39" s="29">
        <f t="shared" si="5"/>
        <v>36716</v>
      </c>
      <c r="I39" s="81">
        <f t="shared" si="4"/>
        <v>20.250930719502104</v>
      </c>
      <c r="J39" s="82">
        <f>[1]明细表!R28</f>
        <v>743533.1722972393</v>
      </c>
      <c r="K39" s="31">
        <f>[2]明细表!D25</f>
        <v>38544</v>
      </c>
      <c r="L39" s="29">
        <f>[2]明细表!E25</f>
        <v>62</v>
      </c>
      <c r="M39" s="32"/>
      <c r="N39" s="29"/>
      <c r="O39" s="29">
        <f>[2]明细表!F25</f>
        <v>38482</v>
      </c>
      <c r="P39" s="81">
        <f t="shared" si="0"/>
        <v>20.279438923279365</v>
      </c>
      <c r="Q39" s="82">
        <f>[2]明细表!R25</f>
        <v>780393.36864563648</v>
      </c>
      <c r="R39" s="28">
        <f>[3]明细表!D20</f>
        <v>47621</v>
      </c>
      <c r="S39" s="29">
        <f>[3]明细表!E20</f>
        <v>56</v>
      </c>
      <c r="T39" s="29"/>
      <c r="U39" s="29"/>
      <c r="V39" s="29">
        <f>[3]明细表!F20</f>
        <v>47565</v>
      </c>
      <c r="W39" s="81">
        <f t="shared" si="24"/>
        <v>19.967954748904095</v>
      </c>
      <c r="X39" s="83">
        <f>[3]明细表!R20</f>
        <v>949775.76763162331</v>
      </c>
      <c r="Y39" s="72">
        <f>[4]明细表!D20</f>
        <v>73717</v>
      </c>
      <c r="Z39" s="84">
        <f>[4]明细表!E20</f>
        <v>62</v>
      </c>
      <c r="AA39" s="84"/>
      <c r="AB39" s="84"/>
      <c r="AC39" s="84">
        <f>[4]明细表!F20</f>
        <v>73655</v>
      </c>
      <c r="AD39" s="85">
        <f>AE39/AC39</f>
        <v>19.898872378197272</v>
      </c>
      <c r="AE39" s="86">
        <f>[4]明细表!R20</f>
        <v>1465651.4450161201</v>
      </c>
      <c r="AF39" s="72">
        <f>[5]明细表!D21</f>
        <v>82874</v>
      </c>
      <c r="AG39" s="84">
        <f>[5]明细表!E21</f>
        <v>60</v>
      </c>
      <c r="AH39" s="84"/>
      <c r="AI39" s="84"/>
      <c r="AJ39" s="84">
        <f>[5]明细表!G21</f>
        <v>82814</v>
      </c>
      <c r="AK39" s="85">
        <f t="shared" si="26"/>
        <v>20.593942933748131</v>
      </c>
      <c r="AL39" s="86">
        <f>[5]明细表!S21</f>
        <v>1705466.7901154177</v>
      </c>
      <c r="AM39" s="77">
        <f>[6]明细表!D21</f>
        <v>86226</v>
      </c>
      <c r="AN39" s="48">
        <f>[6]明细表!E21</f>
        <v>70</v>
      </c>
      <c r="AO39" s="48"/>
      <c r="AP39" s="48">
        <f>[6]明细表!F21</f>
        <v>2</v>
      </c>
      <c r="AQ39" s="48">
        <f>[6]明细表!G21</f>
        <v>86154</v>
      </c>
      <c r="AR39" s="81">
        <f t="shared" si="19"/>
        <v>20.773071903727619</v>
      </c>
      <c r="AS39" s="82">
        <f>[6]明细表!S21</f>
        <v>1789683.2367937493</v>
      </c>
      <c r="AT39" s="77">
        <f t="shared" si="6"/>
        <v>242817</v>
      </c>
      <c r="AU39" s="48">
        <f t="shared" si="6"/>
        <v>192</v>
      </c>
      <c r="AV39" s="48">
        <f t="shared" si="6"/>
        <v>0</v>
      </c>
      <c r="AW39" s="48">
        <f t="shared" si="6"/>
        <v>2</v>
      </c>
      <c r="AX39" s="73">
        <f t="shared" si="6"/>
        <v>242623</v>
      </c>
      <c r="AY39" s="81">
        <f t="shared" si="13"/>
        <v>20.446542462690211</v>
      </c>
      <c r="AZ39" s="82">
        <f t="shared" si="7"/>
        <v>4960801.4719252866</v>
      </c>
      <c r="BA39" s="77">
        <f>[7]明细表!D23</f>
        <v>107790</v>
      </c>
      <c r="BB39" s="48">
        <f>[7]明细表!E23</f>
        <v>65</v>
      </c>
      <c r="BC39" s="48"/>
      <c r="BD39" s="48"/>
      <c r="BE39" s="48">
        <f>[7]明细表!F23</f>
        <v>107725</v>
      </c>
      <c r="BF39" s="81">
        <f t="shared" si="28"/>
        <v>19.768033045409567</v>
      </c>
      <c r="BG39" s="83">
        <f>[7]明细表!R23</f>
        <v>2129511.3598167454</v>
      </c>
      <c r="BH39" s="77">
        <f>[8]明细表!D22</f>
        <v>136683</v>
      </c>
      <c r="BI39" s="48">
        <f>[8]明细表!E22</f>
        <v>62</v>
      </c>
      <c r="BJ39" s="48"/>
      <c r="BK39" s="48">
        <f>[8]明细表!F22</f>
        <v>2</v>
      </c>
      <c r="BL39" s="48">
        <f>[8]明细表!G22</f>
        <v>136619</v>
      </c>
      <c r="BM39" s="6">
        <f t="shared" si="29"/>
        <v>19.214903923359881</v>
      </c>
      <c r="BN39" s="83">
        <f>[8]明细表!S22</f>
        <v>2625120.9591055037</v>
      </c>
      <c r="BO39" s="47">
        <f>明细表!D22</f>
        <v>96965</v>
      </c>
      <c r="BP39" s="48">
        <f>明细表!E22</f>
        <v>62</v>
      </c>
      <c r="BQ39" s="48"/>
      <c r="BR39" s="48"/>
      <c r="BS39" s="48">
        <f>明细表!F22</f>
        <v>96903</v>
      </c>
      <c r="BT39" s="81">
        <f t="shared" si="15"/>
        <v>18.72809623314124</v>
      </c>
      <c r="BU39" s="83">
        <f>明细表!R22</f>
        <v>1814808.7092800855</v>
      </c>
      <c r="BV39" s="47"/>
      <c r="BW39" s="48"/>
      <c r="BX39" s="48"/>
      <c r="BY39" s="48"/>
      <c r="BZ39" s="48"/>
      <c r="CA39" s="81"/>
      <c r="CB39" s="83"/>
      <c r="CC39" s="47"/>
      <c r="CD39" s="48"/>
      <c r="CE39" s="48"/>
      <c r="CF39" s="48"/>
      <c r="CG39" s="48"/>
      <c r="CH39" s="81"/>
      <c r="CI39" s="83"/>
      <c r="CJ39" s="47"/>
      <c r="CK39" s="48"/>
      <c r="CL39" s="48"/>
      <c r="CM39" s="48"/>
      <c r="CN39" s="48"/>
      <c r="CO39" s="81"/>
      <c r="CP39" s="83"/>
      <c r="CQ39" s="72">
        <f t="shared" si="16"/>
        <v>707198</v>
      </c>
      <c r="CR39" s="73">
        <f t="shared" si="8"/>
        <v>561</v>
      </c>
      <c r="CS39" s="73"/>
      <c r="CT39" s="48">
        <f t="shared" si="9"/>
        <v>4</v>
      </c>
      <c r="CU39" s="48">
        <f t="shared" si="10"/>
        <v>706633</v>
      </c>
      <c r="CV39" s="81">
        <f t="shared" si="2"/>
        <v>19.81784718333579</v>
      </c>
      <c r="CW39" s="82">
        <f t="shared" si="11"/>
        <v>14003944.808702119</v>
      </c>
    </row>
    <row r="40" spans="1:103" s="87" customFormat="1" x14ac:dyDescent="0.15">
      <c r="A40" s="460"/>
      <c r="B40" s="29">
        <v>21</v>
      </c>
      <c r="C40" s="80" t="s">
        <v>70</v>
      </c>
      <c r="D40" s="32"/>
      <c r="E40" s="29"/>
      <c r="F40" s="29"/>
      <c r="G40" s="29"/>
      <c r="H40" s="29"/>
      <c r="I40" s="81"/>
      <c r="J40" s="82"/>
      <c r="K40" s="31"/>
      <c r="L40" s="29"/>
      <c r="M40" s="32"/>
      <c r="N40" s="29"/>
      <c r="O40" s="29"/>
      <c r="P40" s="81"/>
      <c r="Q40" s="82"/>
      <c r="R40" s="31"/>
      <c r="S40" s="29"/>
      <c r="T40" s="32"/>
      <c r="U40" s="29"/>
      <c r="V40" s="29"/>
      <c r="W40" s="81"/>
      <c r="X40" s="83"/>
      <c r="Y40" s="72"/>
      <c r="Z40" s="84"/>
      <c r="AA40" s="84"/>
      <c r="AB40" s="84"/>
      <c r="AC40" s="84"/>
      <c r="AD40" s="85"/>
      <c r="AE40" s="86"/>
      <c r="AF40" s="72"/>
      <c r="AG40" s="84"/>
      <c r="AH40" s="84"/>
      <c r="AI40" s="84"/>
      <c r="AJ40" s="84"/>
      <c r="AK40" s="85"/>
      <c r="AL40" s="86"/>
      <c r="AM40" s="77"/>
      <c r="AN40" s="48"/>
      <c r="AO40" s="48"/>
      <c r="AP40" s="48"/>
      <c r="AQ40" s="48"/>
      <c r="AR40" s="81"/>
      <c r="AS40" s="82"/>
      <c r="AT40" s="77"/>
      <c r="AU40" s="48"/>
      <c r="AV40" s="48"/>
      <c r="AW40" s="48"/>
      <c r="AX40" s="73"/>
      <c r="AY40" s="81"/>
      <c r="AZ40" s="82"/>
      <c r="BA40" s="77">
        <f>[7]明细表!D22</f>
        <v>4</v>
      </c>
      <c r="BB40" s="48">
        <v>2</v>
      </c>
      <c r="BC40" s="48"/>
      <c r="BD40" s="48"/>
      <c r="BE40" s="48">
        <v>2</v>
      </c>
      <c r="BF40" s="81">
        <f t="shared" si="28"/>
        <v>14.33935358381755</v>
      </c>
      <c r="BG40" s="83">
        <f>[7]明细表!R22</f>
        <v>28.6787071676351</v>
      </c>
      <c r="BH40" s="77"/>
      <c r="BI40" s="48"/>
      <c r="BJ40" s="48"/>
      <c r="BK40" s="48"/>
      <c r="BL40" s="48"/>
      <c r="BM40" s="6"/>
      <c r="BN40" s="83"/>
      <c r="BO40" s="47"/>
      <c r="BP40" s="48"/>
      <c r="BQ40" s="48"/>
      <c r="BR40" s="48"/>
      <c r="BS40" s="48"/>
      <c r="BT40" s="81"/>
      <c r="BU40" s="83"/>
      <c r="BV40" s="47"/>
      <c r="BW40" s="48"/>
      <c r="BX40" s="48"/>
      <c r="BY40" s="48"/>
      <c r="BZ40" s="48"/>
      <c r="CA40" s="81"/>
      <c r="CB40" s="83"/>
      <c r="CC40" s="47"/>
      <c r="CD40" s="48"/>
      <c r="CE40" s="48"/>
      <c r="CF40" s="48"/>
      <c r="CG40" s="48"/>
      <c r="CH40" s="81"/>
      <c r="CI40" s="83"/>
      <c r="CJ40" s="47"/>
      <c r="CK40" s="48"/>
      <c r="CL40" s="48"/>
      <c r="CM40" s="48"/>
      <c r="CN40" s="48"/>
      <c r="CO40" s="81"/>
      <c r="CP40" s="83"/>
      <c r="CQ40" s="72">
        <f t="shared" si="16"/>
        <v>4</v>
      </c>
      <c r="CR40" s="73">
        <f t="shared" si="8"/>
        <v>2</v>
      </c>
      <c r="CS40" s="73"/>
      <c r="CT40" s="48"/>
      <c r="CU40" s="48">
        <f t="shared" si="10"/>
        <v>2</v>
      </c>
      <c r="CV40" s="81">
        <f t="shared" si="2"/>
        <v>14.33935358381755</v>
      </c>
      <c r="CW40" s="82">
        <f t="shared" si="11"/>
        <v>28.6787071676351</v>
      </c>
    </row>
    <row r="41" spans="1:103" s="95" customFormat="1" x14ac:dyDescent="0.15">
      <c r="A41" s="460"/>
      <c r="B41" s="474" t="s">
        <v>61</v>
      </c>
      <c r="C41" s="475"/>
      <c r="D41" s="377">
        <f>SUM(D35:D39)</f>
        <v>67361</v>
      </c>
      <c r="E41" s="51">
        <f>SUM(E35:E39)</f>
        <v>315</v>
      </c>
      <c r="F41" s="51"/>
      <c r="G41" s="51"/>
      <c r="H41" s="51">
        <f>SUM(H35:H39)</f>
        <v>67046</v>
      </c>
      <c r="I41" s="88">
        <f t="shared" si="4"/>
        <v>19.952034415630955</v>
      </c>
      <c r="J41" s="89">
        <f>SUM(J35:J39)</f>
        <v>1337704.099430393</v>
      </c>
      <c r="K41" s="54">
        <f>SUM(K35:K39)</f>
        <v>71037</v>
      </c>
      <c r="L41" s="55">
        <f>SUM(L35:L39)</f>
        <v>320</v>
      </c>
      <c r="M41" s="57"/>
      <c r="N41" s="51"/>
      <c r="O41" s="55">
        <f>SUM(O35:O39)</f>
        <v>70717</v>
      </c>
      <c r="P41" s="88">
        <f t="shared" si="0"/>
        <v>19.928802820782444</v>
      </c>
      <c r="Q41" s="89">
        <f>SUM(Q35:Q39)</f>
        <v>1409305.149077272</v>
      </c>
      <c r="R41" s="54">
        <f>SUM(R35:R39)</f>
        <v>82171</v>
      </c>
      <c r="S41" s="55">
        <f>SUM(S35:S39)</f>
        <v>285</v>
      </c>
      <c r="T41" s="57"/>
      <c r="U41" s="51"/>
      <c r="V41" s="55">
        <f>SUM(V35:V39)</f>
        <v>81886</v>
      </c>
      <c r="W41" s="88">
        <f t="shared" si="24"/>
        <v>19.609394029229431</v>
      </c>
      <c r="X41" s="89">
        <f>SUM(X35:X39)</f>
        <v>1605734.8394774813</v>
      </c>
      <c r="Y41" s="76">
        <f>SUM(Y35:Y39)</f>
        <v>111330</v>
      </c>
      <c r="Z41" s="90">
        <f>SUM(Z35:Z39)</f>
        <v>220</v>
      </c>
      <c r="AA41" s="90"/>
      <c r="AB41" s="90"/>
      <c r="AC41" s="90">
        <f t="shared" ref="AC41:AI41" si="33">SUM(AC35:AC39)</f>
        <v>111110</v>
      </c>
      <c r="AD41" s="91">
        <f t="shared" si="33"/>
        <v>107.33539604088034</v>
      </c>
      <c r="AE41" s="92">
        <f t="shared" si="33"/>
        <v>2178423.7293149293</v>
      </c>
      <c r="AF41" s="76">
        <f t="shared" si="33"/>
        <v>118804</v>
      </c>
      <c r="AG41" s="90">
        <f t="shared" si="33"/>
        <v>180</v>
      </c>
      <c r="AH41" s="90"/>
      <c r="AI41" s="90">
        <f t="shared" si="33"/>
        <v>2</v>
      </c>
      <c r="AJ41" s="90">
        <f>SUM(AJ35:AJ39)</f>
        <v>118622</v>
      </c>
      <c r="AK41" s="91">
        <f t="shared" si="26"/>
        <v>20.132243757983222</v>
      </c>
      <c r="AL41" s="92">
        <f>SUM(AL35:AL39)</f>
        <v>2388127.0190594858</v>
      </c>
      <c r="AM41" s="68">
        <f>SUM(AM35:AM39)</f>
        <v>124133</v>
      </c>
      <c r="AN41" s="79">
        <f t="shared" ref="AN41:AQ41" si="34">SUM(AN35:AN39)</f>
        <v>196</v>
      </c>
      <c r="AO41" s="79"/>
      <c r="AP41" s="79">
        <f t="shared" si="34"/>
        <v>11</v>
      </c>
      <c r="AQ41" s="79">
        <f t="shared" si="34"/>
        <v>123926</v>
      </c>
      <c r="AR41" s="88">
        <f t="shared" si="19"/>
        <v>20.536874914392275</v>
      </c>
      <c r="AS41" s="89">
        <f>SUM(AS35:AS39)</f>
        <v>2545052.760640977</v>
      </c>
      <c r="AT41" s="68">
        <f t="shared" si="6"/>
        <v>354267</v>
      </c>
      <c r="AU41" s="79">
        <f t="shared" si="6"/>
        <v>596</v>
      </c>
      <c r="AV41" s="79">
        <f t="shared" si="6"/>
        <v>0</v>
      </c>
      <c r="AW41" s="79">
        <f t="shared" si="6"/>
        <v>13</v>
      </c>
      <c r="AX41" s="73">
        <f t="shared" si="6"/>
        <v>353658</v>
      </c>
      <c r="AY41" s="81">
        <f t="shared" si="13"/>
        <v>20.108702500764558</v>
      </c>
      <c r="AZ41" s="89">
        <f t="shared" si="7"/>
        <v>7111603.5090153925</v>
      </c>
      <c r="BA41" s="68">
        <f t="shared" ref="BA41:BD41" si="35">SUM(BA35:BA40)</f>
        <v>152470</v>
      </c>
      <c r="BB41" s="79">
        <f t="shared" si="35"/>
        <v>192</v>
      </c>
      <c r="BC41" s="79">
        <f t="shared" si="35"/>
        <v>0</v>
      </c>
      <c r="BD41" s="79">
        <f t="shared" si="35"/>
        <v>0</v>
      </c>
      <c r="BE41" s="79">
        <f>SUM(BE35:BE40)</f>
        <v>152278</v>
      </c>
      <c r="BF41" s="88">
        <f t="shared" si="28"/>
        <v>19.418171783498153</v>
      </c>
      <c r="BG41" s="93">
        <f>SUM(BG35:BG40)</f>
        <v>2956960.3628475317</v>
      </c>
      <c r="BH41" s="68">
        <f t="shared" ref="BH41:BK41" si="36">SUM(BH35:BH40)</f>
        <v>189466</v>
      </c>
      <c r="BI41" s="79">
        <f t="shared" si="36"/>
        <v>186</v>
      </c>
      <c r="BJ41" s="79">
        <f t="shared" si="36"/>
        <v>0</v>
      </c>
      <c r="BK41" s="79">
        <f t="shared" si="36"/>
        <v>6</v>
      </c>
      <c r="BL41" s="79">
        <f>SUM(BL35:BL40)</f>
        <v>189274</v>
      </c>
      <c r="BM41" s="88">
        <f t="shared" ref="BM41" si="37">BN41/BL41</f>
        <v>19.097833247159336</v>
      </c>
      <c r="BN41" s="93">
        <f>SUM(BN35:BN40)</f>
        <v>3614723.2900228361</v>
      </c>
      <c r="BO41" s="94">
        <f t="shared" ref="BO41:BP41" si="38">SUM(BO35:BO40)</f>
        <v>135557</v>
      </c>
      <c r="BP41" s="79">
        <f t="shared" si="38"/>
        <v>186</v>
      </c>
      <c r="BQ41" s="79"/>
      <c r="BR41" s="79"/>
      <c r="BS41" s="79">
        <f>SUM(BS35:BS40)</f>
        <v>135371</v>
      </c>
      <c r="BT41" s="88">
        <f t="shared" si="15"/>
        <v>18.403009975122984</v>
      </c>
      <c r="BU41" s="93">
        <f>SUM(BU35:BU40)</f>
        <v>2491233.8633423736</v>
      </c>
      <c r="BV41" s="94"/>
      <c r="BW41" s="79"/>
      <c r="BX41" s="79"/>
      <c r="BY41" s="79"/>
      <c r="BZ41" s="79"/>
      <c r="CA41" s="88"/>
      <c r="CB41" s="93"/>
      <c r="CC41" s="94"/>
      <c r="CD41" s="79"/>
      <c r="CE41" s="79"/>
      <c r="CF41" s="79"/>
      <c r="CG41" s="79"/>
      <c r="CH41" s="88"/>
      <c r="CI41" s="93"/>
      <c r="CJ41" s="94"/>
      <c r="CK41" s="79"/>
      <c r="CL41" s="79"/>
      <c r="CM41" s="79"/>
      <c r="CN41" s="79"/>
      <c r="CO41" s="88"/>
      <c r="CP41" s="93"/>
      <c r="CQ41" s="68">
        <f t="shared" si="16"/>
        <v>1052329</v>
      </c>
      <c r="CR41" s="79">
        <f t="shared" si="8"/>
        <v>2080</v>
      </c>
      <c r="CS41" s="69"/>
      <c r="CT41" s="69">
        <f t="shared" si="9"/>
        <v>19</v>
      </c>
      <c r="CU41" s="69">
        <f t="shared" si="10"/>
        <v>1050230</v>
      </c>
      <c r="CV41" s="88">
        <f t="shared" si="2"/>
        <v>19.545494904176497</v>
      </c>
      <c r="CW41" s="89">
        <f t="shared" si="11"/>
        <v>20527265.113213282</v>
      </c>
    </row>
    <row r="42" spans="1:103" s="70" customFormat="1" hidden="1" x14ac:dyDescent="0.15">
      <c r="A42" s="460"/>
      <c r="B42" s="102">
        <v>30</v>
      </c>
      <c r="C42" s="103" t="str">
        <f>[13]明细表!C34</f>
        <v>99元情侣套餐（B）</v>
      </c>
      <c r="D42" s="378"/>
      <c r="E42" s="98"/>
      <c r="F42" s="98"/>
      <c r="G42" s="98"/>
      <c r="H42" s="29"/>
      <c r="I42" s="6"/>
      <c r="J42" s="30"/>
      <c r="K42" s="31"/>
      <c r="L42" s="29"/>
      <c r="M42" s="32"/>
      <c r="N42" s="51"/>
      <c r="O42" s="29"/>
      <c r="P42" s="6"/>
      <c r="Q42" s="30"/>
      <c r="R42" s="28"/>
      <c r="S42" s="29"/>
      <c r="T42" s="51"/>
      <c r="U42" s="51"/>
      <c r="V42" s="29"/>
      <c r="W42" s="52"/>
      <c r="X42" s="33"/>
      <c r="Y42" s="74"/>
      <c r="Z42" s="36"/>
      <c r="AA42" s="62"/>
      <c r="AB42" s="62"/>
      <c r="AC42" s="36"/>
      <c r="AD42" s="37"/>
      <c r="AE42" s="38"/>
      <c r="AF42" s="74"/>
      <c r="AG42" s="36"/>
      <c r="AH42" s="62"/>
      <c r="AI42" s="36"/>
      <c r="AJ42" s="36"/>
      <c r="AK42" s="37"/>
      <c r="AL42" s="38"/>
      <c r="AM42" s="39"/>
      <c r="AN42" s="40"/>
      <c r="AO42" s="40"/>
      <c r="AP42" s="40"/>
      <c r="AQ42" s="40"/>
      <c r="AR42" s="6" t="e">
        <f t="shared" si="19"/>
        <v>#DIV/0!</v>
      </c>
      <c r="AS42" s="30"/>
      <c r="AT42" s="39">
        <f t="shared" si="6"/>
        <v>0</v>
      </c>
      <c r="AU42" s="40">
        <f t="shared" si="6"/>
        <v>0</v>
      </c>
      <c r="AV42" s="40">
        <f t="shared" si="6"/>
        <v>0</v>
      </c>
      <c r="AW42" s="40">
        <f t="shared" si="6"/>
        <v>0</v>
      </c>
      <c r="AX42" s="35">
        <f t="shared" si="6"/>
        <v>0</v>
      </c>
      <c r="AY42" s="6" t="e">
        <f t="shared" si="13"/>
        <v>#DIV/0!</v>
      </c>
      <c r="AZ42" s="30">
        <f t="shared" si="7"/>
        <v>0</v>
      </c>
      <c r="BA42" s="39"/>
      <c r="BB42" s="40"/>
      <c r="BC42" s="40"/>
      <c r="BD42" s="40"/>
      <c r="BE42" s="40"/>
      <c r="BF42" s="6" t="e">
        <f t="shared" si="28"/>
        <v>#DIV/0!</v>
      </c>
      <c r="BG42" s="33"/>
      <c r="BH42" s="39"/>
      <c r="BI42" s="40"/>
      <c r="BJ42" s="40"/>
      <c r="BK42" s="40"/>
      <c r="BL42" s="40"/>
      <c r="BM42" s="6"/>
      <c r="BN42" s="33"/>
      <c r="BO42" s="46"/>
      <c r="BP42" s="40"/>
      <c r="BQ42" s="40"/>
      <c r="BR42" s="40"/>
      <c r="BS42" s="40"/>
      <c r="BT42" s="6" t="e">
        <f t="shared" si="15"/>
        <v>#DIV/0!</v>
      </c>
      <c r="BU42" s="33"/>
      <c r="BV42" s="46"/>
      <c r="BW42" s="40"/>
      <c r="BX42" s="40"/>
      <c r="BY42" s="40"/>
      <c r="BZ42" s="40"/>
      <c r="CA42" s="6"/>
      <c r="CB42" s="33"/>
      <c r="CC42" s="46"/>
      <c r="CD42" s="40"/>
      <c r="CE42" s="40"/>
      <c r="CF42" s="40"/>
      <c r="CG42" s="40"/>
      <c r="CH42" s="6"/>
      <c r="CI42" s="33"/>
      <c r="CJ42" s="46"/>
      <c r="CK42" s="40"/>
      <c r="CL42" s="40"/>
      <c r="CM42" s="40"/>
      <c r="CN42" s="40"/>
      <c r="CO42" s="6"/>
      <c r="CP42" s="33"/>
      <c r="CQ42" s="72">
        <f t="shared" si="16"/>
        <v>0</v>
      </c>
      <c r="CR42" s="73">
        <f t="shared" si="8"/>
        <v>0</v>
      </c>
      <c r="CS42" s="73">
        <f t="shared" ref="CS42:CS43" si="39">AO42+F42+M42+T42+AA42+AH42+BC42+BJ42+BQ42</f>
        <v>0</v>
      </c>
      <c r="CT42" s="48">
        <f t="shared" si="9"/>
        <v>0</v>
      </c>
      <c r="CU42" s="48">
        <f t="shared" si="10"/>
        <v>0</v>
      </c>
      <c r="CV42" s="6" t="e">
        <f t="shared" si="2"/>
        <v>#DIV/0!</v>
      </c>
      <c r="CW42" s="30">
        <f t="shared" si="11"/>
        <v>0</v>
      </c>
    </row>
    <row r="43" spans="1:103" s="70" customFormat="1" hidden="1" x14ac:dyDescent="0.15">
      <c r="A43" s="461"/>
      <c r="B43" s="479" t="s">
        <v>61</v>
      </c>
      <c r="C43" s="480"/>
      <c r="D43" s="377"/>
      <c r="E43" s="51"/>
      <c r="F43" s="51"/>
      <c r="G43" s="51"/>
      <c r="H43" s="51"/>
      <c r="I43" s="52"/>
      <c r="J43" s="53"/>
      <c r="K43" s="54"/>
      <c r="L43" s="55"/>
      <c r="M43" s="55"/>
      <c r="N43" s="55"/>
      <c r="O43" s="55"/>
      <c r="P43" s="52"/>
      <c r="Q43" s="53"/>
      <c r="R43" s="58"/>
      <c r="S43" s="55"/>
      <c r="T43" s="51"/>
      <c r="U43" s="51"/>
      <c r="V43" s="55"/>
      <c r="W43" s="52"/>
      <c r="X43" s="59"/>
      <c r="Y43" s="75"/>
      <c r="Z43" s="62"/>
      <c r="AA43" s="62"/>
      <c r="AB43" s="62"/>
      <c r="AC43" s="62"/>
      <c r="AD43" s="63"/>
      <c r="AE43" s="64"/>
      <c r="AF43" s="75"/>
      <c r="AG43" s="62"/>
      <c r="AH43" s="62"/>
      <c r="AI43" s="62"/>
      <c r="AJ43" s="62"/>
      <c r="AK43" s="63"/>
      <c r="AL43" s="64"/>
      <c r="AM43" s="65"/>
      <c r="AN43" s="66"/>
      <c r="AO43" s="66"/>
      <c r="AP43" s="66"/>
      <c r="AQ43" s="66"/>
      <c r="AR43" s="52" t="e">
        <f t="shared" si="19"/>
        <v>#DIV/0!</v>
      </c>
      <c r="AS43" s="53"/>
      <c r="AT43" s="65">
        <f t="shared" si="6"/>
        <v>0</v>
      </c>
      <c r="AU43" s="66">
        <f t="shared" si="6"/>
        <v>0</v>
      </c>
      <c r="AV43" s="66">
        <f t="shared" si="6"/>
        <v>0</v>
      </c>
      <c r="AW43" s="66">
        <f t="shared" si="6"/>
        <v>0</v>
      </c>
      <c r="AX43" s="61">
        <f t="shared" si="6"/>
        <v>0</v>
      </c>
      <c r="AY43" s="52" t="e">
        <f t="shared" si="13"/>
        <v>#DIV/0!</v>
      </c>
      <c r="AZ43" s="53">
        <f t="shared" si="7"/>
        <v>0</v>
      </c>
      <c r="BA43" s="65"/>
      <c r="BB43" s="66"/>
      <c r="BC43" s="66"/>
      <c r="BD43" s="66"/>
      <c r="BE43" s="66"/>
      <c r="BF43" s="52" t="e">
        <f t="shared" si="28"/>
        <v>#DIV/0!</v>
      </c>
      <c r="BG43" s="59"/>
      <c r="BH43" s="65"/>
      <c r="BI43" s="66"/>
      <c r="BJ43" s="66"/>
      <c r="BK43" s="66"/>
      <c r="BL43" s="66"/>
      <c r="BM43" s="52"/>
      <c r="BN43" s="59"/>
      <c r="BO43" s="65"/>
      <c r="BP43" s="66"/>
      <c r="BQ43" s="66"/>
      <c r="BR43" s="66"/>
      <c r="BS43" s="66"/>
      <c r="BT43" s="52" t="e">
        <f t="shared" si="15"/>
        <v>#DIV/0!</v>
      </c>
      <c r="BU43" s="59"/>
      <c r="BV43" s="67"/>
      <c r="BW43" s="66"/>
      <c r="BX43" s="66"/>
      <c r="BY43" s="66"/>
      <c r="BZ43" s="66"/>
      <c r="CA43" s="52"/>
      <c r="CB43" s="59"/>
      <c r="CC43" s="67"/>
      <c r="CD43" s="66"/>
      <c r="CE43" s="66"/>
      <c r="CF43" s="66"/>
      <c r="CG43" s="66"/>
      <c r="CH43" s="52"/>
      <c r="CI43" s="59"/>
      <c r="CJ43" s="67"/>
      <c r="CK43" s="66"/>
      <c r="CL43" s="66"/>
      <c r="CM43" s="66"/>
      <c r="CN43" s="66"/>
      <c r="CO43" s="52"/>
      <c r="CP43" s="59"/>
      <c r="CQ43" s="76">
        <f t="shared" si="16"/>
        <v>0</v>
      </c>
      <c r="CR43" s="69">
        <f t="shared" si="8"/>
        <v>0</v>
      </c>
      <c r="CS43" s="69">
        <f t="shared" si="39"/>
        <v>0</v>
      </c>
      <c r="CT43" s="69">
        <f t="shared" si="9"/>
        <v>0</v>
      </c>
      <c r="CU43" s="69">
        <f t="shared" si="10"/>
        <v>0</v>
      </c>
      <c r="CV43" s="52" t="e">
        <f t="shared" si="2"/>
        <v>#DIV/0!</v>
      </c>
      <c r="CW43" s="53">
        <f t="shared" si="11"/>
        <v>0</v>
      </c>
    </row>
    <row r="44" spans="1:103" x14ac:dyDescent="0.15">
      <c r="A44" s="484" t="s">
        <v>71</v>
      </c>
      <c r="B44" s="5">
        <v>22</v>
      </c>
      <c r="C44" s="27" t="s">
        <v>22</v>
      </c>
      <c r="D44" s="32">
        <f>[1]明细表!D30</f>
        <v>69700</v>
      </c>
      <c r="E44" s="29"/>
      <c r="F44" s="29"/>
      <c r="G44" s="29"/>
      <c r="H44" s="29">
        <f>D44-E44-F44</f>
        <v>69700</v>
      </c>
      <c r="I44" s="6">
        <f t="shared" si="4"/>
        <v>12.473275656547932</v>
      </c>
      <c r="J44" s="30">
        <f>[1]明细表!R30</f>
        <v>869387.3132613909</v>
      </c>
      <c r="K44" s="31">
        <f>[2]明细表!D30</f>
        <v>93200</v>
      </c>
      <c r="L44" s="29"/>
      <c r="M44" s="32"/>
      <c r="N44" s="29"/>
      <c r="O44" s="29">
        <f>K44</f>
        <v>93200</v>
      </c>
      <c r="P44" s="6">
        <f t="shared" si="0"/>
        <v>12.185537776093675</v>
      </c>
      <c r="Q44" s="30">
        <f>[2]明细表!R30</f>
        <v>1135692.1207319305</v>
      </c>
      <c r="R44" s="28">
        <f>[3]明细表!D25</f>
        <v>43100</v>
      </c>
      <c r="S44" s="29"/>
      <c r="T44" s="29"/>
      <c r="U44" s="29"/>
      <c r="V44" s="29">
        <f>R44</f>
        <v>43100</v>
      </c>
      <c r="W44" s="6">
        <f>X44/V44</f>
        <v>12.333366200726637</v>
      </c>
      <c r="X44" s="33">
        <f>[3]明细表!R25</f>
        <v>531568.08325131808</v>
      </c>
      <c r="Y44" s="74">
        <f>[4]明细表!D25</f>
        <v>56400</v>
      </c>
      <c r="Z44" s="36"/>
      <c r="AA44" s="36"/>
      <c r="AB44" s="36"/>
      <c r="AC44" s="36">
        <f>[4]明细表!F25</f>
        <v>56400</v>
      </c>
      <c r="AD44" s="37">
        <f>AE44/AC44</f>
        <v>12.893594339515303</v>
      </c>
      <c r="AE44" s="38">
        <f>[4]明细表!R25</f>
        <v>727198.72074866307</v>
      </c>
      <c r="AF44" s="74">
        <f>[5]明细表!D24</f>
        <v>73800</v>
      </c>
      <c r="AG44" s="36"/>
      <c r="AH44" s="36"/>
      <c r="AI44" s="36"/>
      <c r="AJ44" s="36">
        <f>AF44</f>
        <v>73800</v>
      </c>
      <c r="AK44" s="37">
        <f>AL44/AJ44</f>
        <v>12.355435606862185</v>
      </c>
      <c r="AL44" s="38">
        <f>[5]明细表!S24</f>
        <v>911831.14778642927</v>
      </c>
      <c r="AM44" s="39">
        <f>[6]明细表!D24</f>
        <v>45800</v>
      </c>
      <c r="AN44" s="40"/>
      <c r="AO44" s="40"/>
      <c r="AP44" s="40"/>
      <c r="AQ44" s="40">
        <f>[6]明细表!G24</f>
        <v>45800</v>
      </c>
      <c r="AR44" s="6">
        <f t="shared" si="19"/>
        <v>12.512383808946385</v>
      </c>
      <c r="AS44" s="30">
        <f>[6]明细表!S24</f>
        <v>573067.17844974448</v>
      </c>
      <c r="AT44" s="39">
        <f t="shared" si="6"/>
        <v>176000</v>
      </c>
      <c r="AU44" s="40">
        <f t="shared" si="6"/>
        <v>0</v>
      </c>
      <c r="AV44" s="40">
        <f t="shared" si="6"/>
        <v>0</v>
      </c>
      <c r="AW44" s="40">
        <f t="shared" si="6"/>
        <v>0</v>
      </c>
      <c r="AX44" s="35">
        <f t="shared" si="6"/>
        <v>176000</v>
      </c>
      <c r="AY44" s="6">
        <f t="shared" si="13"/>
        <v>12.568733221504756</v>
      </c>
      <c r="AZ44" s="30">
        <f t="shared" si="7"/>
        <v>2212097.0469848369</v>
      </c>
      <c r="BA44" s="39">
        <f>[7]明细表!D25</f>
        <v>62349</v>
      </c>
      <c r="BB44" s="40"/>
      <c r="BC44" s="40"/>
      <c r="BD44" s="40"/>
      <c r="BE44" s="40">
        <f>BA44</f>
        <v>62349</v>
      </c>
      <c r="BF44" s="6">
        <f t="shared" si="28"/>
        <v>12.372890900847018</v>
      </c>
      <c r="BG44" s="33">
        <f>[7]明细表!R25</f>
        <v>771437.37477691076</v>
      </c>
      <c r="BH44" s="39">
        <f>[8]明细表!D24</f>
        <v>88151</v>
      </c>
      <c r="BI44" s="40"/>
      <c r="BJ44" s="40"/>
      <c r="BK44" s="40"/>
      <c r="BL44" s="40">
        <f>BH44</f>
        <v>88151</v>
      </c>
      <c r="BM44" s="6">
        <f t="shared" ref="BM44:BM46" si="40">BN44/BL44</f>
        <v>12.186208837000741</v>
      </c>
      <c r="BN44" s="33">
        <f>[8]明细表!S24</f>
        <v>1074226.4951904523</v>
      </c>
      <c r="BO44" s="39">
        <f>明细表!D24</f>
        <v>60000</v>
      </c>
      <c r="BP44" s="40"/>
      <c r="BQ44" s="40"/>
      <c r="BR44" s="40"/>
      <c r="BS44" s="40">
        <f>BO44</f>
        <v>60000</v>
      </c>
      <c r="BT44" s="6">
        <f t="shared" si="15"/>
        <v>11.948873589262563</v>
      </c>
      <c r="BU44" s="33">
        <f>明细表!R24</f>
        <v>716932.41535575374</v>
      </c>
      <c r="BV44" s="46"/>
      <c r="BW44" s="40"/>
      <c r="BX44" s="40"/>
      <c r="BY44" s="40"/>
      <c r="BZ44" s="40"/>
      <c r="CA44" s="6"/>
      <c r="CB44" s="33"/>
      <c r="CC44" s="46"/>
      <c r="CD44" s="40"/>
      <c r="CE44" s="40"/>
      <c r="CF44" s="40"/>
      <c r="CG44" s="40"/>
      <c r="CH44" s="6"/>
      <c r="CI44" s="33"/>
      <c r="CJ44" s="46"/>
      <c r="CK44" s="40"/>
      <c r="CL44" s="40"/>
      <c r="CM44" s="40"/>
      <c r="CN44" s="40"/>
      <c r="CO44" s="6"/>
      <c r="CP44" s="33"/>
      <c r="CQ44" s="72">
        <f t="shared" si="16"/>
        <v>592500</v>
      </c>
      <c r="CR44" s="73"/>
      <c r="CS44" s="73"/>
      <c r="CT44" s="48"/>
      <c r="CU44" s="48">
        <f t="shared" si="10"/>
        <v>592500</v>
      </c>
      <c r="CV44" s="6">
        <f t="shared" si="2"/>
        <v>12.3398157798356</v>
      </c>
      <c r="CW44" s="30">
        <f t="shared" si="11"/>
        <v>7311340.8495525932</v>
      </c>
    </row>
    <row r="45" spans="1:103" x14ac:dyDescent="0.15">
      <c r="A45" s="484"/>
      <c r="B45" s="5">
        <v>23</v>
      </c>
      <c r="C45" s="27" t="s">
        <v>72</v>
      </c>
      <c r="D45" s="32">
        <f>[1]明细表!D31</f>
        <v>13700</v>
      </c>
      <c r="E45" s="29"/>
      <c r="F45" s="29"/>
      <c r="G45" s="29"/>
      <c r="H45" s="29">
        <f t="shared" si="5"/>
        <v>13700</v>
      </c>
      <c r="I45" s="6">
        <f t="shared" si="4"/>
        <v>10.80413479843862</v>
      </c>
      <c r="J45" s="30">
        <f>[1]明细表!R31</f>
        <v>148016.6467386091</v>
      </c>
      <c r="K45" s="31">
        <f>[2]明细表!D31</f>
        <v>16100</v>
      </c>
      <c r="L45" s="29"/>
      <c r="M45" s="32"/>
      <c r="N45" s="29"/>
      <c r="O45" s="29">
        <f>K45</f>
        <v>16100</v>
      </c>
      <c r="P45" s="6">
        <f t="shared" si="0"/>
        <v>10.906470140873884</v>
      </c>
      <c r="Q45" s="30">
        <f>[2]明细表!R31</f>
        <v>175594.16926806953</v>
      </c>
      <c r="R45" s="28">
        <f>[3]明细表!D26</f>
        <v>13800</v>
      </c>
      <c r="S45" s="29"/>
      <c r="T45" s="29"/>
      <c r="U45" s="29"/>
      <c r="V45" s="29">
        <f>R45</f>
        <v>13800</v>
      </c>
      <c r="W45" s="6">
        <f>X45/V45</f>
        <v>10.959112083237819</v>
      </c>
      <c r="X45" s="33">
        <f>[3]明细表!R26</f>
        <v>151235.74674868191</v>
      </c>
      <c r="Y45" s="74">
        <f>[4]明细表!D26</f>
        <v>18400</v>
      </c>
      <c r="Z45" s="36"/>
      <c r="AA45" s="36"/>
      <c r="AB45" s="36"/>
      <c r="AC45" s="36">
        <f>[4]明细表!F26</f>
        <v>18400</v>
      </c>
      <c r="AD45" s="37">
        <f>AE45/AC45</f>
        <v>10.529673872355268</v>
      </c>
      <c r="AE45" s="38">
        <f>[4]明细表!R26</f>
        <v>193745.99925133694</v>
      </c>
      <c r="AF45" s="74">
        <f>[5]明细表!D25</f>
        <v>16100</v>
      </c>
      <c r="AG45" s="36"/>
      <c r="AH45" s="36"/>
      <c r="AI45" s="36"/>
      <c r="AJ45" s="36">
        <f>AF45</f>
        <v>16100</v>
      </c>
      <c r="AK45" s="37">
        <f>AL45/AJ45</f>
        <v>11.681655416991966</v>
      </c>
      <c r="AL45" s="38">
        <f>[5]明细表!S25</f>
        <v>188074.65221357063</v>
      </c>
      <c r="AM45" s="39">
        <f>[6]明细表!D25</f>
        <v>12900</v>
      </c>
      <c r="AN45" s="40"/>
      <c r="AO45" s="40"/>
      <c r="AP45" s="40"/>
      <c r="AQ45" s="40">
        <f>[6]明细表!G25</f>
        <v>12900</v>
      </c>
      <c r="AR45" s="6">
        <f t="shared" si="19"/>
        <v>11.267150507771747</v>
      </c>
      <c r="AS45" s="30">
        <f>[6]明细表!S25</f>
        <v>145346.24155025554</v>
      </c>
      <c r="AT45" s="39">
        <f t="shared" si="6"/>
        <v>47400</v>
      </c>
      <c r="AU45" s="40">
        <f t="shared" si="6"/>
        <v>0</v>
      </c>
      <c r="AV45" s="40">
        <f t="shared" si="6"/>
        <v>0</v>
      </c>
      <c r="AW45" s="40">
        <f t="shared" si="6"/>
        <v>0</v>
      </c>
      <c r="AX45" s="35">
        <f t="shared" si="6"/>
        <v>47400</v>
      </c>
      <c r="AY45" s="6">
        <f t="shared" si="13"/>
        <v>11.121664409602598</v>
      </c>
      <c r="AZ45" s="30">
        <f t="shared" si="7"/>
        <v>527166.89301516314</v>
      </c>
      <c r="BA45" s="39">
        <f>[7]明细表!D26</f>
        <v>15400</v>
      </c>
      <c r="BB45" s="40"/>
      <c r="BC45" s="40"/>
      <c r="BD45" s="40"/>
      <c r="BE45" s="40">
        <f>BA45</f>
        <v>15400</v>
      </c>
      <c r="BF45" s="6">
        <f t="shared" si="28"/>
        <v>11.302166572927876</v>
      </c>
      <c r="BG45" s="33">
        <f>[7]明细表!R26</f>
        <v>174053.36522308929</v>
      </c>
      <c r="BH45" s="39">
        <f>[8]明细表!D25</f>
        <v>16000</v>
      </c>
      <c r="BI45" s="40"/>
      <c r="BJ45" s="40"/>
      <c r="BK45" s="40"/>
      <c r="BL45" s="40">
        <f>BH45</f>
        <v>16000</v>
      </c>
      <c r="BM45" s="6">
        <f t="shared" si="40"/>
        <v>11.182699675596737</v>
      </c>
      <c r="BN45" s="33">
        <f>[8]明细表!S25</f>
        <v>178923.1948095478</v>
      </c>
      <c r="BO45" s="39"/>
      <c r="BP45" s="40"/>
      <c r="BQ45" s="40"/>
      <c r="BR45" s="40"/>
      <c r="BS45" s="40"/>
      <c r="BT45" s="6"/>
      <c r="BU45" s="33"/>
      <c r="BV45" s="46"/>
      <c r="BW45" s="40"/>
      <c r="BX45" s="40"/>
      <c r="BY45" s="40"/>
      <c r="BZ45" s="40"/>
      <c r="CA45" s="6"/>
      <c r="CB45" s="33"/>
      <c r="CC45" s="46"/>
      <c r="CD45" s="40"/>
      <c r="CE45" s="40"/>
      <c r="CF45" s="40"/>
      <c r="CG45" s="40"/>
      <c r="CH45" s="6"/>
      <c r="CI45" s="33"/>
      <c r="CJ45" s="46"/>
      <c r="CK45" s="40"/>
      <c r="CL45" s="40"/>
      <c r="CM45" s="40"/>
      <c r="CN45" s="40"/>
      <c r="CO45" s="6"/>
      <c r="CP45" s="33"/>
      <c r="CQ45" s="72">
        <f t="shared" si="16"/>
        <v>122400</v>
      </c>
      <c r="CR45" s="73"/>
      <c r="CS45" s="73"/>
      <c r="CT45" s="48"/>
      <c r="CU45" s="48">
        <f t="shared" si="10"/>
        <v>122400</v>
      </c>
      <c r="CV45" s="6">
        <f>CW45/CU45</f>
        <v>11.070179867672882</v>
      </c>
      <c r="CW45" s="30">
        <f t="shared" si="11"/>
        <v>1354990.0158031608</v>
      </c>
    </row>
    <row r="46" spans="1:103" s="70" customFormat="1" x14ac:dyDescent="0.15">
      <c r="A46" s="484"/>
      <c r="B46" s="485" t="s">
        <v>61</v>
      </c>
      <c r="C46" s="486"/>
      <c r="D46" s="377">
        <f>SUM(D44:D45)</f>
        <v>83400</v>
      </c>
      <c r="E46" s="51"/>
      <c r="F46" s="51"/>
      <c r="G46" s="51"/>
      <c r="H46" s="51">
        <f>SUM(H44:H45)</f>
        <v>83400</v>
      </c>
      <c r="I46" s="52">
        <f t="shared" si="4"/>
        <v>12.199088249400479</v>
      </c>
      <c r="J46" s="53">
        <f>SUM(J44:J45)</f>
        <v>1017403.96</v>
      </c>
      <c r="K46" s="54">
        <f>SUM(K44:K45)</f>
        <v>109300</v>
      </c>
      <c r="L46" s="55">
        <f>SUM(L44:L45)</f>
        <v>0</v>
      </c>
      <c r="M46" s="57"/>
      <c r="N46" s="51"/>
      <c r="O46" s="55">
        <f>SUM(O44:O45)</f>
        <v>109300</v>
      </c>
      <c r="P46" s="52">
        <f t="shared" si="0"/>
        <v>11.997129826166514</v>
      </c>
      <c r="Q46" s="53">
        <f>Q44+Q45</f>
        <v>1311286.29</v>
      </c>
      <c r="R46" s="54">
        <f>SUM(R44:R45)</f>
        <v>56900</v>
      </c>
      <c r="S46" s="55">
        <f>SUM(S44:S45)</f>
        <v>0</v>
      </c>
      <c r="T46" s="57"/>
      <c r="U46" s="51"/>
      <c r="V46" s="55">
        <f>SUM(V44:V45)</f>
        <v>56900</v>
      </c>
      <c r="W46" s="52">
        <f>X46/V46</f>
        <v>12.000067311072055</v>
      </c>
      <c r="X46" s="53">
        <f>X44+X45</f>
        <v>682803.83</v>
      </c>
      <c r="Y46" s="75">
        <f>Y44+Y45</f>
        <v>74800</v>
      </c>
      <c r="Z46" s="62">
        <f>Z44+Z45</f>
        <v>0</v>
      </c>
      <c r="AA46" s="62"/>
      <c r="AB46" s="62"/>
      <c r="AC46" s="62">
        <f>AC44+AC45</f>
        <v>74800</v>
      </c>
      <c r="AD46" s="63">
        <f>AD44+AD45</f>
        <v>23.423268211870571</v>
      </c>
      <c r="AE46" s="64">
        <f>AE44+AE45</f>
        <v>920944.72</v>
      </c>
      <c r="AF46" s="75">
        <f>AF44+AF45</f>
        <v>89900</v>
      </c>
      <c r="AG46" s="62">
        <f>AG44+AG45</f>
        <v>0</v>
      </c>
      <c r="AH46" s="62"/>
      <c r="AI46" s="62"/>
      <c r="AJ46" s="62">
        <f>AJ44+AJ45</f>
        <v>89900</v>
      </c>
      <c r="AK46" s="63">
        <f>AL46/AJ46</f>
        <v>12.234769744160175</v>
      </c>
      <c r="AL46" s="64">
        <f>AL44+AL45</f>
        <v>1099905.7999999998</v>
      </c>
      <c r="AM46" s="65">
        <f>SUM(AM44:AM45)</f>
        <v>58700</v>
      </c>
      <c r="AN46" s="66"/>
      <c r="AO46" s="66"/>
      <c r="AP46" s="66"/>
      <c r="AQ46" s="66">
        <f>SUM(AQ44:AQ45)</f>
        <v>58700</v>
      </c>
      <c r="AR46" s="52">
        <f t="shared" si="19"/>
        <v>12.238729471890972</v>
      </c>
      <c r="AS46" s="53">
        <f>SUM(AS44:AS45)</f>
        <v>718413.42</v>
      </c>
      <c r="AT46" s="65">
        <f t="shared" si="6"/>
        <v>223400</v>
      </c>
      <c r="AU46" s="66">
        <f t="shared" si="6"/>
        <v>0</v>
      </c>
      <c r="AV46" s="66">
        <f t="shared" si="6"/>
        <v>0</v>
      </c>
      <c r="AW46" s="66">
        <f t="shared" si="6"/>
        <v>0</v>
      </c>
      <c r="AX46" s="61">
        <f t="shared" si="6"/>
        <v>223400</v>
      </c>
      <c r="AY46" s="52">
        <f t="shared" si="13"/>
        <v>12.261700716204118</v>
      </c>
      <c r="AZ46" s="53">
        <f t="shared" si="7"/>
        <v>2739263.94</v>
      </c>
      <c r="BA46" s="65">
        <f>SUM(BA44:BA45)</f>
        <v>77749</v>
      </c>
      <c r="BB46" s="66"/>
      <c r="BC46" s="66"/>
      <c r="BD46" s="66"/>
      <c r="BE46" s="66">
        <f>SUM(BE44:BE45)</f>
        <v>77749</v>
      </c>
      <c r="BF46" s="52">
        <f t="shared" si="28"/>
        <v>12.160809013620755</v>
      </c>
      <c r="BG46" s="59">
        <f>SUM(BG44:BG45)</f>
        <v>945490.74</v>
      </c>
      <c r="BH46" s="65">
        <f>SUM(BH44:BH45)</f>
        <v>104151</v>
      </c>
      <c r="BI46" s="66"/>
      <c r="BJ46" s="66"/>
      <c r="BK46" s="66"/>
      <c r="BL46" s="66">
        <f>SUM(BL44:BL45)</f>
        <v>104151</v>
      </c>
      <c r="BM46" s="52">
        <f t="shared" si="40"/>
        <v>12.032046643815232</v>
      </c>
      <c r="BN46" s="59">
        <f>SUM(BN44:BN45)</f>
        <v>1253149.6900000002</v>
      </c>
      <c r="BO46" s="65">
        <f>BO44</f>
        <v>60000</v>
      </c>
      <c r="BP46" s="66"/>
      <c r="BQ46" s="66"/>
      <c r="BR46" s="66"/>
      <c r="BS46" s="66">
        <f>BS44</f>
        <v>60000</v>
      </c>
      <c r="BT46" s="52">
        <f t="shared" si="15"/>
        <v>11.948873589262563</v>
      </c>
      <c r="BU46" s="59">
        <f>BU44</f>
        <v>716932.41535575374</v>
      </c>
      <c r="BV46" s="67"/>
      <c r="BW46" s="66"/>
      <c r="BX46" s="66"/>
      <c r="BY46" s="66"/>
      <c r="BZ46" s="66"/>
      <c r="CA46" s="52"/>
      <c r="CB46" s="59"/>
      <c r="CC46" s="67"/>
      <c r="CD46" s="66"/>
      <c r="CE46" s="66"/>
      <c r="CF46" s="66"/>
      <c r="CG46" s="66"/>
      <c r="CH46" s="52"/>
      <c r="CI46" s="59"/>
      <c r="CJ46" s="67"/>
      <c r="CK46" s="66"/>
      <c r="CL46" s="66"/>
      <c r="CM46" s="66"/>
      <c r="CN46" s="66"/>
      <c r="CO46" s="52"/>
      <c r="CP46" s="59"/>
      <c r="CQ46" s="68">
        <f t="shared" si="16"/>
        <v>714900</v>
      </c>
      <c r="CR46" s="69"/>
      <c r="CS46" s="69"/>
      <c r="CT46" s="69"/>
      <c r="CU46" s="69">
        <f t="shared" si="10"/>
        <v>714900</v>
      </c>
      <c r="CV46" s="52">
        <f t="shared" si="2"/>
        <v>12.122437914891249</v>
      </c>
      <c r="CW46" s="53">
        <f t="shared" si="11"/>
        <v>8666330.8653557543</v>
      </c>
    </row>
    <row r="47" spans="1:103" hidden="1" x14ac:dyDescent="0.15">
      <c r="A47" s="487" t="s">
        <v>73</v>
      </c>
      <c r="B47" s="5">
        <v>33</v>
      </c>
      <c r="C47" s="27" t="s">
        <v>74</v>
      </c>
      <c r="D47" s="32"/>
      <c r="E47" s="29"/>
      <c r="F47" s="29"/>
      <c r="G47" s="29"/>
      <c r="H47" s="29"/>
      <c r="I47" s="6"/>
      <c r="J47" s="30"/>
      <c r="K47" s="31"/>
      <c r="L47" s="29"/>
      <c r="M47" s="32"/>
      <c r="N47" s="29"/>
      <c r="O47" s="29"/>
      <c r="P47" s="6"/>
      <c r="Q47" s="30"/>
      <c r="R47" s="28"/>
      <c r="S47" s="29"/>
      <c r="T47" s="29"/>
      <c r="U47" s="29"/>
      <c r="V47" s="29"/>
      <c r="W47" s="6"/>
      <c r="X47" s="33"/>
      <c r="Y47" s="74"/>
      <c r="Z47" s="36"/>
      <c r="AA47" s="36"/>
      <c r="AB47" s="36"/>
      <c r="AC47" s="36"/>
      <c r="AD47" s="37"/>
      <c r="AE47" s="38"/>
      <c r="AF47" s="74"/>
      <c r="AG47" s="36"/>
      <c r="AH47" s="36"/>
      <c r="AI47" s="36"/>
      <c r="AJ47" s="36"/>
      <c r="AK47" s="37"/>
      <c r="AL47" s="38"/>
      <c r="AM47" s="39"/>
      <c r="AN47" s="40"/>
      <c r="AO47" s="40"/>
      <c r="AP47" s="40"/>
      <c r="AQ47" s="40"/>
      <c r="AR47" s="6" t="e">
        <f t="shared" si="19"/>
        <v>#DIV/0!</v>
      </c>
      <c r="AS47" s="30"/>
      <c r="AT47" s="39">
        <f t="shared" si="6"/>
        <v>0</v>
      </c>
      <c r="AU47" s="40">
        <f t="shared" si="6"/>
        <v>0</v>
      </c>
      <c r="AV47" s="40">
        <f t="shared" si="6"/>
        <v>0</v>
      </c>
      <c r="AW47" s="40">
        <f t="shared" si="6"/>
        <v>0</v>
      </c>
      <c r="AX47" s="35">
        <f t="shared" si="6"/>
        <v>0</v>
      </c>
      <c r="AY47" s="6" t="e">
        <f t="shared" si="13"/>
        <v>#DIV/0!</v>
      </c>
      <c r="AZ47" s="30">
        <f t="shared" si="7"/>
        <v>0</v>
      </c>
      <c r="BA47" s="39"/>
      <c r="BB47" s="40"/>
      <c r="BC47" s="40"/>
      <c r="BD47" s="40"/>
      <c r="BE47" s="40"/>
      <c r="BF47" s="6" t="e">
        <f t="shared" si="28"/>
        <v>#DIV/0!</v>
      </c>
      <c r="BG47" s="33"/>
      <c r="BH47" s="39"/>
      <c r="BI47" s="40"/>
      <c r="BJ47" s="40"/>
      <c r="BK47" s="40"/>
      <c r="BL47" s="40"/>
      <c r="BM47" s="6"/>
      <c r="BN47" s="33"/>
      <c r="BO47" s="46"/>
      <c r="BP47" s="40"/>
      <c r="BQ47" s="40"/>
      <c r="BR47" s="40"/>
      <c r="BS47" s="40"/>
      <c r="BT47" s="6" t="e">
        <f t="shared" si="15"/>
        <v>#DIV/0!</v>
      </c>
      <c r="BU47" s="33"/>
      <c r="BV47" s="46"/>
      <c r="BW47" s="40"/>
      <c r="BX47" s="40"/>
      <c r="BY47" s="40"/>
      <c r="BZ47" s="40"/>
      <c r="CA47" s="6"/>
      <c r="CB47" s="33"/>
      <c r="CC47" s="46"/>
      <c r="CD47" s="40"/>
      <c r="CE47" s="40"/>
      <c r="CF47" s="40"/>
      <c r="CG47" s="40"/>
      <c r="CH47" s="6"/>
      <c r="CI47" s="33"/>
      <c r="CJ47" s="46"/>
      <c r="CK47" s="40"/>
      <c r="CL47" s="40"/>
      <c r="CM47" s="40"/>
      <c r="CN47" s="40"/>
      <c r="CO47" s="6"/>
      <c r="CP47" s="33"/>
      <c r="CQ47" s="72">
        <f t="shared" si="16"/>
        <v>0</v>
      </c>
      <c r="CR47" s="73"/>
      <c r="CS47" s="48"/>
      <c r="CT47" s="48"/>
      <c r="CU47" s="48">
        <f t="shared" si="10"/>
        <v>0</v>
      </c>
      <c r="CV47" s="52" t="e">
        <f t="shared" si="2"/>
        <v>#DIV/0!</v>
      </c>
      <c r="CW47" s="30">
        <f t="shared" si="11"/>
        <v>0</v>
      </c>
    </row>
    <row r="48" spans="1:103" s="70" customFormat="1" hidden="1" x14ac:dyDescent="0.15">
      <c r="A48" s="487"/>
      <c r="B48" s="485" t="s">
        <v>61</v>
      </c>
      <c r="C48" s="486"/>
      <c r="D48" s="57"/>
      <c r="E48" s="55"/>
      <c r="F48" s="55"/>
      <c r="G48" s="55"/>
      <c r="H48" s="55"/>
      <c r="I48" s="52"/>
      <c r="J48" s="53"/>
      <c r="K48" s="54"/>
      <c r="L48" s="55"/>
      <c r="M48" s="57"/>
      <c r="N48" s="55"/>
      <c r="O48" s="55"/>
      <c r="P48" s="52"/>
      <c r="Q48" s="53"/>
      <c r="R48" s="58"/>
      <c r="S48" s="55"/>
      <c r="T48" s="55"/>
      <c r="U48" s="55"/>
      <c r="V48" s="55"/>
      <c r="W48" s="52"/>
      <c r="X48" s="59"/>
      <c r="Y48" s="75"/>
      <c r="Z48" s="62"/>
      <c r="AA48" s="62"/>
      <c r="AB48" s="62"/>
      <c r="AC48" s="62"/>
      <c r="AD48" s="63"/>
      <c r="AE48" s="64"/>
      <c r="AF48" s="75"/>
      <c r="AG48" s="62"/>
      <c r="AH48" s="62"/>
      <c r="AI48" s="62"/>
      <c r="AJ48" s="62"/>
      <c r="AK48" s="63"/>
      <c r="AL48" s="64"/>
      <c r="AM48" s="65"/>
      <c r="AN48" s="66"/>
      <c r="AO48" s="66"/>
      <c r="AP48" s="66"/>
      <c r="AQ48" s="66"/>
      <c r="AR48" s="52" t="e">
        <f t="shared" si="19"/>
        <v>#DIV/0!</v>
      </c>
      <c r="AS48" s="53"/>
      <c r="AT48" s="65">
        <f t="shared" si="6"/>
        <v>0</v>
      </c>
      <c r="AU48" s="66">
        <f t="shared" si="6"/>
        <v>0</v>
      </c>
      <c r="AV48" s="66">
        <f t="shared" si="6"/>
        <v>0</v>
      </c>
      <c r="AW48" s="66">
        <f t="shared" si="6"/>
        <v>0</v>
      </c>
      <c r="AX48" s="61">
        <f t="shared" si="6"/>
        <v>0</v>
      </c>
      <c r="AY48" s="52" t="e">
        <f t="shared" si="13"/>
        <v>#DIV/0!</v>
      </c>
      <c r="AZ48" s="53">
        <f t="shared" si="7"/>
        <v>0</v>
      </c>
      <c r="BA48" s="65"/>
      <c r="BB48" s="66"/>
      <c r="BC48" s="66"/>
      <c r="BD48" s="66"/>
      <c r="BE48" s="66"/>
      <c r="BF48" s="52" t="e">
        <f t="shared" si="28"/>
        <v>#DIV/0!</v>
      </c>
      <c r="BG48" s="59"/>
      <c r="BH48" s="65"/>
      <c r="BI48" s="66"/>
      <c r="BJ48" s="66"/>
      <c r="BK48" s="66"/>
      <c r="BL48" s="66"/>
      <c r="BM48" s="52"/>
      <c r="BN48" s="59"/>
      <c r="BO48" s="67"/>
      <c r="BP48" s="66"/>
      <c r="BQ48" s="66"/>
      <c r="BR48" s="66"/>
      <c r="BS48" s="66"/>
      <c r="BT48" s="52" t="e">
        <f t="shared" si="15"/>
        <v>#DIV/0!</v>
      </c>
      <c r="BU48" s="59"/>
      <c r="BV48" s="67"/>
      <c r="BW48" s="66"/>
      <c r="BX48" s="66"/>
      <c r="BY48" s="66"/>
      <c r="BZ48" s="66"/>
      <c r="CA48" s="52"/>
      <c r="CB48" s="59"/>
      <c r="CC48" s="67"/>
      <c r="CD48" s="66"/>
      <c r="CE48" s="66"/>
      <c r="CF48" s="66"/>
      <c r="CG48" s="66"/>
      <c r="CH48" s="52"/>
      <c r="CI48" s="59"/>
      <c r="CJ48" s="67"/>
      <c r="CK48" s="66"/>
      <c r="CL48" s="66"/>
      <c r="CM48" s="66"/>
      <c r="CN48" s="66"/>
      <c r="CO48" s="52"/>
      <c r="CP48" s="59"/>
      <c r="CQ48" s="76">
        <f t="shared" si="16"/>
        <v>0</v>
      </c>
      <c r="CR48" s="69"/>
      <c r="CS48" s="79"/>
      <c r="CT48" s="69"/>
      <c r="CU48" s="69">
        <f t="shared" si="10"/>
        <v>0</v>
      </c>
      <c r="CV48" s="52" t="e">
        <f t="shared" si="2"/>
        <v>#DIV/0!</v>
      </c>
      <c r="CW48" s="53">
        <f t="shared" si="11"/>
        <v>0</v>
      </c>
    </row>
    <row r="49" spans="1:101" hidden="1" x14ac:dyDescent="0.15">
      <c r="A49" s="487"/>
      <c r="B49" s="5">
        <v>34</v>
      </c>
      <c r="C49" s="27" t="str">
        <f>[13]明细表!C42</f>
        <v>45元土豆牛腩保鲜餐</v>
      </c>
      <c r="D49" s="32"/>
      <c r="E49" s="29"/>
      <c r="F49" s="29"/>
      <c r="G49" s="29"/>
      <c r="H49" s="29"/>
      <c r="I49" s="6"/>
      <c r="J49" s="30"/>
      <c r="K49" s="31"/>
      <c r="L49" s="29"/>
      <c r="M49" s="32"/>
      <c r="N49" s="29"/>
      <c r="O49" s="29"/>
      <c r="P49" s="6"/>
      <c r="Q49" s="30"/>
      <c r="R49" s="28"/>
      <c r="S49" s="29"/>
      <c r="T49" s="29"/>
      <c r="U49" s="29"/>
      <c r="V49" s="29"/>
      <c r="W49" s="6"/>
      <c r="X49" s="33"/>
      <c r="Y49" s="74"/>
      <c r="Z49" s="36"/>
      <c r="AA49" s="36"/>
      <c r="AB49" s="36"/>
      <c r="AC49" s="36"/>
      <c r="AD49" s="37"/>
      <c r="AE49" s="38"/>
      <c r="AF49" s="74"/>
      <c r="AG49" s="36"/>
      <c r="AH49" s="36"/>
      <c r="AI49" s="36"/>
      <c r="AJ49" s="36"/>
      <c r="AK49" s="37"/>
      <c r="AL49" s="38"/>
      <c r="AM49" s="39"/>
      <c r="AN49" s="40"/>
      <c r="AO49" s="40"/>
      <c r="AP49" s="40"/>
      <c r="AQ49" s="40"/>
      <c r="AR49" s="6" t="e">
        <f t="shared" si="19"/>
        <v>#DIV/0!</v>
      </c>
      <c r="AS49" s="30"/>
      <c r="AT49" s="39">
        <f t="shared" si="6"/>
        <v>0</v>
      </c>
      <c r="AU49" s="40">
        <f t="shared" si="6"/>
        <v>0</v>
      </c>
      <c r="AV49" s="40">
        <f t="shared" si="6"/>
        <v>0</v>
      </c>
      <c r="AW49" s="40">
        <f t="shared" si="6"/>
        <v>0</v>
      </c>
      <c r="AX49" s="35">
        <f t="shared" si="6"/>
        <v>0</v>
      </c>
      <c r="AY49" s="6" t="e">
        <f t="shared" si="13"/>
        <v>#DIV/0!</v>
      </c>
      <c r="AZ49" s="30">
        <f t="shared" si="7"/>
        <v>0</v>
      </c>
      <c r="BA49" s="39"/>
      <c r="BB49" s="40"/>
      <c r="BC49" s="40"/>
      <c r="BD49" s="40"/>
      <c r="BE49" s="40"/>
      <c r="BF49" s="6" t="e">
        <f t="shared" si="28"/>
        <v>#DIV/0!</v>
      </c>
      <c r="BG49" s="33"/>
      <c r="BH49" s="39"/>
      <c r="BI49" s="40"/>
      <c r="BJ49" s="40"/>
      <c r="BK49" s="40"/>
      <c r="BL49" s="40"/>
      <c r="BM49" s="6"/>
      <c r="BN49" s="33"/>
      <c r="BO49" s="46"/>
      <c r="BP49" s="40"/>
      <c r="BQ49" s="40"/>
      <c r="BR49" s="40"/>
      <c r="BS49" s="40"/>
      <c r="BT49" s="6" t="e">
        <f t="shared" si="15"/>
        <v>#DIV/0!</v>
      </c>
      <c r="BU49" s="33"/>
      <c r="BV49" s="46"/>
      <c r="BW49" s="40"/>
      <c r="BX49" s="40"/>
      <c r="BY49" s="40"/>
      <c r="BZ49" s="40"/>
      <c r="CA49" s="6"/>
      <c r="CB49" s="33"/>
      <c r="CC49" s="46"/>
      <c r="CD49" s="40"/>
      <c r="CE49" s="40"/>
      <c r="CF49" s="40"/>
      <c r="CG49" s="40"/>
      <c r="CH49" s="6"/>
      <c r="CI49" s="33"/>
      <c r="CJ49" s="46"/>
      <c r="CK49" s="40"/>
      <c r="CL49" s="40"/>
      <c r="CM49" s="40"/>
      <c r="CN49" s="40"/>
      <c r="CO49" s="6"/>
      <c r="CP49" s="33"/>
      <c r="CQ49" s="72">
        <f t="shared" si="16"/>
        <v>0</v>
      </c>
      <c r="CR49" s="73"/>
      <c r="CS49" s="48"/>
      <c r="CT49" s="48"/>
      <c r="CU49" s="48">
        <f t="shared" si="10"/>
        <v>0</v>
      </c>
      <c r="CV49" s="52" t="e">
        <f t="shared" si="2"/>
        <v>#DIV/0!</v>
      </c>
      <c r="CW49" s="30">
        <f t="shared" si="11"/>
        <v>0</v>
      </c>
    </row>
    <row r="50" spans="1:101" s="70" customFormat="1" hidden="1" x14ac:dyDescent="0.15">
      <c r="A50" s="487"/>
      <c r="B50" s="485" t="s">
        <v>61</v>
      </c>
      <c r="C50" s="486"/>
      <c r="D50" s="377"/>
      <c r="E50" s="55"/>
      <c r="F50" s="55"/>
      <c r="G50" s="55"/>
      <c r="H50" s="55"/>
      <c r="I50" s="52"/>
      <c r="J50" s="53"/>
      <c r="K50" s="54"/>
      <c r="L50" s="55"/>
      <c r="M50" s="57"/>
      <c r="N50" s="55"/>
      <c r="O50" s="55"/>
      <c r="P50" s="52"/>
      <c r="Q50" s="53"/>
      <c r="R50" s="58"/>
      <c r="S50" s="55"/>
      <c r="T50" s="55"/>
      <c r="U50" s="7"/>
      <c r="V50" s="55"/>
      <c r="W50" s="52"/>
      <c r="X50" s="59"/>
      <c r="Y50" s="75"/>
      <c r="Z50" s="62"/>
      <c r="AA50" s="62"/>
      <c r="AB50" s="62"/>
      <c r="AC50" s="62"/>
      <c r="AD50" s="63"/>
      <c r="AE50" s="64"/>
      <c r="AF50" s="75"/>
      <c r="AG50" s="62"/>
      <c r="AH50" s="62"/>
      <c r="AI50" s="62"/>
      <c r="AJ50" s="62"/>
      <c r="AK50" s="63"/>
      <c r="AL50" s="64"/>
      <c r="AM50" s="65"/>
      <c r="AN50" s="66"/>
      <c r="AO50" s="66"/>
      <c r="AP50" s="66"/>
      <c r="AQ50" s="66"/>
      <c r="AR50" s="52" t="e">
        <f t="shared" si="19"/>
        <v>#DIV/0!</v>
      </c>
      <c r="AS50" s="53"/>
      <c r="AT50" s="65">
        <f t="shared" si="6"/>
        <v>0</v>
      </c>
      <c r="AU50" s="66">
        <f t="shared" si="6"/>
        <v>0</v>
      </c>
      <c r="AV50" s="66">
        <f t="shared" si="6"/>
        <v>0</v>
      </c>
      <c r="AW50" s="66">
        <f t="shared" si="6"/>
        <v>0</v>
      </c>
      <c r="AX50" s="61">
        <f t="shared" si="6"/>
        <v>0</v>
      </c>
      <c r="AY50" s="52" t="e">
        <f t="shared" si="13"/>
        <v>#DIV/0!</v>
      </c>
      <c r="AZ50" s="53">
        <f t="shared" si="7"/>
        <v>0</v>
      </c>
      <c r="BA50" s="65"/>
      <c r="BB50" s="66"/>
      <c r="BC50" s="66"/>
      <c r="BD50" s="66"/>
      <c r="BE50" s="66"/>
      <c r="BF50" s="52" t="e">
        <f t="shared" si="28"/>
        <v>#DIV/0!</v>
      </c>
      <c r="BG50" s="59"/>
      <c r="BH50" s="65"/>
      <c r="BI50" s="66"/>
      <c r="BJ50" s="66"/>
      <c r="BK50" s="66"/>
      <c r="BL50" s="66"/>
      <c r="BM50" s="52"/>
      <c r="BN50" s="59"/>
      <c r="BO50" s="65"/>
      <c r="BP50" s="66"/>
      <c r="BQ50" s="66"/>
      <c r="BR50" s="66"/>
      <c r="BS50" s="66"/>
      <c r="BT50" s="52" t="e">
        <f t="shared" si="15"/>
        <v>#DIV/0!</v>
      </c>
      <c r="BU50" s="59"/>
      <c r="BV50" s="67"/>
      <c r="BW50" s="66"/>
      <c r="BX50" s="66"/>
      <c r="BY50" s="66"/>
      <c r="BZ50" s="66"/>
      <c r="CA50" s="52"/>
      <c r="CB50" s="59"/>
      <c r="CC50" s="67"/>
      <c r="CD50" s="66"/>
      <c r="CE50" s="66"/>
      <c r="CF50" s="66"/>
      <c r="CG50" s="66"/>
      <c r="CH50" s="52"/>
      <c r="CI50" s="59"/>
      <c r="CJ50" s="67"/>
      <c r="CK50" s="66"/>
      <c r="CL50" s="66"/>
      <c r="CM50" s="66"/>
      <c r="CN50" s="66"/>
      <c r="CO50" s="52"/>
      <c r="CP50" s="59"/>
      <c r="CQ50" s="76">
        <f t="shared" si="16"/>
        <v>0</v>
      </c>
      <c r="CR50" s="69"/>
      <c r="CS50" s="79"/>
      <c r="CT50" s="69"/>
      <c r="CU50" s="69">
        <f t="shared" si="10"/>
        <v>0</v>
      </c>
      <c r="CV50" s="52" t="e">
        <f t="shared" si="2"/>
        <v>#DIV/0!</v>
      </c>
      <c r="CW50" s="53">
        <f t="shared" si="11"/>
        <v>0</v>
      </c>
    </row>
    <row r="51" spans="1:101" s="121" customFormat="1" x14ac:dyDescent="0.15">
      <c r="A51" s="379"/>
      <c r="B51" s="5">
        <v>24</v>
      </c>
      <c r="C51" s="27" t="str">
        <f>明细表!C26</f>
        <v>高铁配餐【阿里年会专供】</v>
      </c>
      <c r="D51" s="380"/>
      <c r="E51" s="381"/>
      <c r="F51" s="381"/>
      <c r="G51" s="381"/>
      <c r="H51" s="381"/>
      <c r="I51" s="382"/>
      <c r="J51" s="383"/>
      <c r="K51" s="384"/>
      <c r="L51" s="385"/>
      <c r="M51" s="381"/>
      <c r="N51" s="385"/>
      <c r="O51" s="385"/>
      <c r="P51" s="382"/>
      <c r="Q51" s="386"/>
      <c r="R51" s="387"/>
      <c r="S51" s="385"/>
      <c r="T51" s="385"/>
      <c r="U51" s="388"/>
      <c r="V51" s="385"/>
      <c r="W51" s="382"/>
      <c r="X51" s="389"/>
      <c r="Y51" s="390"/>
      <c r="Z51" s="391"/>
      <c r="AA51" s="391"/>
      <c r="AB51" s="391"/>
      <c r="AC51" s="391"/>
      <c r="AD51" s="392"/>
      <c r="AE51" s="393"/>
      <c r="AF51" s="390"/>
      <c r="AG51" s="391"/>
      <c r="AH51" s="391"/>
      <c r="AI51" s="391"/>
      <c r="AJ51" s="391"/>
      <c r="AK51" s="392"/>
      <c r="AL51" s="393"/>
      <c r="AM51" s="394"/>
      <c r="AN51" s="395"/>
      <c r="AO51" s="395"/>
      <c r="AP51" s="395"/>
      <c r="AQ51" s="395"/>
      <c r="AR51" s="382"/>
      <c r="AS51" s="386"/>
      <c r="AT51" s="394"/>
      <c r="AU51" s="395"/>
      <c r="AV51" s="395"/>
      <c r="AW51" s="395"/>
      <c r="AX51" s="396"/>
      <c r="AY51" s="382"/>
      <c r="AZ51" s="386"/>
      <c r="BA51" s="394"/>
      <c r="BB51" s="395"/>
      <c r="BC51" s="395"/>
      <c r="BD51" s="395"/>
      <c r="BE51" s="395"/>
      <c r="BF51" s="382"/>
      <c r="BG51" s="389"/>
      <c r="BH51" s="394"/>
      <c r="BI51" s="395"/>
      <c r="BJ51" s="395"/>
      <c r="BK51" s="395"/>
      <c r="BL51" s="395"/>
      <c r="BM51" s="382"/>
      <c r="BN51" s="389"/>
      <c r="BO51" s="394">
        <f>明细表!D27</f>
        <v>5565</v>
      </c>
      <c r="BP51" s="395"/>
      <c r="BQ51" s="395"/>
      <c r="BR51" s="395"/>
      <c r="BS51" s="395">
        <f>BO51</f>
        <v>5565</v>
      </c>
      <c r="BT51" s="382">
        <f t="shared" si="15"/>
        <v>17.716832820170023</v>
      </c>
      <c r="BU51" s="389">
        <f>明细表!R27</f>
        <v>98594.174644246174</v>
      </c>
      <c r="BV51" s="397"/>
      <c r="BW51" s="395"/>
      <c r="BX51" s="395"/>
      <c r="BY51" s="395"/>
      <c r="BZ51" s="395"/>
      <c r="CA51" s="382"/>
      <c r="CB51" s="389"/>
      <c r="CC51" s="397"/>
      <c r="CD51" s="395"/>
      <c r="CE51" s="395"/>
      <c r="CF51" s="395"/>
      <c r="CG51" s="395"/>
      <c r="CH51" s="382"/>
      <c r="CI51" s="389"/>
      <c r="CJ51" s="397"/>
      <c r="CK51" s="395"/>
      <c r="CL51" s="395"/>
      <c r="CM51" s="395"/>
      <c r="CN51" s="395"/>
      <c r="CO51" s="382"/>
      <c r="CP51" s="389"/>
      <c r="CQ51" s="398">
        <f t="shared" si="16"/>
        <v>5565</v>
      </c>
      <c r="CR51" s="399"/>
      <c r="CS51" s="400"/>
      <c r="CT51" s="399"/>
      <c r="CU51" s="399">
        <f t="shared" si="10"/>
        <v>5565</v>
      </c>
      <c r="CV51" s="382">
        <f t="shared" si="2"/>
        <v>17.716832820170023</v>
      </c>
      <c r="CW51" s="386">
        <f t="shared" si="11"/>
        <v>98594.174644246174</v>
      </c>
    </row>
    <row r="52" spans="1:101" s="70" customFormat="1" ht="14.25" thickBot="1" x14ac:dyDescent="0.2">
      <c r="A52" s="481" t="s">
        <v>75</v>
      </c>
      <c r="B52" s="482"/>
      <c r="C52" s="483"/>
      <c r="D52" s="104">
        <f>D34+D5+D8+D11+D13+D16+D18+D20+D22+D31+D41+D46+D48+D50+D43</f>
        <v>423407</v>
      </c>
      <c r="E52" s="104">
        <f>E34+E5+E8+E11+E13+E16+E18+E20+E22+E31+E41+E46+E48+E50+E43</f>
        <v>1170</v>
      </c>
      <c r="F52" s="104">
        <f>F34+F5+F8+F11+F13+F16+F18+F20+F22+F31+F41+F46+F48+F50+F43</f>
        <v>0</v>
      </c>
      <c r="G52" s="104">
        <f>G34+G5+G8+G11+G13+G16+G18+G20+G22+G31+G41+G46+G48+G50+G43</f>
        <v>0</v>
      </c>
      <c r="H52" s="104">
        <f>H34+H5+H8+H11+H13+H16+H18+H20+H22+H31+H41+H46+H48+H50+H43</f>
        <v>422237</v>
      </c>
      <c r="I52" s="105">
        <f t="shared" si="4"/>
        <v>10.366357140657971</v>
      </c>
      <c r="J52" s="106">
        <f>J5+J8+J11+J13+J16+J18+J20+J22+J31+J41+J46+J48+J50+J43+J34</f>
        <v>4377059.54</v>
      </c>
      <c r="K52" s="107">
        <f>K5+K8+K13+K18+K20+K31+K34+K41+K46</f>
        <v>465276</v>
      </c>
      <c r="L52" s="108">
        <f>L34+L5+L8+L11+L13+L16+L18+L20+L22+L31+L41+L46+L48+L50+L43</f>
        <v>1114</v>
      </c>
      <c r="M52" s="108">
        <f>M34+M5+M8+M11+M13+M16+M18+M20+M22+M31+M41+M46+M48+M50+M43</f>
        <v>0</v>
      </c>
      <c r="N52" s="108">
        <f>N34+N5+N8+N11+N13+N16+N18+N20+N22+N31+N41+N46+N48+N50+N43</f>
        <v>0</v>
      </c>
      <c r="O52" s="108">
        <f>O34+O5+O8+O11+O13+O16+O18+O20+O22+O31+O41+O46+O48+O50+O43</f>
        <v>464162</v>
      </c>
      <c r="P52" s="105">
        <f>Q52/O52</f>
        <v>10.516188615181768</v>
      </c>
      <c r="Q52" s="109">
        <f>Q5+Q8+Q11+Q13+Q16+Q18+Q20+Q22+Q31+Q41+Q46+Q48+Q50+Q43+Q34</f>
        <v>4881215.1399999997</v>
      </c>
      <c r="R52" s="107">
        <f>R5+R8+R13+R18+R20+R31+R34+R41+R46</f>
        <v>388231</v>
      </c>
      <c r="S52" s="108">
        <f>S34+S5+S8+S11+S13+S16+S18+S20+S22+S31+S41+S46+S48+S50+S43</f>
        <v>921</v>
      </c>
      <c r="T52" s="108">
        <f>T34+T5+T8+T11+T13+T16+T18+T20+T22+T31+T41+T46+T48+T50+T43</f>
        <v>0</v>
      </c>
      <c r="U52" s="108">
        <f>U34+U5+U8+U11+U13+U16+U18+U20+U22+U31+U41+U46+U48+U50+U43</f>
        <v>0</v>
      </c>
      <c r="V52" s="108">
        <f>V34+V5+V8+V11+V13+V16+V18+V20+V22+V31+V41+V46+V48+V50+V43</f>
        <v>387310</v>
      </c>
      <c r="W52" s="105">
        <f>X52/V52</f>
        <v>10.612724071157471</v>
      </c>
      <c r="X52" s="109">
        <f>X5+X8+X11+X13+X16+X18+X20+X22+X31+X41+X46+X48+X50+X43+X34</f>
        <v>4110414.16</v>
      </c>
      <c r="Y52" s="110">
        <f>Y13+Y18+Y20+Y31+Y34+Y41+Y46</f>
        <v>504138</v>
      </c>
      <c r="Z52" s="110">
        <f t="shared" ref="Z52:AE52" si="41">Z13+Z18+Z20+Z31+Z34+Z41+Z46</f>
        <v>907</v>
      </c>
      <c r="AA52" s="110">
        <f t="shared" si="41"/>
        <v>0</v>
      </c>
      <c r="AB52" s="110">
        <f t="shared" si="41"/>
        <v>0</v>
      </c>
      <c r="AC52" s="110">
        <f t="shared" si="41"/>
        <v>503231</v>
      </c>
      <c r="AD52" s="111">
        <f>AE52/AC52</f>
        <v>11.206149422432242</v>
      </c>
      <c r="AE52" s="112">
        <f t="shared" si="41"/>
        <v>5639281.7799999993</v>
      </c>
      <c r="AF52" s="110">
        <f>AF46+AF41+AF34+AF31+AF20+AF18+AF13</f>
        <v>526927</v>
      </c>
      <c r="AG52" s="113">
        <f>AG46+AG41+AG34+AG31+AG20+AG18+AG13</f>
        <v>886</v>
      </c>
      <c r="AH52" s="113">
        <f>AH46+AH41+AH34+AH31+AH20+AH18+AH13</f>
        <v>0</v>
      </c>
      <c r="AI52" s="113">
        <f>AI46+AI41+AI34+AI31+AI20+AI18+AI13</f>
        <v>12</v>
      </c>
      <c r="AJ52" s="113">
        <f>AJ46+AJ41+AJ34+AJ31+AJ20+AJ18+AJ13</f>
        <v>526029</v>
      </c>
      <c r="AK52" s="111">
        <f>AL52/AJ52</f>
        <v>11.484767778962755</v>
      </c>
      <c r="AL52" s="112">
        <f>AL46+AL41+AL34+AL31+AL20+AL18+AL13</f>
        <v>6041320.9099999992</v>
      </c>
      <c r="AM52" s="114">
        <f t="shared" ref="AM52:AN52" si="42">AM46+AM41+AM34+AM31+AM20+AM18+AM13</f>
        <v>494183</v>
      </c>
      <c r="AN52" s="115">
        <f t="shared" si="42"/>
        <v>1007</v>
      </c>
      <c r="AO52" s="115"/>
      <c r="AP52" s="115">
        <f>AP46+AP41+AP34+AP31+AP20+AP18+AP13</f>
        <v>35</v>
      </c>
      <c r="AQ52" s="115">
        <f>AQ46+AQ41+AQ34+AQ31+AQ20+AQ18+AQ13</f>
        <v>493141</v>
      </c>
      <c r="AR52" s="105">
        <f>AS52/AQ52</f>
        <v>11.708606950142048</v>
      </c>
      <c r="AS52" s="109">
        <f>[6]明细表!S27</f>
        <v>5773994.1399999997</v>
      </c>
      <c r="AT52" s="114">
        <f>Y52+AF52+AM52</f>
        <v>1525248</v>
      </c>
      <c r="AU52" s="115">
        <f t="shared" ref="AU52:AX52" si="43">Z52+AG52+AN52</f>
        <v>2800</v>
      </c>
      <c r="AV52" s="115">
        <f t="shared" si="43"/>
        <v>0</v>
      </c>
      <c r="AW52" s="115">
        <f t="shared" si="43"/>
        <v>47</v>
      </c>
      <c r="AX52" s="116">
        <f t="shared" si="43"/>
        <v>1522401</v>
      </c>
      <c r="AY52" s="105">
        <f t="shared" si="13"/>
        <v>11.46517693432939</v>
      </c>
      <c r="AZ52" s="109">
        <f t="shared" si="7"/>
        <v>17454596.829999998</v>
      </c>
      <c r="BA52" s="114">
        <f>[7]明细表!D28</f>
        <v>607486</v>
      </c>
      <c r="BB52" s="115">
        <f>[7]明细表!E28</f>
        <v>917</v>
      </c>
      <c r="BC52" s="115"/>
      <c r="BD52" s="115"/>
      <c r="BE52" s="115">
        <f>[7]明细表!F28</f>
        <v>606569</v>
      </c>
      <c r="BF52" s="105">
        <f t="shared" si="28"/>
        <v>11.457315210635556</v>
      </c>
      <c r="BG52" s="117">
        <f>[7]明细表!R28</f>
        <v>6949652.2299999986</v>
      </c>
      <c r="BH52" s="114">
        <f>[8]明细表!D27</f>
        <v>698610</v>
      </c>
      <c r="BI52" s="115">
        <f>[8]明细表!E27</f>
        <v>940</v>
      </c>
      <c r="BJ52" s="115"/>
      <c r="BK52" s="115">
        <f>[8]明细表!F27</f>
        <v>15</v>
      </c>
      <c r="BL52" s="115">
        <f>[8]明细表!G27</f>
        <v>697655</v>
      </c>
      <c r="BM52" s="105">
        <f>BN52/BL52</f>
        <v>11.589688958009333</v>
      </c>
      <c r="BN52" s="117">
        <f>[8]明细表!S27</f>
        <v>8085604.4500000011</v>
      </c>
      <c r="BO52" s="114">
        <f>明细表!D28</f>
        <v>491940</v>
      </c>
      <c r="BP52" s="115">
        <f>明细表!E28</f>
        <v>935</v>
      </c>
      <c r="BQ52" s="115"/>
      <c r="BR52" s="115"/>
      <c r="BS52" s="115">
        <f>明细表!F28</f>
        <v>491005</v>
      </c>
      <c r="BT52" s="105">
        <f t="shared" si="15"/>
        <v>11.310645410942863</v>
      </c>
      <c r="BU52" s="117">
        <f>明细表!R28</f>
        <v>5553583.4500000002</v>
      </c>
      <c r="BV52" s="114">
        <f>[14]明细表!D39</f>
        <v>513931</v>
      </c>
      <c r="BW52" s="115">
        <f>[14]明细表!E39</f>
        <v>1380</v>
      </c>
      <c r="BX52" s="115"/>
      <c r="BY52" s="115"/>
      <c r="BZ52" s="115">
        <f>[14]明细表!F39</f>
        <v>512551</v>
      </c>
      <c r="CA52" s="105">
        <f>CB52/BZ52</f>
        <v>10.049072482543201</v>
      </c>
      <c r="CB52" s="117">
        <f>[14]明细表!R39</f>
        <v>5150662.1500000004</v>
      </c>
      <c r="CC52" s="114">
        <f>[15]明细表!D39</f>
        <v>465368</v>
      </c>
      <c r="CD52" s="115">
        <f>[15]明细表!E39</f>
        <v>1284</v>
      </c>
      <c r="CE52" s="115"/>
      <c r="CF52" s="115"/>
      <c r="CG52" s="115">
        <f>[15]明细表!F39</f>
        <v>464084</v>
      </c>
      <c r="CH52" s="105">
        <f>CI52/CG52</f>
        <v>9.8909818265658807</v>
      </c>
      <c r="CI52" s="117">
        <f>[15]明细表!R39</f>
        <v>4590246.41</v>
      </c>
      <c r="CJ52" s="114">
        <f>[16]明细表!D31</f>
        <v>378641</v>
      </c>
      <c r="CK52" s="115">
        <f>[16]明细表!E31</f>
        <v>1004</v>
      </c>
      <c r="CL52" s="115"/>
      <c r="CM52" s="115">
        <f>[16]明细表!F31</f>
        <v>403</v>
      </c>
      <c r="CN52" s="115">
        <f>[16]明细表!G31</f>
        <v>377234</v>
      </c>
      <c r="CO52" s="105">
        <f>CP52/CN52</f>
        <v>9.9323272027441849</v>
      </c>
      <c r="CP52" s="117">
        <f>[16]明细表!S31</f>
        <v>3746811.5199999996</v>
      </c>
      <c r="CQ52" s="118">
        <f t="shared" si="16"/>
        <v>4600198</v>
      </c>
      <c r="CR52" s="119">
        <f t="shared" si="8"/>
        <v>8797</v>
      </c>
      <c r="CS52" s="119"/>
      <c r="CT52" s="119">
        <f t="shared" si="9"/>
        <v>62</v>
      </c>
      <c r="CU52" s="119">
        <f t="shared" si="10"/>
        <v>4591339</v>
      </c>
      <c r="CV52" s="105">
        <f t="shared" si="2"/>
        <v>11.197632281127577</v>
      </c>
      <c r="CW52" s="109">
        <f t="shared" si="11"/>
        <v>51412125.800000004</v>
      </c>
    </row>
    <row r="53" spans="1:101" x14ac:dyDescent="0.15">
      <c r="D53" s="11" t="s">
        <v>76</v>
      </c>
      <c r="K53" s="11" t="s">
        <v>76</v>
      </c>
      <c r="R53" s="11" t="s">
        <v>77</v>
      </c>
      <c r="Y53" s="11" t="s">
        <v>78</v>
      </c>
      <c r="AF53" s="11" t="s">
        <v>79</v>
      </c>
      <c r="AM53" s="11" t="s">
        <v>80</v>
      </c>
      <c r="BA53" s="11" t="s">
        <v>81</v>
      </c>
      <c r="BH53" s="11" t="s">
        <v>82</v>
      </c>
      <c r="BO53" s="11" t="s">
        <v>82</v>
      </c>
      <c r="BV53" s="11"/>
      <c r="CC53" s="11"/>
      <c r="CJ53" s="11"/>
      <c r="CU53" s="120"/>
    </row>
    <row r="54" spans="1:101" x14ac:dyDescent="0.15">
      <c r="D54" s="11" t="s">
        <v>83</v>
      </c>
      <c r="K54" s="11" t="s">
        <v>84</v>
      </c>
      <c r="R54" s="11" t="s">
        <v>85</v>
      </c>
      <c r="Y54" s="11" t="s">
        <v>86</v>
      </c>
      <c r="AF54" s="11" t="s">
        <v>87</v>
      </c>
      <c r="AM54" s="11" t="s">
        <v>88</v>
      </c>
      <c r="BA54" s="11" t="s">
        <v>89</v>
      </c>
      <c r="BH54" s="11" t="s">
        <v>90</v>
      </c>
      <c r="BO54" s="11" t="s">
        <v>248</v>
      </c>
      <c r="BV54" s="11"/>
      <c r="CC54" s="11"/>
      <c r="CJ54" s="11"/>
    </row>
    <row r="55" spans="1:101" x14ac:dyDescent="0.15">
      <c r="D55" s="11" t="s">
        <v>91</v>
      </c>
      <c r="K55" s="11" t="s">
        <v>92</v>
      </c>
      <c r="R55" s="11" t="s">
        <v>93</v>
      </c>
      <c r="Y55" s="11" t="s">
        <v>94</v>
      </c>
      <c r="AF55" s="11" t="s">
        <v>95</v>
      </c>
      <c r="AM55" s="11" t="s">
        <v>96</v>
      </c>
      <c r="BA55" s="11" t="s">
        <v>97</v>
      </c>
      <c r="BH55" s="11" t="s">
        <v>98</v>
      </c>
      <c r="BO55" s="11" t="s">
        <v>246</v>
      </c>
      <c r="BV55" s="11"/>
      <c r="CC55" s="11"/>
      <c r="CJ55" s="11"/>
    </row>
    <row r="56" spans="1:101" x14ac:dyDescent="0.15">
      <c r="D56" s="11" t="s">
        <v>99</v>
      </c>
      <c r="K56" s="11" t="s">
        <v>100</v>
      </c>
      <c r="R56" s="11" t="s">
        <v>101</v>
      </c>
      <c r="Y56" s="11" t="s">
        <v>102</v>
      </c>
      <c r="AF56" s="11" t="s">
        <v>103</v>
      </c>
      <c r="AM56" s="11" t="s">
        <v>104</v>
      </c>
      <c r="BA56" s="11" t="s">
        <v>105</v>
      </c>
      <c r="BH56" s="11" t="s">
        <v>106</v>
      </c>
      <c r="BO56" s="11" t="s">
        <v>247</v>
      </c>
      <c r="BV56" s="11"/>
      <c r="CC56" s="11"/>
      <c r="CJ56" s="11"/>
    </row>
    <row r="57" spans="1:101" x14ac:dyDescent="0.15">
      <c r="D57" s="11"/>
      <c r="K57" s="11"/>
      <c r="R57" s="11"/>
      <c r="Y57" s="11"/>
      <c r="AF57" s="11"/>
      <c r="AM57" s="11" t="s">
        <v>107</v>
      </c>
      <c r="BA57"/>
      <c r="BH57" s="11" t="s">
        <v>108</v>
      </c>
      <c r="BO57"/>
      <c r="BV57" s="11"/>
      <c r="CC57" s="11"/>
      <c r="CJ57" s="11"/>
    </row>
    <row r="58" spans="1:101" x14ac:dyDescent="0.15">
      <c r="A58" s="4"/>
      <c r="D58" s="11" t="s">
        <v>109</v>
      </c>
      <c r="K58" s="11" t="s">
        <v>110</v>
      </c>
      <c r="R58" s="11" t="s">
        <v>111</v>
      </c>
      <c r="Y58" s="11" t="s">
        <v>112</v>
      </c>
      <c r="AF58" s="11" t="s">
        <v>113</v>
      </c>
      <c r="AM58" s="11" t="s">
        <v>114</v>
      </c>
      <c r="BA58" s="11" t="s">
        <v>115</v>
      </c>
      <c r="BH58"/>
      <c r="BO58" s="11" t="s">
        <v>249</v>
      </c>
      <c r="BV58" s="11"/>
      <c r="CC58" s="11"/>
      <c r="CJ58" s="11"/>
    </row>
    <row r="59" spans="1:101" x14ac:dyDescent="0.15">
      <c r="R59" s="11"/>
      <c r="Y59" s="11"/>
      <c r="AF59" s="11"/>
      <c r="AM59" s="11"/>
      <c r="BH59" s="11" t="s">
        <v>116</v>
      </c>
      <c r="CJ59" s="11"/>
    </row>
    <row r="60" spans="1:101" x14ac:dyDescent="0.15">
      <c r="R60" s="11"/>
    </row>
    <row r="62" spans="1:101" x14ac:dyDescent="0.15">
      <c r="AQ62" s="120">
        <f>AQ5+AQ8+AQ11+AQ13+AQ16+AQ18+AQ20+AQ22+AQ31+AQ34+AQ41+AQ43+AQ46+AQ48+AQ50</f>
        <v>493141</v>
      </c>
    </row>
  </sheetData>
  <mergeCells count="36">
    <mergeCell ref="B22:C22"/>
    <mergeCell ref="B31:C31"/>
    <mergeCell ref="A52:C52"/>
    <mergeCell ref="B41:C41"/>
    <mergeCell ref="B43:C43"/>
    <mergeCell ref="A44:A46"/>
    <mergeCell ref="B46:C46"/>
    <mergeCell ref="A47:A50"/>
    <mergeCell ref="B48:C48"/>
    <mergeCell ref="B50:C50"/>
    <mergeCell ref="BV2:CB2"/>
    <mergeCell ref="CC2:CI2"/>
    <mergeCell ref="B16:C16"/>
    <mergeCell ref="B18:C18"/>
    <mergeCell ref="B20:C20"/>
    <mergeCell ref="B13:C13"/>
    <mergeCell ref="AT2:AZ2"/>
    <mergeCell ref="BA2:BG2"/>
    <mergeCell ref="BH2:BN2"/>
    <mergeCell ref="BO2:BU2"/>
    <mergeCell ref="A1:CW1"/>
    <mergeCell ref="A2:A43"/>
    <mergeCell ref="B2:B3"/>
    <mergeCell ref="C2:C3"/>
    <mergeCell ref="D2:J2"/>
    <mergeCell ref="K2:Q2"/>
    <mergeCell ref="R2:X2"/>
    <mergeCell ref="Y2:AE2"/>
    <mergeCell ref="AF2:AL2"/>
    <mergeCell ref="AM2:AS2"/>
    <mergeCell ref="B34:C34"/>
    <mergeCell ref="CJ2:CP2"/>
    <mergeCell ref="CQ2:CW2"/>
    <mergeCell ref="B5:C5"/>
    <mergeCell ref="B8:C8"/>
    <mergeCell ref="B11:C11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L42" sqref="L42"/>
    </sheetView>
  </sheetViews>
  <sheetFormatPr defaultRowHeight="13.5" x14ac:dyDescent="0.15"/>
  <cols>
    <col min="1" max="1" width="3.875" style="70" customWidth="1"/>
    <col min="2" max="2" width="3.25" style="121" customWidth="1"/>
    <col min="3" max="3" width="29.75" style="121" bestFit="1" customWidth="1"/>
    <col min="4" max="4" width="10.25" style="121" customWidth="1"/>
    <col min="5" max="5" width="10.875" style="121" customWidth="1"/>
    <col min="6" max="6" width="9.625" style="121" customWidth="1"/>
    <col min="7" max="8" width="9.875" style="121" customWidth="1"/>
    <col min="9" max="9" width="9.375" style="121" customWidth="1"/>
    <col min="10" max="10" width="12.375" style="121" customWidth="1"/>
    <col min="11" max="12" width="9.375" style="121" customWidth="1"/>
    <col min="13" max="15" width="9.375" style="121" hidden="1" customWidth="1"/>
    <col min="16" max="16" width="15" style="121" customWidth="1"/>
    <col min="17" max="217" width="9.125" style="121"/>
    <col min="218" max="218" width="5" style="121" bestFit="1" customWidth="1"/>
    <col min="219" max="219" width="9" style="121" bestFit="1" customWidth="1"/>
    <col min="220" max="220" width="20" style="121" bestFit="1" customWidth="1"/>
    <col min="221" max="225" width="9.125" style="121"/>
    <col min="226" max="226" width="15.125" style="121" bestFit="1" customWidth="1"/>
    <col min="227" max="227" width="13.25" style="121" customWidth="1"/>
    <col min="228" max="228" width="12" style="121" bestFit="1" customWidth="1"/>
    <col min="229" max="230" width="9.125" style="121"/>
    <col min="231" max="231" width="15.125" style="121" bestFit="1" customWidth="1"/>
    <col min="232" max="473" width="9.125" style="121"/>
    <col min="474" max="474" width="5" style="121" bestFit="1" customWidth="1"/>
    <col min="475" max="475" width="9" style="121" bestFit="1" customWidth="1"/>
    <col min="476" max="476" width="20" style="121" bestFit="1" customWidth="1"/>
    <col min="477" max="481" width="9.125" style="121"/>
    <col min="482" max="482" width="15.125" style="121" bestFit="1" customWidth="1"/>
    <col min="483" max="483" width="13.25" style="121" customWidth="1"/>
    <col min="484" max="484" width="12" style="121" bestFit="1" customWidth="1"/>
    <col min="485" max="486" width="9.125" style="121"/>
    <col min="487" max="487" width="15.125" style="121" bestFit="1" customWidth="1"/>
    <col min="488" max="729" width="9.125" style="121"/>
    <col min="730" max="730" width="5" style="121" bestFit="1" customWidth="1"/>
    <col min="731" max="731" width="9" style="121" bestFit="1" customWidth="1"/>
    <col min="732" max="732" width="20" style="121" bestFit="1" customWidth="1"/>
    <col min="733" max="737" width="9.125" style="121"/>
    <col min="738" max="738" width="15.125" style="121" bestFit="1" customWidth="1"/>
    <col min="739" max="739" width="13.25" style="121" customWidth="1"/>
    <col min="740" max="740" width="12" style="121" bestFit="1" customWidth="1"/>
    <col min="741" max="742" width="9.125" style="121"/>
    <col min="743" max="743" width="15.125" style="121" bestFit="1" customWidth="1"/>
    <col min="744" max="985" width="9.125" style="121"/>
    <col min="986" max="986" width="5" style="121" bestFit="1" customWidth="1"/>
    <col min="987" max="987" width="9" style="121" bestFit="1" customWidth="1"/>
    <col min="988" max="988" width="20" style="121" bestFit="1" customWidth="1"/>
    <col min="989" max="993" width="9.125" style="121"/>
    <col min="994" max="994" width="15.125" style="121" bestFit="1" customWidth="1"/>
    <col min="995" max="995" width="13.25" style="121" customWidth="1"/>
    <col min="996" max="996" width="12" style="121" bestFit="1" customWidth="1"/>
    <col min="997" max="998" width="9.125" style="121"/>
    <col min="999" max="999" width="15.125" style="121" bestFit="1" customWidth="1"/>
    <col min="1000" max="1241" width="9.125" style="121"/>
    <col min="1242" max="1242" width="5" style="121" bestFit="1" customWidth="1"/>
    <col min="1243" max="1243" width="9" style="121" bestFit="1" customWidth="1"/>
    <col min="1244" max="1244" width="20" style="121" bestFit="1" customWidth="1"/>
    <col min="1245" max="1249" width="9.125" style="121"/>
    <col min="1250" max="1250" width="15.125" style="121" bestFit="1" customWidth="1"/>
    <col min="1251" max="1251" width="13.25" style="121" customWidth="1"/>
    <col min="1252" max="1252" width="12" style="121" bestFit="1" customWidth="1"/>
    <col min="1253" max="1254" width="9.125" style="121"/>
    <col min="1255" max="1255" width="15.125" style="121" bestFit="1" customWidth="1"/>
    <col min="1256" max="1497" width="9.125" style="121"/>
    <col min="1498" max="1498" width="5" style="121" bestFit="1" customWidth="1"/>
    <col min="1499" max="1499" width="9" style="121" bestFit="1" customWidth="1"/>
    <col min="1500" max="1500" width="20" style="121" bestFit="1" customWidth="1"/>
    <col min="1501" max="1505" width="9.125" style="121"/>
    <col min="1506" max="1506" width="15.125" style="121" bestFit="1" customWidth="1"/>
    <col min="1507" max="1507" width="13.25" style="121" customWidth="1"/>
    <col min="1508" max="1508" width="12" style="121" bestFit="1" customWidth="1"/>
    <col min="1509" max="1510" width="9.125" style="121"/>
    <col min="1511" max="1511" width="15.125" style="121" bestFit="1" customWidth="1"/>
    <col min="1512" max="1753" width="9.125" style="121"/>
    <col min="1754" max="1754" width="5" style="121" bestFit="1" customWidth="1"/>
    <col min="1755" max="1755" width="9" style="121" bestFit="1" customWidth="1"/>
    <col min="1756" max="1756" width="20" style="121" bestFit="1" customWidth="1"/>
    <col min="1757" max="1761" width="9.125" style="121"/>
    <col min="1762" max="1762" width="15.125" style="121" bestFit="1" customWidth="1"/>
    <col min="1763" max="1763" width="13.25" style="121" customWidth="1"/>
    <col min="1764" max="1764" width="12" style="121" bestFit="1" customWidth="1"/>
    <col min="1765" max="1766" width="9.125" style="121"/>
    <col min="1767" max="1767" width="15.125" style="121" bestFit="1" customWidth="1"/>
    <col min="1768" max="2009" width="9.125" style="121"/>
    <col min="2010" max="2010" width="5" style="121" bestFit="1" customWidth="1"/>
    <col min="2011" max="2011" width="9" style="121" bestFit="1" customWidth="1"/>
    <col min="2012" max="2012" width="20" style="121" bestFit="1" customWidth="1"/>
    <col min="2013" max="2017" width="9.125" style="121"/>
    <col min="2018" max="2018" width="15.125" style="121" bestFit="1" customWidth="1"/>
    <col min="2019" max="2019" width="13.25" style="121" customWidth="1"/>
    <col min="2020" max="2020" width="12" style="121" bestFit="1" customWidth="1"/>
    <col min="2021" max="2022" width="9.125" style="121"/>
    <col min="2023" max="2023" width="15.125" style="121" bestFit="1" customWidth="1"/>
    <col min="2024" max="2265" width="9.125" style="121"/>
    <col min="2266" max="2266" width="5" style="121" bestFit="1" customWidth="1"/>
    <col min="2267" max="2267" width="9" style="121" bestFit="1" customWidth="1"/>
    <col min="2268" max="2268" width="20" style="121" bestFit="1" customWidth="1"/>
    <col min="2269" max="2273" width="9.125" style="121"/>
    <col min="2274" max="2274" width="15.125" style="121" bestFit="1" customWidth="1"/>
    <col min="2275" max="2275" width="13.25" style="121" customWidth="1"/>
    <col min="2276" max="2276" width="12" style="121" bestFit="1" customWidth="1"/>
    <col min="2277" max="2278" width="9.125" style="121"/>
    <col min="2279" max="2279" width="15.125" style="121" bestFit="1" customWidth="1"/>
    <col min="2280" max="2521" width="9.125" style="121"/>
    <col min="2522" max="2522" width="5" style="121" bestFit="1" customWidth="1"/>
    <col min="2523" max="2523" width="9" style="121" bestFit="1" customWidth="1"/>
    <col min="2524" max="2524" width="20" style="121" bestFit="1" customWidth="1"/>
    <col min="2525" max="2529" width="9.125" style="121"/>
    <col min="2530" max="2530" width="15.125" style="121" bestFit="1" customWidth="1"/>
    <col min="2531" max="2531" width="13.25" style="121" customWidth="1"/>
    <col min="2532" max="2532" width="12" style="121" bestFit="1" customWidth="1"/>
    <col min="2533" max="2534" width="9.125" style="121"/>
    <col min="2535" max="2535" width="15.125" style="121" bestFit="1" customWidth="1"/>
    <col min="2536" max="2777" width="9.125" style="121"/>
    <col min="2778" max="2778" width="5" style="121" bestFit="1" customWidth="1"/>
    <col min="2779" max="2779" width="9" style="121" bestFit="1" customWidth="1"/>
    <col min="2780" max="2780" width="20" style="121" bestFit="1" customWidth="1"/>
    <col min="2781" max="2785" width="9.125" style="121"/>
    <col min="2786" max="2786" width="15.125" style="121" bestFit="1" customWidth="1"/>
    <col min="2787" max="2787" width="13.25" style="121" customWidth="1"/>
    <col min="2788" max="2788" width="12" style="121" bestFit="1" customWidth="1"/>
    <col min="2789" max="2790" width="9.125" style="121"/>
    <col min="2791" max="2791" width="15.125" style="121" bestFit="1" customWidth="1"/>
    <col min="2792" max="3033" width="9.125" style="121"/>
    <col min="3034" max="3034" width="5" style="121" bestFit="1" customWidth="1"/>
    <col min="3035" max="3035" width="9" style="121" bestFit="1" customWidth="1"/>
    <col min="3036" max="3036" width="20" style="121" bestFit="1" customWidth="1"/>
    <col min="3037" max="3041" width="9.125" style="121"/>
    <col min="3042" max="3042" width="15.125" style="121" bestFit="1" customWidth="1"/>
    <col min="3043" max="3043" width="13.25" style="121" customWidth="1"/>
    <col min="3044" max="3044" width="12" style="121" bestFit="1" customWidth="1"/>
    <col min="3045" max="3046" width="9.125" style="121"/>
    <col min="3047" max="3047" width="15.125" style="121" bestFit="1" customWidth="1"/>
    <col min="3048" max="3289" width="9.125" style="121"/>
    <col min="3290" max="3290" width="5" style="121" bestFit="1" customWidth="1"/>
    <col min="3291" max="3291" width="9" style="121" bestFit="1" customWidth="1"/>
    <col min="3292" max="3292" width="20" style="121" bestFit="1" customWidth="1"/>
    <col min="3293" max="3297" width="9.125" style="121"/>
    <col min="3298" max="3298" width="15.125" style="121" bestFit="1" customWidth="1"/>
    <col min="3299" max="3299" width="13.25" style="121" customWidth="1"/>
    <col min="3300" max="3300" width="12" style="121" bestFit="1" customWidth="1"/>
    <col min="3301" max="3302" width="9.125" style="121"/>
    <col min="3303" max="3303" width="15.125" style="121" bestFit="1" customWidth="1"/>
    <col min="3304" max="3545" width="9.125" style="121"/>
    <col min="3546" max="3546" width="5" style="121" bestFit="1" customWidth="1"/>
    <col min="3547" max="3547" width="9" style="121" bestFit="1" customWidth="1"/>
    <col min="3548" max="3548" width="20" style="121" bestFit="1" customWidth="1"/>
    <col min="3549" max="3553" width="9.125" style="121"/>
    <col min="3554" max="3554" width="15.125" style="121" bestFit="1" customWidth="1"/>
    <col min="3555" max="3555" width="13.25" style="121" customWidth="1"/>
    <col min="3556" max="3556" width="12" style="121" bestFit="1" customWidth="1"/>
    <col min="3557" max="3558" width="9.125" style="121"/>
    <col min="3559" max="3559" width="15.125" style="121" bestFit="1" customWidth="1"/>
    <col min="3560" max="3801" width="9.125" style="121"/>
    <col min="3802" max="3802" width="5" style="121" bestFit="1" customWidth="1"/>
    <col min="3803" max="3803" width="9" style="121" bestFit="1" customWidth="1"/>
    <col min="3804" max="3804" width="20" style="121" bestFit="1" customWidth="1"/>
    <col min="3805" max="3809" width="9.125" style="121"/>
    <col min="3810" max="3810" width="15.125" style="121" bestFit="1" customWidth="1"/>
    <col min="3811" max="3811" width="13.25" style="121" customWidth="1"/>
    <col min="3812" max="3812" width="12" style="121" bestFit="1" customWidth="1"/>
    <col min="3813" max="3814" width="9.125" style="121"/>
    <col min="3815" max="3815" width="15.125" style="121" bestFit="1" customWidth="1"/>
    <col min="3816" max="4057" width="9.125" style="121"/>
    <col min="4058" max="4058" width="5" style="121" bestFit="1" customWidth="1"/>
    <col min="4059" max="4059" width="9" style="121" bestFit="1" customWidth="1"/>
    <col min="4060" max="4060" width="20" style="121" bestFit="1" customWidth="1"/>
    <col min="4061" max="4065" width="9.125" style="121"/>
    <col min="4066" max="4066" width="15.125" style="121" bestFit="1" customWidth="1"/>
    <col min="4067" max="4067" width="13.25" style="121" customWidth="1"/>
    <col min="4068" max="4068" width="12" style="121" bestFit="1" customWidth="1"/>
    <col min="4069" max="4070" width="9.125" style="121"/>
    <col min="4071" max="4071" width="15.125" style="121" bestFit="1" customWidth="1"/>
    <col min="4072" max="4313" width="9.125" style="121"/>
    <col min="4314" max="4314" width="5" style="121" bestFit="1" customWidth="1"/>
    <col min="4315" max="4315" width="9" style="121" bestFit="1" customWidth="1"/>
    <col min="4316" max="4316" width="20" style="121" bestFit="1" customWidth="1"/>
    <col min="4317" max="4321" width="9.125" style="121"/>
    <col min="4322" max="4322" width="15.125" style="121" bestFit="1" customWidth="1"/>
    <col min="4323" max="4323" width="13.25" style="121" customWidth="1"/>
    <col min="4324" max="4324" width="12" style="121" bestFit="1" customWidth="1"/>
    <col min="4325" max="4326" width="9.125" style="121"/>
    <col min="4327" max="4327" width="15.125" style="121" bestFit="1" customWidth="1"/>
    <col min="4328" max="4569" width="9.125" style="121"/>
    <col min="4570" max="4570" width="5" style="121" bestFit="1" customWidth="1"/>
    <col min="4571" max="4571" width="9" style="121" bestFit="1" customWidth="1"/>
    <col min="4572" max="4572" width="20" style="121" bestFit="1" customWidth="1"/>
    <col min="4573" max="4577" width="9.125" style="121"/>
    <col min="4578" max="4578" width="15.125" style="121" bestFit="1" customWidth="1"/>
    <col min="4579" max="4579" width="13.25" style="121" customWidth="1"/>
    <col min="4580" max="4580" width="12" style="121" bestFit="1" customWidth="1"/>
    <col min="4581" max="4582" width="9.125" style="121"/>
    <col min="4583" max="4583" width="15.125" style="121" bestFit="1" customWidth="1"/>
    <col min="4584" max="4825" width="9.125" style="121"/>
    <col min="4826" max="4826" width="5" style="121" bestFit="1" customWidth="1"/>
    <col min="4827" max="4827" width="9" style="121" bestFit="1" customWidth="1"/>
    <col min="4828" max="4828" width="20" style="121" bestFit="1" customWidth="1"/>
    <col min="4829" max="4833" width="9.125" style="121"/>
    <col min="4834" max="4834" width="15.125" style="121" bestFit="1" customWidth="1"/>
    <col min="4835" max="4835" width="13.25" style="121" customWidth="1"/>
    <col min="4836" max="4836" width="12" style="121" bestFit="1" customWidth="1"/>
    <col min="4837" max="4838" width="9.125" style="121"/>
    <col min="4839" max="4839" width="15.125" style="121" bestFit="1" customWidth="1"/>
    <col min="4840" max="5081" width="9.125" style="121"/>
    <col min="5082" max="5082" width="5" style="121" bestFit="1" customWidth="1"/>
    <col min="5083" max="5083" width="9" style="121" bestFit="1" customWidth="1"/>
    <col min="5084" max="5084" width="20" style="121" bestFit="1" customWidth="1"/>
    <col min="5085" max="5089" width="9.125" style="121"/>
    <col min="5090" max="5090" width="15.125" style="121" bestFit="1" customWidth="1"/>
    <col min="5091" max="5091" width="13.25" style="121" customWidth="1"/>
    <col min="5092" max="5092" width="12" style="121" bestFit="1" customWidth="1"/>
    <col min="5093" max="5094" width="9.125" style="121"/>
    <col min="5095" max="5095" width="15.125" style="121" bestFit="1" customWidth="1"/>
    <col min="5096" max="5337" width="9.125" style="121"/>
    <col min="5338" max="5338" width="5" style="121" bestFit="1" customWidth="1"/>
    <col min="5339" max="5339" width="9" style="121" bestFit="1" customWidth="1"/>
    <col min="5340" max="5340" width="20" style="121" bestFit="1" customWidth="1"/>
    <col min="5341" max="5345" width="9.125" style="121"/>
    <col min="5346" max="5346" width="15.125" style="121" bestFit="1" customWidth="1"/>
    <col min="5347" max="5347" width="13.25" style="121" customWidth="1"/>
    <col min="5348" max="5348" width="12" style="121" bestFit="1" customWidth="1"/>
    <col min="5349" max="5350" width="9.125" style="121"/>
    <col min="5351" max="5351" width="15.125" style="121" bestFit="1" customWidth="1"/>
    <col min="5352" max="5593" width="9.125" style="121"/>
    <col min="5594" max="5594" width="5" style="121" bestFit="1" customWidth="1"/>
    <col min="5595" max="5595" width="9" style="121" bestFit="1" customWidth="1"/>
    <col min="5596" max="5596" width="20" style="121" bestFit="1" customWidth="1"/>
    <col min="5597" max="5601" width="9.125" style="121"/>
    <col min="5602" max="5602" width="15.125" style="121" bestFit="1" customWidth="1"/>
    <col min="5603" max="5603" width="13.25" style="121" customWidth="1"/>
    <col min="5604" max="5604" width="12" style="121" bestFit="1" customWidth="1"/>
    <col min="5605" max="5606" width="9.125" style="121"/>
    <col min="5607" max="5607" width="15.125" style="121" bestFit="1" customWidth="1"/>
    <col min="5608" max="5849" width="9.125" style="121"/>
    <col min="5850" max="5850" width="5" style="121" bestFit="1" customWidth="1"/>
    <col min="5851" max="5851" width="9" style="121" bestFit="1" customWidth="1"/>
    <col min="5852" max="5852" width="20" style="121" bestFit="1" customWidth="1"/>
    <col min="5853" max="5857" width="9.125" style="121"/>
    <col min="5858" max="5858" width="15.125" style="121" bestFit="1" customWidth="1"/>
    <col min="5859" max="5859" width="13.25" style="121" customWidth="1"/>
    <col min="5860" max="5860" width="12" style="121" bestFit="1" customWidth="1"/>
    <col min="5861" max="5862" width="9.125" style="121"/>
    <col min="5863" max="5863" width="15.125" style="121" bestFit="1" customWidth="1"/>
    <col min="5864" max="6105" width="9.125" style="121"/>
    <col min="6106" max="6106" width="5" style="121" bestFit="1" customWidth="1"/>
    <col min="6107" max="6107" width="9" style="121" bestFit="1" customWidth="1"/>
    <col min="6108" max="6108" width="20" style="121" bestFit="1" customWidth="1"/>
    <col min="6109" max="6113" width="9.125" style="121"/>
    <col min="6114" max="6114" width="15.125" style="121" bestFit="1" customWidth="1"/>
    <col min="6115" max="6115" width="13.25" style="121" customWidth="1"/>
    <col min="6116" max="6116" width="12" style="121" bestFit="1" customWidth="1"/>
    <col min="6117" max="6118" width="9.125" style="121"/>
    <col min="6119" max="6119" width="15.125" style="121" bestFit="1" customWidth="1"/>
    <col min="6120" max="6361" width="9.125" style="121"/>
    <col min="6362" max="6362" width="5" style="121" bestFit="1" customWidth="1"/>
    <col min="6363" max="6363" width="9" style="121" bestFit="1" customWidth="1"/>
    <col min="6364" max="6364" width="20" style="121" bestFit="1" customWidth="1"/>
    <col min="6365" max="6369" width="9.125" style="121"/>
    <col min="6370" max="6370" width="15.125" style="121" bestFit="1" customWidth="1"/>
    <col min="6371" max="6371" width="13.25" style="121" customWidth="1"/>
    <col min="6372" max="6372" width="12" style="121" bestFit="1" customWidth="1"/>
    <col min="6373" max="6374" width="9.125" style="121"/>
    <col min="6375" max="6375" width="15.125" style="121" bestFit="1" customWidth="1"/>
    <col min="6376" max="6617" width="9.125" style="121"/>
    <col min="6618" max="6618" width="5" style="121" bestFit="1" customWidth="1"/>
    <col min="6619" max="6619" width="9" style="121" bestFit="1" customWidth="1"/>
    <col min="6620" max="6620" width="20" style="121" bestFit="1" customWidth="1"/>
    <col min="6621" max="6625" width="9.125" style="121"/>
    <col min="6626" max="6626" width="15.125" style="121" bestFit="1" customWidth="1"/>
    <col min="6627" max="6627" width="13.25" style="121" customWidth="1"/>
    <col min="6628" max="6628" width="12" style="121" bestFit="1" customWidth="1"/>
    <col min="6629" max="6630" width="9.125" style="121"/>
    <col min="6631" max="6631" width="15.125" style="121" bestFit="1" customWidth="1"/>
    <col min="6632" max="6873" width="9.125" style="121"/>
    <col min="6874" max="6874" width="5" style="121" bestFit="1" customWidth="1"/>
    <col min="6875" max="6875" width="9" style="121" bestFit="1" customWidth="1"/>
    <col min="6876" max="6876" width="20" style="121" bestFit="1" customWidth="1"/>
    <col min="6877" max="6881" width="9.125" style="121"/>
    <col min="6882" max="6882" width="15.125" style="121" bestFit="1" customWidth="1"/>
    <col min="6883" max="6883" width="13.25" style="121" customWidth="1"/>
    <col min="6884" max="6884" width="12" style="121" bestFit="1" customWidth="1"/>
    <col min="6885" max="6886" width="9.125" style="121"/>
    <col min="6887" max="6887" width="15.125" style="121" bestFit="1" customWidth="1"/>
    <col min="6888" max="7129" width="9.125" style="121"/>
    <col min="7130" max="7130" width="5" style="121" bestFit="1" customWidth="1"/>
    <col min="7131" max="7131" width="9" style="121" bestFit="1" customWidth="1"/>
    <col min="7132" max="7132" width="20" style="121" bestFit="1" customWidth="1"/>
    <col min="7133" max="7137" width="9.125" style="121"/>
    <col min="7138" max="7138" width="15.125" style="121" bestFit="1" customWidth="1"/>
    <col min="7139" max="7139" width="13.25" style="121" customWidth="1"/>
    <col min="7140" max="7140" width="12" style="121" bestFit="1" customWidth="1"/>
    <col min="7141" max="7142" width="9.125" style="121"/>
    <col min="7143" max="7143" width="15.125" style="121" bestFit="1" customWidth="1"/>
    <col min="7144" max="7385" width="9.125" style="121"/>
    <col min="7386" max="7386" width="5" style="121" bestFit="1" customWidth="1"/>
    <col min="7387" max="7387" width="9" style="121" bestFit="1" customWidth="1"/>
    <col min="7388" max="7388" width="20" style="121" bestFit="1" customWidth="1"/>
    <col min="7389" max="7393" width="9.125" style="121"/>
    <col min="7394" max="7394" width="15.125" style="121" bestFit="1" customWidth="1"/>
    <col min="7395" max="7395" width="13.25" style="121" customWidth="1"/>
    <col min="7396" max="7396" width="12" style="121" bestFit="1" customWidth="1"/>
    <col min="7397" max="7398" width="9.125" style="121"/>
    <col min="7399" max="7399" width="15.125" style="121" bestFit="1" customWidth="1"/>
    <col min="7400" max="7641" width="9.125" style="121"/>
    <col min="7642" max="7642" width="5" style="121" bestFit="1" customWidth="1"/>
    <col min="7643" max="7643" width="9" style="121" bestFit="1" customWidth="1"/>
    <col min="7644" max="7644" width="20" style="121" bestFit="1" customWidth="1"/>
    <col min="7645" max="7649" width="9.125" style="121"/>
    <col min="7650" max="7650" width="15.125" style="121" bestFit="1" customWidth="1"/>
    <col min="7651" max="7651" width="13.25" style="121" customWidth="1"/>
    <col min="7652" max="7652" width="12" style="121" bestFit="1" customWidth="1"/>
    <col min="7653" max="7654" width="9.125" style="121"/>
    <col min="7655" max="7655" width="15.125" style="121" bestFit="1" customWidth="1"/>
    <col min="7656" max="7897" width="9.125" style="121"/>
    <col min="7898" max="7898" width="5" style="121" bestFit="1" customWidth="1"/>
    <col min="7899" max="7899" width="9" style="121" bestFit="1" customWidth="1"/>
    <col min="7900" max="7900" width="20" style="121" bestFit="1" customWidth="1"/>
    <col min="7901" max="7905" width="9.125" style="121"/>
    <col min="7906" max="7906" width="15.125" style="121" bestFit="1" customWidth="1"/>
    <col min="7907" max="7907" width="13.25" style="121" customWidth="1"/>
    <col min="7908" max="7908" width="12" style="121" bestFit="1" customWidth="1"/>
    <col min="7909" max="7910" width="9.125" style="121"/>
    <col min="7911" max="7911" width="15.125" style="121" bestFit="1" customWidth="1"/>
    <col min="7912" max="8153" width="9.125" style="121"/>
    <col min="8154" max="8154" width="5" style="121" bestFit="1" customWidth="1"/>
    <col min="8155" max="8155" width="9" style="121" bestFit="1" customWidth="1"/>
    <col min="8156" max="8156" width="20" style="121" bestFit="1" customWidth="1"/>
    <col min="8157" max="8161" width="9.125" style="121"/>
    <col min="8162" max="8162" width="15.125" style="121" bestFit="1" customWidth="1"/>
    <col min="8163" max="8163" width="13.25" style="121" customWidth="1"/>
    <col min="8164" max="8164" width="12" style="121" bestFit="1" customWidth="1"/>
    <col min="8165" max="8166" width="9.125" style="121"/>
    <col min="8167" max="8167" width="15.125" style="121" bestFit="1" customWidth="1"/>
    <col min="8168" max="8409" width="9.125" style="121"/>
    <col min="8410" max="8410" width="5" style="121" bestFit="1" customWidth="1"/>
    <col min="8411" max="8411" width="9" style="121" bestFit="1" customWidth="1"/>
    <col min="8412" max="8412" width="20" style="121" bestFit="1" customWidth="1"/>
    <col min="8413" max="8417" width="9.125" style="121"/>
    <col min="8418" max="8418" width="15.125" style="121" bestFit="1" customWidth="1"/>
    <col min="8419" max="8419" width="13.25" style="121" customWidth="1"/>
    <col min="8420" max="8420" width="12" style="121" bestFit="1" customWidth="1"/>
    <col min="8421" max="8422" width="9.125" style="121"/>
    <col min="8423" max="8423" width="15.125" style="121" bestFit="1" customWidth="1"/>
    <col min="8424" max="8665" width="9.125" style="121"/>
    <col min="8666" max="8666" width="5" style="121" bestFit="1" customWidth="1"/>
    <col min="8667" max="8667" width="9" style="121" bestFit="1" customWidth="1"/>
    <col min="8668" max="8668" width="20" style="121" bestFit="1" customWidth="1"/>
    <col min="8669" max="8673" width="9.125" style="121"/>
    <col min="8674" max="8674" width="15.125" style="121" bestFit="1" customWidth="1"/>
    <col min="8675" max="8675" width="13.25" style="121" customWidth="1"/>
    <col min="8676" max="8676" width="12" style="121" bestFit="1" customWidth="1"/>
    <col min="8677" max="8678" width="9.125" style="121"/>
    <col min="8679" max="8679" width="15.125" style="121" bestFit="1" customWidth="1"/>
    <col min="8680" max="8921" width="9.125" style="121"/>
    <col min="8922" max="8922" width="5" style="121" bestFit="1" customWidth="1"/>
    <col min="8923" max="8923" width="9" style="121" bestFit="1" customWidth="1"/>
    <col min="8924" max="8924" width="20" style="121" bestFit="1" customWidth="1"/>
    <col min="8925" max="8929" width="9.125" style="121"/>
    <col min="8930" max="8930" width="15.125" style="121" bestFit="1" customWidth="1"/>
    <col min="8931" max="8931" width="13.25" style="121" customWidth="1"/>
    <col min="8932" max="8932" width="12" style="121" bestFit="1" customWidth="1"/>
    <col min="8933" max="8934" width="9.125" style="121"/>
    <col min="8935" max="8935" width="15.125" style="121" bestFit="1" customWidth="1"/>
    <col min="8936" max="9177" width="9.125" style="121"/>
    <col min="9178" max="9178" width="5" style="121" bestFit="1" customWidth="1"/>
    <col min="9179" max="9179" width="9" style="121" bestFit="1" customWidth="1"/>
    <col min="9180" max="9180" width="20" style="121" bestFit="1" customWidth="1"/>
    <col min="9181" max="9185" width="9.125" style="121"/>
    <col min="9186" max="9186" width="15.125" style="121" bestFit="1" customWidth="1"/>
    <col min="9187" max="9187" width="13.25" style="121" customWidth="1"/>
    <col min="9188" max="9188" width="12" style="121" bestFit="1" customWidth="1"/>
    <col min="9189" max="9190" width="9.125" style="121"/>
    <col min="9191" max="9191" width="15.125" style="121" bestFit="1" customWidth="1"/>
    <col min="9192" max="9433" width="9.125" style="121"/>
    <col min="9434" max="9434" width="5" style="121" bestFit="1" customWidth="1"/>
    <col min="9435" max="9435" width="9" style="121" bestFit="1" customWidth="1"/>
    <col min="9436" max="9436" width="20" style="121" bestFit="1" customWidth="1"/>
    <col min="9437" max="9441" width="9.125" style="121"/>
    <col min="9442" max="9442" width="15.125" style="121" bestFit="1" customWidth="1"/>
    <col min="9443" max="9443" width="13.25" style="121" customWidth="1"/>
    <col min="9444" max="9444" width="12" style="121" bestFit="1" customWidth="1"/>
    <col min="9445" max="9446" width="9.125" style="121"/>
    <col min="9447" max="9447" width="15.125" style="121" bestFit="1" customWidth="1"/>
    <col min="9448" max="9689" width="9.125" style="121"/>
    <col min="9690" max="9690" width="5" style="121" bestFit="1" customWidth="1"/>
    <col min="9691" max="9691" width="9" style="121" bestFit="1" customWidth="1"/>
    <col min="9692" max="9692" width="20" style="121" bestFit="1" customWidth="1"/>
    <col min="9693" max="9697" width="9.125" style="121"/>
    <col min="9698" max="9698" width="15.125" style="121" bestFit="1" customWidth="1"/>
    <col min="9699" max="9699" width="13.25" style="121" customWidth="1"/>
    <col min="9700" max="9700" width="12" style="121" bestFit="1" customWidth="1"/>
    <col min="9701" max="9702" width="9.125" style="121"/>
    <col min="9703" max="9703" width="15.125" style="121" bestFit="1" customWidth="1"/>
    <col min="9704" max="9945" width="9.125" style="121"/>
    <col min="9946" max="9946" width="5" style="121" bestFit="1" customWidth="1"/>
    <col min="9947" max="9947" width="9" style="121" bestFit="1" customWidth="1"/>
    <col min="9948" max="9948" width="20" style="121" bestFit="1" customWidth="1"/>
    <col min="9949" max="9953" width="9.125" style="121"/>
    <col min="9954" max="9954" width="15.125" style="121" bestFit="1" customWidth="1"/>
    <col min="9955" max="9955" width="13.25" style="121" customWidth="1"/>
    <col min="9956" max="9956" width="12" style="121" bestFit="1" customWidth="1"/>
    <col min="9957" max="9958" width="9.125" style="121"/>
    <col min="9959" max="9959" width="15.125" style="121" bestFit="1" customWidth="1"/>
    <col min="9960" max="10201" width="9.125" style="121"/>
    <col min="10202" max="10202" width="5" style="121" bestFit="1" customWidth="1"/>
    <col min="10203" max="10203" width="9" style="121" bestFit="1" customWidth="1"/>
    <col min="10204" max="10204" width="20" style="121" bestFit="1" customWidth="1"/>
    <col min="10205" max="10209" width="9.125" style="121"/>
    <col min="10210" max="10210" width="15.125" style="121" bestFit="1" customWidth="1"/>
    <col min="10211" max="10211" width="13.25" style="121" customWidth="1"/>
    <col min="10212" max="10212" width="12" style="121" bestFit="1" customWidth="1"/>
    <col min="10213" max="10214" width="9.125" style="121"/>
    <col min="10215" max="10215" width="15.125" style="121" bestFit="1" customWidth="1"/>
    <col min="10216" max="10457" width="9.125" style="121"/>
    <col min="10458" max="10458" width="5" style="121" bestFit="1" customWidth="1"/>
    <col min="10459" max="10459" width="9" style="121" bestFit="1" customWidth="1"/>
    <col min="10460" max="10460" width="20" style="121" bestFit="1" customWidth="1"/>
    <col min="10461" max="10465" width="9.125" style="121"/>
    <col min="10466" max="10466" width="15.125" style="121" bestFit="1" customWidth="1"/>
    <col min="10467" max="10467" width="13.25" style="121" customWidth="1"/>
    <col min="10468" max="10468" width="12" style="121" bestFit="1" customWidth="1"/>
    <col min="10469" max="10470" width="9.125" style="121"/>
    <col min="10471" max="10471" width="15.125" style="121" bestFit="1" customWidth="1"/>
    <col min="10472" max="10713" width="9.125" style="121"/>
    <col min="10714" max="10714" width="5" style="121" bestFit="1" customWidth="1"/>
    <col min="10715" max="10715" width="9" style="121" bestFit="1" customWidth="1"/>
    <col min="10716" max="10716" width="20" style="121" bestFit="1" customWidth="1"/>
    <col min="10717" max="10721" width="9.125" style="121"/>
    <col min="10722" max="10722" width="15.125" style="121" bestFit="1" customWidth="1"/>
    <col min="10723" max="10723" width="13.25" style="121" customWidth="1"/>
    <col min="10724" max="10724" width="12" style="121" bestFit="1" customWidth="1"/>
    <col min="10725" max="10726" width="9.125" style="121"/>
    <col min="10727" max="10727" width="15.125" style="121" bestFit="1" customWidth="1"/>
    <col min="10728" max="10969" width="9.125" style="121"/>
    <col min="10970" max="10970" width="5" style="121" bestFit="1" customWidth="1"/>
    <col min="10971" max="10971" width="9" style="121" bestFit="1" customWidth="1"/>
    <col min="10972" max="10972" width="20" style="121" bestFit="1" customWidth="1"/>
    <col min="10973" max="10977" width="9.125" style="121"/>
    <col min="10978" max="10978" width="15.125" style="121" bestFit="1" customWidth="1"/>
    <col min="10979" max="10979" width="13.25" style="121" customWidth="1"/>
    <col min="10980" max="10980" width="12" style="121" bestFit="1" customWidth="1"/>
    <col min="10981" max="10982" width="9.125" style="121"/>
    <col min="10983" max="10983" width="15.125" style="121" bestFit="1" customWidth="1"/>
    <col min="10984" max="11225" width="9.125" style="121"/>
    <col min="11226" max="11226" width="5" style="121" bestFit="1" customWidth="1"/>
    <col min="11227" max="11227" width="9" style="121" bestFit="1" customWidth="1"/>
    <col min="11228" max="11228" width="20" style="121" bestFit="1" customWidth="1"/>
    <col min="11229" max="11233" width="9.125" style="121"/>
    <col min="11234" max="11234" width="15.125" style="121" bestFit="1" customWidth="1"/>
    <col min="11235" max="11235" width="13.25" style="121" customWidth="1"/>
    <col min="11236" max="11236" width="12" style="121" bestFit="1" customWidth="1"/>
    <col min="11237" max="11238" width="9.125" style="121"/>
    <col min="11239" max="11239" width="15.125" style="121" bestFit="1" customWidth="1"/>
    <col min="11240" max="11481" width="9.125" style="121"/>
    <col min="11482" max="11482" width="5" style="121" bestFit="1" customWidth="1"/>
    <col min="11483" max="11483" width="9" style="121" bestFit="1" customWidth="1"/>
    <col min="11484" max="11484" width="20" style="121" bestFit="1" customWidth="1"/>
    <col min="11485" max="11489" width="9.125" style="121"/>
    <col min="11490" max="11490" width="15.125" style="121" bestFit="1" customWidth="1"/>
    <col min="11491" max="11491" width="13.25" style="121" customWidth="1"/>
    <col min="11492" max="11492" width="12" style="121" bestFit="1" customWidth="1"/>
    <col min="11493" max="11494" width="9.125" style="121"/>
    <col min="11495" max="11495" width="15.125" style="121" bestFit="1" customWidth="1"/>
    <col min="11496" max="11737" width="9.125" style="121"/>
    <col min="11738" max="11738" width="5" style="121" bestFit="1" customWidth="1"/>
    <col min="11739" max="11739" width="9" style="121" bestFit="1" customWidth="1"/>
    <col min="11740" max="11740" width="20" style="121" bestFit="1" customWidth="1"/>
    <col min="11741" max="11745" width="9.125" style="121"/>
    <col min="11746" max="11746" width="15.125" style="121" bestFit="1" customWidth="1"/>
    <col min="11747" max="11747" width="13.25" style="121" customWidth="1"/>
    <col min="11748" max="11748" width="12" style="121" bestFit="1" customWidth="1"/>
    <col min="11749" max="11750" width="9.125" style="121"/>
    <col min="11751" max="11751" width="15.125" style="121" bestFit="1" customWidth="1"/>
    <col min="11752" max="11993" width="9.125" style="121"/>
    <col min="11994" max="11994" width="5" style="121" bestFit="1" customWidth="1"/>
    <col min="11995" max="11995" width="9" style="121" bestFit="1" customWidth="1"/>
    <col min="11996" max="11996" width="20" style="121" bestFit="1" customWidth="1"/>
    <col min="11997" max="12001" width="9.125" style="121"/>
    <col min="12002" max="12002" width="15.125" style="121" bestFit="1" customWidth="1"/>
    <col min="12003" max="12003" width="13.25" style="121" customWidth="1"/>
    <col min="12004" max="12004" width="12" style="121" bestFit="1" customWidth="1"/>
    <col min="12005" max="12006" width="9.125" style="121"/>
    <col min="12007" max="12007" width="15.125" style="121" bestFit="1" customWidth="1"/>
    <col min="12008" max="12249" width="9.125" style="121"/>
    <col min="12250" max="12250" width="5" style="121" bestFit="1" customWidth="1"/>
    <col min="12251" max="12251" width="9" style="121" bestFit="1" customWidth="1"/>
    <col min="12252" max="12252" width="20" style="121" bestFit="1" customWidth="1"/>
    <col min="12253" max="12257" width="9.125" style="121"/>
    <col min="12258" max="12258" width="15.125" style="121" bestFit="1" customWidth="1"/>
    <col min="12259" max="12259" width="13.25" style="121" customWidth="1"/>
    <col min="12260" max="12260" width="12" style="121" bestFit="1" customWidth="1"/>
    <col min="12261" max="12262" width="9.125" style="121"/>
    <col min="12263" max="12263" width="15.125" style="121" bestFit="1" customWidth="1"/>
    <col min="12264" max="12505" width="9.125" style="121"/>
    <col min="12506" max="12506" width="5" style="121" bestFit="1" customWidth="1"/>
    <col min="12507" max="12507" width="9" style="121" bestFit="1" customWidth="1"/>
    <col min="12508" max="12508" width="20" style="121" bestFit="1" customWidth="1"/>
    <col min="12509" max="12513" width="9.125" style="121"/>
    <col min="12514" max="12514" width="15.125" style="121" bestFit="1" customWidth="1"/>
    <col min="12515" max="12515" width="13.25" style="121" customWidth="1"/>
    <col min="12516" max="12516" width="12" style="121" bestFit="1" customWidth="1"/>
    <col min="12517" max="12518" width="9.125" style="121"/>
    <col min="12519" max="12519" width="15.125" style="121" bestFit="1" customWidth="1"/>
    <col min="12520" max="12761" width="9.125" style="121"/>
    <col min="12762" max="12762" width="5" style="121" bestFit="1" customWidth="1"/>
    <col min="12763" max="12763" width="9" style="121" bestFit="1" customWidth="1"/>
    <col min="12764" max="12764" width="20" style="121" bestFit="1" customWidth="1"/>
    <col min="12765" max="12769" width="9.125" style="121"/>
    <col min="12770" max="12770" width="15.125" style="121" bestFit="1" customWidth="1"/>
    <col min="12771" max="12771" width="13.25" style="121" customWidth="1"/>
    <col min="12772" max="12772" width="12" style="121" bestFit="1" customWidth="1"/>
    <col min="12773" max="12774" width="9.125" style="121"/>
    <col min="12775" max="12775" width="15.125" style="121" bestFit="1" customWidth="1"/>
    <col min="12776" max="13017" width="9.125" style="121"/>
    <col min="13018" max="13018" width="5" style="121" bestFit="1" customWidth="1"/>
    <col min="13019" max="13019" width="9" style="121" bestFit="1" customWidth="1"/>
    <col min="13020" max="13020" width="20" style="121" bestFit="1" customWidth="1"/>
    <col min="13021" max="13025" width="9.125" style="121"/>
    <col min="13026" max="13026" width="15.125" style="121" bestFit="1" customWidth="1"/>
    <col min="13027" max="13027" width="13.25" style="121" customWidth="1"/>
    <col min="13028" max="13028" width="12" style="121" bestFit="1" customWidth="1"/>
    <col min="13029" max="13030" width="9.125" style="121"/>
    <col min="13031" max="13031" width="15.125" style="121" bestFit="1" customWidth="1"/>
    <col min="13032" max="13273" width="9.125" style="121"/>
    <col min="13274" max="13274" width="5" style="121" bestFit="1" customWidth="1"/>
    <col min="13275" max="13275" width="9" style="121" bestFit="1" customWidth="1"/>
    <col min="13276" max="13276" width="20" style="121" bestFit="1" customWidth="1"/>
    <col min="13277" max="13281" width="9.125" style="121"/>
    <col min="13282" max="13282" width="15.125" style="121" bestFit="1" customWidth="1"/>
    <col min="13283" max="13283" width="13.25" style="121" customWidth="1"/>
    <col min="13284" max="13284" width="12" style="121" bestFit="1" customWidth="1"/>
    <col min="13285" max="13286" width="9.125" style="121"/>
    <col min="13287" max="13287" width="15.125" style="121" bestFit="1" customWidth="1"/>
    <col min="13288" max="13529" width="9.125" style="121"/>
    <col min="13530" max="13530" width="5" style="121" bestFit="1" customWidth="1"/>
    <col min="13531" max="13531" width="9" style="121" bestFit="1" customWidth="1"/>
    <col min="13532" max="13532" width="20" style="121" bestFit="1" customWidth="1"/>
    <col min="13533" max="13537" width="9.125" style="121"/>
    <col min="13538" max="13538" width="15.125" style="121" bestFit="1" customWidth="1"/>
    <col min="13539" max="13539" width="13.25" style="121" customWidth="1"/>
    <col min="13540" max="13540" width="12" style="121" bestFit="1" customWidth="1"/>
    <col min="13541" max="13542" width="9.125" style="121"/>
    <col min="13543" max="13543" width="15.125" style="121" bestFit="1" customWidth="1"/>
    <col min="13544" max="13785" width="9.125" style="121"/>
    <col min="13786" max="13786" width="5" style="121" bestFit="1" customWidth="1"/>
    <col min="13787" max="13787" width="9" style="121" bestFit="1" customWidth="1"/>
    <col min="13788" max="13788" width="20" style="121" bestFit="1" customWidth="1"/>
    <col min="13789" max="13793" width="9.125" style="121"/>
    <col min="13794" max="13794" width="15.125" style="121" bestFit="1" customWidth="1"/>
    <col min="13795" max="13795" width="13.25" style="121" customWidth="1"/>
    <col min="13796" max="13796" width="12" style="121" bestFit="1" customWidth="1"/>
    <col min="13797" max="13798" width="9.125" style="121"/>
    <col min="13799" max="13799" width="15.125" style="121" bestFit="1" customWidth="1"/>
    <col min="13800" max="14041" width="9.125" style="121"/>
    <col min="14042" max="14042" width="5" style="121" bestFit="1" customWidth="1"/>
    <col min="14043" max="14043" width="9" style="121" bestFit="1" customWidth="1"/>
    <col min="14044" max="14044" width="20" style="121" bestFit="1" customWidth="1"/>
    <col min="14045" max="14049" width="9.125" style="121"/>
    <col min="14050" max="14050" width="15.125" style="121" bestFit="1" customWidth="1"/>
    <col min="14051" max="14051" width="13.25" style="121" customWidth="1"/>
    <col min="14052" max="14052" width="12" style="121" bestFit="1" customWidth="1"/>
    <col min="14053" max="14054" width="9.125" style="121"/>
    <col min="14055" max="14055" width="15.125" style="121" bestFit="1" customWidth="1"/>
    <col min="14056" max="14297" width="9.125" style="121"/>
    <col min="14298" max="14298" width="5" style="121" bestFit="1" customWidth="1"/>
    <col min="14299" max="14299" width="9" style="121" bestFit="1" customWidth="1"/>
    <col min="14300" max="14300" width="20" style="121" bestFit="1" customWidth="1"/>
    <col min="14301" max="14305" width="9.125" style="121"/>
    <col min="14306" max="14306" width="15.125" style="121" bestFit="1" customWidth="1"/>
    <col min="14307" max="14307" width="13.25" style="121" customWidth="1"/>
    <col min="14308" max="14308" width="12" style="121" bestFit="1" customWidth="1"/>
    <col min="14309" max="14310" width="9.125" style="121"/>
    <col min="14311" max="14311" width="15.125" style="121" bestFit="1" customWidth="1"/>
    <col min="14312" max="14553" width="9.125" style="121"/>
    <col min="14554" max="14554" width="5" style="121" bestFit="1" customWidth="1"/>
    <col min="14555" max="14555" width="9" style="121" bestFit="1" customWidth="1"/>
    <col min="14556" max="14556" width="20" style="121" bestFit="1" customWidth="1"/>
    <col min="14557" max="14561" width="9.125" style="121"/>
    <col min="14562" max="14562" width="15.125" style="121" bestFit="1" customWidth="1"/>
    <col min="14563" max="14563" width="13.25" style="121" customWidth="1"/>
    <col min="14564" max="14564" width="12" style="121" bestFit="1" customWidth="1"/>
    <col min="14565" max="14566" width="9.125" style="121"/>
    <col min="14567" max="14567" width="15.125" style="121" bestFit="1" customWidth="1"/>
    <col min="14568" max="14809" width="9.125" style="121"/>
    <col min="14810" max="14810" width="5" style="121" bestFit="1" customWidth="1"/>
    <col min="14811" max="14811" width="9" style="121" bestFit="1" customWidth="1"/>
    <col min="14812" max="14812" width="20" style="121" bestFit="1" customWidth="1"/>
    <col min="14813" max="14817" width="9.125" style="121"/>
    <col min="14818" max="14818" width="15.125" style="121" bestFit="1" customWidth="1"/>
    <col min="14819" max="14819" width="13.25" style="121" customWidth="1"/>
    <col min="14820" max="14820" width="12" style="121" bestFit="1" customWidth="1"/>
    <col min="14821" max="14822" width="9.125" style="121"/>
    <col min="14823" max="14823" width="15.125" style="121" bestFit="1" customWidth="1"/>
    <col min="14824" max="15065" width="9.125" style="121"/>
    <col min="15066" max="15066" width="5" style="121" bestFit="1" customWidth="1"/>
    <col min="15067" max="15067" width="9" style="121" bestFit="1" customWidth="1"/>
    <col min="15068" max="15068" width="20" style="121" bestFit="1" customWidth="1"/>
    <col min="15069" max="15073" width="9.125" style="121"/>
    <col min="15074" max="15074" width="15.125" style="121" bestFit="1" customWidth="1"/>
    <col min="15075" max="15075" width="13.25" style="121" customWidth="1"/>
    <col min="15076" max="15076" width="12" style="121" bestFit="1" customWidth="1"/>
    <col min="15077" max="15078" width="9.125" style="121"/>
    <col min="15079" max="15079" width="15.125" style="121" bestFit="1" customWidth="1"/>
    <col min="15080" max="15321" width="9.125" style="121"/>
    <col min="15322" max="15322" width="5" style="121" bestFit="1" customWidth="1"/>
    <col min="15323" max="15323" width="9" style="121" bestFit="1" customWidth="1"/>
    <col min="15324" max="15324" width="20" style="121" bestFit="1" customWidth="1"/>
    <col min="15325" max="15329" width="9.125" style="121"/>
    <col min="15330" max="15330" width="15.125" style="121" bestFit="1" customWidth="1"/>
    <col min="15331" max="15331" width="13.25" style="121" customWidth="1"/>
    <col min="15332" max="15332" width="12" style="121" bestFit="1" customWidth="1"/>
    <col min="15333" max="15334" width="9.125" style="121"/>
    <col min="15335" max="15335" width="15.125" style="121" bestFit="1" customWidth="1"/>
    <col min="15336" max="15577" width="9.125" style="121"/>
    <col min="15578" max="15578" width="5" style="121" bestFit="1" customWidth="1"/>
    <col min="15579" max="15579" width="9" style="121" bestFit="1" customWidth="1"/>
    <col min="15580" max="15580" width="20" style="121" bestFit="1" customWidth="1"/>
    <col min="15581" max="15585" width="9.125" style="121"/>
    <col min="15586" max="15586" width="15.125" style="121" bestFit="1" customWidth="1"/>
    <col min="15587" max="15587" width="13.25" style="121" customWidth="1"/>
    <col min="15588" max="15588" width="12" style="121" bestFit="1" customWidth="1"/>
    <col min="15589" max="15590" width="9.125" style="121"/>
    <col min="15591" max="15591" width="15.125" style="121" bestFit="1" customWidth="1"/>
    <col min="15592" max="15833" width="9.125" style="121"/>
    <col min="15834" max="15834" width="5" style="121" bestFit="1" customWidth="1"/>
    <col min="15835" max="15835" width="9" style="121" bestFit="1" customWidth="1"/>
    <col min="15836" max="15836" width="20" style="121" bestFit="1" customWidth="1"/>
    <col min="15837" max="15841" width="9.125" style="121"/>
    <col min="15842" max="15842" width="15.125" style="121" bestFit="1" customWidth="1"/>
    <col min="15843" max="15843" width="13.25" style="121" customWidth="1"/>
    <col min="15844" max="15844" width="12" style="121" bestFit="1" customWidth="1"/>
    <col min="15845" max="15846" width="9.125" style="121"/>
    <col min="15847" max="15847" width="15.125" style="121" bestFit="1" customWidth="1"/>
    <col min="15848" max="16089" width="9.125" style="121"/>
    <col min="16090" max="16090" width="5" style="121" bestFit="1" customWidth="1"/>
    <col min="16091" max="16091" width="9" style="121" bestFit="1" customWidth="1"/>
    <col min="16092" max="16092" width="20" style="121" bestFit="1" customWidth="1"/>
    <col min="16093" max="16097" width="9.125" style="121"/>
    <col min="16098" max="16098" width="15.125" style="121" bestFit="1" customWidth="1"/>
    <col min="16099" max="16099" width="13.25" style="121" customWidth="1"/>
    <col min="16100" max="16100" width="12" style="121" bestFit="1" customWidth="1"/>
    <col min="16101" max="16102" width="9.125" style="121"/>
    <col min="16103" max="16103" width="15.125" style="121" bestFit="1" customWidth="1"/>
    <col min="16104" max="16384" width="9.125" style="121"/>
  </cols>
  <sheetData>
    <row r="1" spans="1:16" ht="21" thickBot="1" x14ac:dyDescent="0.3">
      <c r="A1" s="457" t="s">
        <v>259</v>
      </c>
      <c r="B1" s="457"/>
      <c r="C1" s="457"/>
      <c r="D1" s="457"/>
      <c r="E1" s="457"/>
      <c r="F1" s="457"/>
      <c r="G1" s="457"/>
      <c r="H1" s="458"/>
      <c r="I1" s="458"/>
      <c r="J1" s="458"/>
      <c r="K1" s="458"/>
      <c r="L1" s="458"/>
      <c r="M1" s="458"/>
      <c r="N1" s="458"/>
      <c r="O1" s="458"/>
      <c r="P1" s="458"/>
    </row>
    <row r="2" spans="1:16" ht="20.25" x14ac:dyDescent="0.25">
      <c r="A2" s="459" t="s">
        <v>43</v>
      </c>
      <c r="B2" s="462" t="s">
        <v>0</v>
      </c>
      <c r="C2" s="488" t="s">
        <v>1</v>
      </c>
      <c r="D2" s="403" t="s">
        <v>44</v>
      </c>
      <c r="E2" s="402" t="s">
        <v>45</v>
      </c>
      <c r="F2" s="402" t="s">
        <v>46</v>
      </c>
      <c r="G2" s="402" t="s">
        <v>47</v>
      </c>
      <c r="H2" s="402" t="s">
        <v>48</v>
      </c>
      <c r="I2" s="402" t="s">
        <v>49</v>
      </c>
      <c r="J2" s="402" t="s">
        <v>51</v>
      </c>
      <c r="K2" s="402" t="s">
        <v>52</v>
      </c>
      <c r="L2" s="402" t="s">
        <v>53</v>
      </c>
      <c r="M2" s="402" t="s">
        <v>54</v>
      </c>
      <c r="N2" s="402" t="s">
        <v>55</v>
      </c>
      <c r="O2" s="402" t="s">
        <v>56</v>
      </c>
      <c r="P2" s="404" t="s">
        <v>245</v>
      </c>
    </row>
    <row r="3" spans="1:16" s="26" customFormat="1" x14ac:dyDescent="0.15">
      <c r="A3" s="460"/>
      <c r="B3" s="463"/>
      <c r="C3" s="489"/>
      <c r="D3" s="15" t="s">
        <v>4</v>
      </c>
      <c r="E3" s="401" t="s">
        <v>4</v>
      </c>
      <c r="F3" s="401" t="s">
        <v>4</v>
      </c>
      <c r="G3" s="401" t="s">
        <v>4</v>
      </c>
      <c r="H3" s="401" t="s">
        <v>4</v>
      </c>
      <c r="I3" s="401" t="s">
        <v>4</v>
      </c>
      <c r="J3" s="401" t="s">
        <v>4</v>
      </c>
      <c r="K3" s="401" t="s">
        <v>4</v>
      </c>
      <c r="L3" s="401" t="s">
        <v>4</v>
      </c>
      <c r="M3" s="401" t="s">
        <v>4</v>
      </c>
      <c r="N3" s="401" t="s">
        <v>4</v>
      </c>
      <c r="O3" s="401" t="s">
        <v>4</v>
      </c>
      <c r="P3" s="405" t="s">
        <v>254</v>
      </c>
    </row>
    <row r="4" spans="1:16" x14ac:dyDescent="0.15">
      <c r="A4" s="460"/>
      <c r="B4" s="5">
        <v>1</v>
      </c>
      <c r="C4" s="406" t="s">
        <v>60</v>
      </c>
      <c r="D4" s="28">
        <f>[1]明细表1!H4</f>
        <v>1293</v>
      </c>
      <c r="E4" s="29">
        <f>[2]明细表!F3</f>
        <v>992</v>
      </c>
      <c r="F4" s="29"/>
      <c r="G4" s="35"/>
      <c r="H4" s="35"/>
      <c r="I4" s="40"/>
      <c r="J4" s="40"/>
      <c r="K4" s="40"/>
      <c r="L4" s="40"/>
      <c r="M4" s="40"/>
      <c r="N4" s="40"/>
      <c r="O4" s="40"/>
      <c r="P4" s="407">
        <f>D4+E4+F4+G4+H4+I4+J4+K4+L4+M4+N4+O4</f>
        <v>2285</v>
      </c>
    </row>
    <row r="5" spans="1:16" hidden="1" x14ac:dyDescent="0.15">
      <c r="A5" s="460"/>
      <c r="B5" s="5">
        <v>2</v>
      </c>
      <c r="C5" s="406" t="s">
        <v>255</v>
      </c>
      <c r="D5" s="28"/>
      <c r="E5" s="29"/>
      <c r="F5" s="29"/>
      <c r="G5" s="35"/>
      <c r="H5" s="35"/>
      <c r="I5" s="40"/>
      <c r="J5" s="40"/>
      <c r="K5" s="40"/>
      <c r="L5" s="40"/>
      <c r="M5" s="40"/>
      <c r="N5" s="40"/>
      <c r="O5" s="40"/>
      <c r="P5" s="407">
        <f t="shared" ref="P5:P40" si="0">D5+E5+F5+G5+H5+I5+J5+K5+L5+M5+N5+O5</f>
        <v>0</v>
      </c>
    </row>
    <row r="6" spans="1:16" hidden="1" x14ac:dyDescent="0.15">
      <c r="A6" s="460"/>
      <c r="B6" s="5">
        <v>3</v>
      </c>
      <c r="C6" s="406" t="s">
        <v>256</v>
      </c>
      <c r="D6" s="28"/>
      <c r="E6" s="29"/>
      <c r="F6" s="29"/>
      <c r="G6" s="35"/>
      <c r="H6" s="35"/>
      <c r="I6" s="40"/>
      <c r="J6" s="40"/>
      <c r="K6" s="40"/>
      <c r="L6" s="40"/>
      <c r="M6" s="40"/>
      <c r="N6" s="40"/>
      <c r="O6" s="40"/>
      <c r="P6" s="407">
        <f t="shared" si="0"/>
        <v>0</v>
      </c>
    </row>
    <row r="7" spans="1:16" s="70" customFormat="1" x14ac:dyDescent="0.15">
      <c r="A7" s="460"/>
      <c r="B7" s="479" t="s">
        <v>61</v>
      </c>
      <c r="C7" s="485"/>
      <c r="D7" s="50">
        <f>SUM(D4:D6)</f>
        <v>1293</v>
      </c>
      <c r="E7" s="51">
        <f t="shared" ref="E7:O7" si="1">SUM(E4:E6)</f>
        <v>992</v>
      </c>
      <c r="F7" s="51">
        <f t="shared" si="1"/>
        <v>0</v>
      </c>
      <c r="G7" s="51"/>
      <c r="H7" s="51">
        <f t="shared" si="1"/>
        <v>0</v>
      </c>
      <c r="I7" s="51">
        <f t="shared" si="1"/>
        <v>0</v>
      </c>
      <c r="J7" s="51">
        <f t="shared" si="1"/>
        <v>0</v>
      </c>
      <c r="K7" s="408">
        <f>SUM(K4:K6)</f>
        <v>0</v>
      </c>
      <c r="L7" s="51">
        <f t="shared" si="1"/>
        <v>0</v>
      </c>
      <c r="M7" s="51">
        <f t="shared" si="1"/>
        <v>0</v>
      </c>
      <c r="N7" s="51">
        <f t="shared" si="1"/>
        <v>0</v>
      </c>
      <c r="O7" s="51">
        <f t="shared" si="1"/>
        <v>0</v>
      </c>
      <c r="P7" s="409">
        <f>D7+E7+F7+G7+H7+I7+J7+K7+L7+M7+N7+O7</f>
        <v>2285</v>
      </c>
    </row>
    <row r="8" spans="1:16" x14ac:dyDescent="0.15">
      <c r="A8" s="460"/>
      <c r="B8" s="5">
        <v>2</v>
      </c>
      <c r="C8" s="406" t="s">
        <v>62</v>
      </c>
      <c r="D8" s="28">
        <f>[1]明细表1!H6</f>
        <v>1943</v>
      </c>
      <c r="E8" s="29">
        <f>[2]明细表!F5</f>
        <v>1490</v>
      </c>
      <c r="F8" s="29"/>
      <c r="G8" s="35"/>
      <c r="H8" s="35"/>
      <c r="I8" s="40"/>
      <c r="J8" s="40"/>
      <c r="K8" s="40"/>
      <c r="L8" s="40"/>
      <c r="M8" s="40"/>
      <c r="N8" s="40"/>
      <c r="O8" s="40"/>
      <c r="P8" s="407">
        <f t="shared" si="0"/>
        <v>3433</v>
      </c>
    </row>
    <row r="9" spans="1:16" x14ac:dyDescent="0.15">
      <c r="A9" s="460"/>
      <c r="B9" s="5">
        <v>3</v>
      </c>
      <c r="C9" s="406" t="str">
        <f>[1]明细表1!C7</f>
        <v>15元牛肉馅饼</v>
      </c>
      <c r="D9" s="28">
        <f>[1]明细表1!H7</f>
        <v>2002</v>
      </c>
      <c r="E9" s="29">
        <f>[2]明细表!F6</f>
        <v>1555</v>
      </c>
      <c r="F9" s="29"/>
      <c r="G9" s="35"/>
      <c r="H9" s="35"/>
      <c r="I9" s="40"/>
      <c r="J9" s="40"/>
      <c r="K9" s="40"/>
      <c r="L9" s="40"/>
      <c r="M9" s="40"/>
      <c r="N9" s="40"/>
      <c r="O9" s="40"/>
      <c r="P9" s="407">
        <f t="shared" si="0"/>
        <v>3557</v>
      </c>
    </row>
    <row r="10" spans="1:16" s="70" customFormat="1" x14ac:dyDescent="0.15">
      <c r="A10" s="460"/>
      <c r="B10" s="479" t="s">
        <v>61</v>
      </c>
      <c r="C10" s="485"/>
      <c r="D10" s="50">
        <f>D8+D9</f>
        <v>3945</v>
      </c>
      <c r="E10" s="51">
        <f>SUM(E8:E9)</f>
        <v>3045</v>
      </c>
      <c r="F10" s="51">
        <f t="shared" ref="F10:O10" si="2">SUM(F8:F8)</f>
        <v>0</v>
      </c>
      <c r="G10" s="51"/>
      <c r="H10" s="51">
        <f t="shared" si="2"/>
        <v>0</v>
      </c>
      <c r="I10" s="51">
        <f t="shared" si="2"/>
        <v>0</v>
      </c>
      <c r="J10" s="51">
        <f t="shared" si="2"/>
        <v>0</v>
      </c>
      <c r="K10" s="408">
        <f>SUM(K8:K8)</f>
        <v>0</v>
      </c>
      <c r="L10" s="51">
        <f t="shared" si="2"/>
        <v>0</v>
      </c>
      <c r="M10" s="51">
        <f t="shared" si="2"/>
        <v>0</v>
      </c>
      <c r="N10" s="408">
        <f t="shared" si="2"/>
        <v>0</v>
      </c>
      <c r="O10" s="408">
        <f t="shared" si="2"/>
        <v>0</v>
      </c>
      <c r="P10" s="409">
        <f>D10+E10+F10+G10+H10+I10+J10+K10+L10+M10+N10+O10</f>
        <v>6990</v>
      </c>
    </row>
    <row r="11" spans="1:16" x14ac:dyDescent="0.15">
      <c r="A11" s="460"/>
      <c r="B11" s="5">
        <v>4</v>
      </c>
      <c r="C11" s="406" t="s">
        <v>7</v>
      </c>
      <c r="D11" s="28">
        <f>[1]明细表1!H12</f>
        <v>32249</v>
      </c>
      <c r="E11" s="29">
        <f>[2]明细表!F8</f>
        <v>35591</v>
      </c>
      <c r="F11" s="29">
        <f>[3]明细表!F3</f>
        <v>25819</v>
      </c>
      <c r="G11" s="35">
        <f>[4]明细表!F3</f>
        <v>27795</v>
      </c>
      <c r="H11" s="35">
        <f>[5]明细表!G3</f>
        <v>27630</v>
      </c>
      <c r="I11" s="40">
        <f>[6]明细表!G3</f>
        <v>28057</v>
      </c>
      <c r="J11" s="40">
        <f>[7]明细表!F3</f>
        <v>32366</v>
      </c>
      <c r="K11" s="40">
        <f>[8]明细表!G3</f>
        <v>33991</v>
      </c>
      <c r="L11" s="40">
        <f>明细表!F3</f>
        <v>25640</v>
      </c>
      <c r="M11" s="40"/>
      <c r="N11" s="40"/>
      <c r="O11" s="40"/>
      <c r="P11" s="407">
        <f t="shared" si="0"/>
        <v>269138</v>
      </c>
    </row>
    <row r="12" spans="1:16" s="70" customFormat="1" x14ac:dyDescent="0.15">
      <c r="A12" s="460"/>
      <c r="B12" s="479" t="s">
        <v>61</v>
      </c>
      <c r="C12" s="485"/>
      <c r="D12" s="58">
        <f>SUM(D11)</f>
        <v>32249</v>
      </c>
      <c r="E12" s="55">
        <f t="shared" ref="E12:N12" si="3">SUM(E11)</f>
        <v>35591</v>
      </c>
      <c r="F12" s="55">
        <f t="shared" si="3"/>
        <v>25819</v>
      </c>
      <c r="G12" s="55">
        <f t="shared" si="3"/>
        <v>27795</v>
      </c>
      <c r="H12" s="55">
        <f t="shared" si="3"/>
        <v>27630</v>
      </c>
      <c r="I12" s="55">
        <f t="shared" si="3"/>
        <v>28057</v>
      </c>
      <c r="J12" s="55">
        <f t="shared" si="3"/>
        <v>32366</v>
      </c>
      <c r="K12" s="79">
        <f>SUM(K11)</f>
        <v>33991</v>
      </c>
      <c r="L12" s="55">
        <f t="shared" si="3"/>
        <v>25640</v>
      </c>
      <c r="M12" s="55">
        <f>SUM(M11:M11)</f>
        <v>0</v>
      </c>
      <c r="N12" s="55">
        <f t="shared" si="3"/>
        <v>0</v>
      </c>
      <c r="O12" s="79">
        <f>SUM(O11)</f>
        <v>0</v>
      </c>
      <c r="P12" s="410">
        <f t="shared" si="0"/>
        <v>269138</v>
      </c>
    </row>
    <row r="13" spans="1:16" x14ac:dyDescent="0.15">
      <c r="A13" s="460"/>
      <c r="B13" s="5">
        <v>5</v>
      </c>
      <c r="C13" s="406" t="s">
        <v>8</v>
      </c>
      <c r="D13" s="28">
        <f>[1]明细表1!H17</f>
        <v>10913</v>
      </c>
      <c r="E13" s="29">
        <f>[2]明细表!F10</f>
        <v>11961</v>
      </c>
      <c r="F13" s="29">
        <f>[3]明细表!F5</f>
        <v>9819</v>
      </c>
      <c r="G13" s="35">
        <f>[4]明细表!F5</f>
        <v>11599</v>
      </c>
      <c r="H13" s="35">
        <f>[5]明细表!G5</f>
        <v>10932</v>
      </c>
      <c r="I13" s="40">
        <f>[6]明细表!G5</f>
        <v>10913</v>
      </c>
      <c r="J13" s="40">
        <f>[7]明细表!F5</f>
        <v>13255</v>
      </c>
      <c r="K13" s="40">
        <f>[8]明细表!G5</f>
        <v>13687</v>
      </c>
      <c r="L13" s="40">
        <f>明细表!F5</f>
        <v>10406</v>
      </c>
      <c r="M13" s="40"/>
      <c r="N13" s="40"/>
      <c r="O13" s="40"/>
      <c r="P13" s="407">
        <f t="shared" si="0"/>
        <v>103485</v>
      </c>
    </row>
    <row r="14" spans="1:16" s="70" customFormat="1" x14ac:dyDescent="0.15">
      <c r="A14" s="460"/>
      <c r="B14" s="479" t="s">
        <v>61</v>
      </c>
      <c r="C14" s="485"/>
      <c r="D14" s="58">
        <f>SUM(D13)</f>
        <v>10913</v>
      </c>
      <c r="E14" s="55">
        <f>SUM(E13)</f>
        <v>11961</v>
      </c>
      <c r="F14" s="55">
        <f t="shared" ref="F14:O14" si="4">SUM(F13)</f>
        <v>9819</v>
      </c>
      <c r="G14" s="55">
        <f t="shared" si="4"/>
        <v>11599</v>
      </c>
      <c r="H14" s="55">
        <f t="shared" si="4"/>
        <v>10932</v>
      </c>
      <c r="I14" s="55">
        <f t="shared" si="4"/>
        <v>10913</v>
      </c>
      <c r="J14" s="55">
        <f t="shared" si="4"/>
        <v>13255</v>
      </c>
      <c r="K14" s="55">
        <f t="shared" si="4"/>
        <v>13687</v>
      </c>
      <c r="L14" s="55">
        <f t="shared" si="4"/>
        <v>10406</v>
      </c>
      <c r="M14" s="55">
        <f t="shared" si="4"/>
        <v>0</v>
      </c>
      <c r="N14" s="55">
        <f t="shared" si="4"/>
        <v>0</v>
      </c>
      <c r="O14" s="55">
        <f t="shared" si="4"/>
        <v>0</v>
      </c>
      <c r="P14" s="410">
        <f t="shared" si="0"/>
        <v>103485</v>
      </c>
    </row>
    <row r="15" spans="1:16" x14ac:dyDescent="0.15">
      <c r="A15" s="460"/>
      <c r="B15" s="5">
        <v>6</v>
      </c>
      <c r="C15" s="406" t="s">
        <v>9</v>
      </c>
      <c r="D15" s="28">
        <f>[1]明细表1!H19</f>
        <v>2913</v>
      </c>
      <c r="E15" s="29">
        <f>[2]明细表!F12</f>
        <v>3464</v>
      </c>
      <c r="F15" s="29">
        <f>[3]明细表!F7</f>
        <v>3427</v>
      </c>
      <c r="G15" s="35">
        <f>[4]明细表!F7</f>
        <v>4148</v>
      </c>
      <c r="H15" s="35">
        <f>[5]明细表!G7</f>
        <v>4619</v>
      </c>
      <c r="I15" s="40">
        <f>[6]明细表!G7</f>
        <v>5342</v>
      </c>
      <c r="J15" s="40">
        <f>[7]明细表!F7</f>
        <v>7071</v>
      </c>
      <c r="K15" s="40">
        <f>[8]明细表!G7</f>
        <v>6805</v>
      </c>
      <c r="L15" s="40">
        <f>明细表!F7</f>
        <v>4921</v>
      </c>
      <c r="M15" s="40"/>
      <c r="N15" s="40"/>
      <c r="O15" s="40"/>
      <c r="P15" s="407">
        <f t="shared" si="0"/>
        <v>42710</v>
      </c>
    </row>
    <row r="16" spans="1:16" s="70" customFormat="1" x14ac:dyDescent="0.15">
      <c r="A16" s="460"/>
      <c r="B16" s="479" t="s">
        <v>61</v>
      </c>
      <c r="C16" s="485"/>
      <c r="D16" s="58">
        <f>SUM(D15)</f>
        <v>2913</v>
      </c>
      <c r="E16" s="55">
        <f t="shared" ref="E16:O16" si="5">SUM(E15)</f>
        <v>3464</v>
      </c>
      <c r="F16" s="55">
        <f t="shared" si="5"/>
        <v>3427</v>
      </c>
      <c r="G16" s="55">
        <f t="shared" si="5"/>
        <v>4148</v>
      </c>
      <c r="H16" s="55">
        <f t="shared" si="5"/>
        <v>4619</v>
      </c>
      <c r="I16" s="55">
        <f t="shared" si="5"/>
        <v>5342</v>
      </c>
      <c r="J16" s="55">
        <f t="shared" si="5"/>
        <v>7071</v>
      </c>
      <c r="K16" s="55">
        <f t="shared" si="5"/>
        <v>6805</v>
      </c>
      <c r="L16" s="55">
        <f t="shared" si="5"/>
        <v>4921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410">
        <f t="shared" si="0"/>
        <v>42710</v>
      </c>
    </row>
    <row r="17" spans="1:16" x14ac:dyDescent="0.15">
      <c r="A17" s="460"/>
      <c r="B17" s="5">
        <v>7</v>
      </c>
      <c r="C17" s="406" t="s">
        <v>10</v>
      </c>
      <c r="D17" s="28">
        <f>[1]明细表1!H23</f>
        <v>19154</v>
      </c>
      <c r="E17" s="127">
        <f>[2]明细表!F14</f>
        <v>18817</v>
      </c>
      <c r="F17" s="29">
        <f>[3]明细表!F9</f>
        <v>19187</v>
      </c>
      <c r="G17" s="35">
        <f>[4]明细表!F9</f>
        <v>27728</v>
      </c>
      <c r="H17" s="35">
        <f>[5]明细表!G9</f>
        <v>27901</v>
      </c>
      <c r="I17" s="40">
        <f>[6]明细表!G9</f>
        <v>24373</v>
      </c>
      <c r="J17" s="40">
        <f>[7]明细表!F9</f>
        <v>32604</v>
      </c>
      <c r="K17" s="40">
        <f>[8]明细表!G9</f>
        <v>38220</v>
      </c>
      <c r="L17" s="40">
        <f>明细表!F9</f>
        <v>23785</v>
      </c>
      <c r="M17" s="40"/>
      <c r="N17" s="40"/>
      <c r="O17" s="40"/>
      <c r="P17" s="407">
        <f t="shared" si="0"/>
        <v>231769</v>
      </c>
    </row>
    <row r="18" spans="1:16" x14ac:dyDescent="0.15">
      <c r="A18" s="460"/>
      <c r="B18" s="5">
        <v>8</v>
      </c>
      <c r="C18" s="406" t="s">
        <v>11</v>
      </c>
      <c r="D18" s="28">
        <f>[1]明细表1!H24</f>
        <v>53117</v>
      </c>
      <c r="E18" s="127">
        <f>[2]明细表!F15</f>
        <v>57277</v>
      </c>
      <c r="F18" s="29">
        <f>[3]明细表!F10</f>
        <v>51497</v>
      </c>
      <c r="G18" s="35">
        <f>[4]明细表!F10</f>
        <v>67475</v>
      </c>
      <c r="H18" s="35">
        <f>[5]明细表!G10</f>
        <v>72218</v>
      </c>
      <c r="I18" s="40">
        <f>[6]明细表!G10</f>
        <v>69003</v>
      </c>
      <c r="J18" s="40">
        <f>[7]明细表!F10</f>
        <v>83655</v>
      </c>
      <c r="K18" s="40">
        <f>[8]明细表!G10</f>
        <v>93736</v>
      </c>
      <c r="L18" s="40">
        <f>明细表!F10</f>
        <v>69005</v>
      </c>
      <c r="M18" s="40"/>
      <c r="N18" s="40"/>
      <c r="O18" s="40"/>
      <c r="P18" s="407">
        <f t="shared" si="0"/>
        <v>616983</v>
      </c>
    </row>
    <row r="19" spans="1:16" hidden="1" x14ac:dyDescent="0.15">
      <c r="A19" s="460"/>
      <c r="B19" s="5">
        <v>15</v>
      </c>
      <c r="C19" s="406" t="s">
        <v>69</v>
      </c>
      <c r="D19" s="28"/>
      <c r="E19" s="127"/>
      <c r="F19" s="29"/>
      <c r="G19" s="35"/>
      <c r="H19" s="35"/>
      <c r="I19" s="40"/>
      <c r="J19" s="40"/>
      <c r="K19" s="40"/>
      <c r="L19" s="40"/>
      <c r="M19" s="40"/>
      <c r="N19" s="40"/>
      <c r="O19" s="40"/>
      <c r="P19" s="407"/>
    </row>
    <row r="20" spans="1:16" x14ac:dyDescent="0.15">
      <c r="A20" s="460"/>
      <c r="B20" s="5">
        <v>9</v>
      </c>
      <c r="C20" s="406" t="s">
        <v>12</v>
      </c>
      <c r="D20" s="28">
        <f>[1]明细表1!H26</f>
        <v>55304</v>
      </c>
      <c r="E20" s="127">
        <f>[2]明细表!F16</f>
        <v>56738</v>
      </c>
      <c r="F20" s="29">
        <f>[3]明细表!F11</f>
        <v>50939</v>
      </c>
      <c r="G20" s="35">
        <f>[4]明细表!F11</f>
        <v>66946</v>
      </c>
      <c r="H20" s="35">
        <f>[5]明细表!G11</f>
        <v>65006</v>
      </c>
      <c r="I20" s="40">
        <f>[6]明细表!G11</f>
        <v>61813</v>
      </c>
      <c r="J20" s="40">
        <f>[7]明细表!F11</f>
        <v>76771</v>
      </c>
      <c r="K20" s="40">
        <f>[8]明细表!G11</f>
        <v>80214</v>
      </c>
      <c r="L20" s="40">
        <f>明细表!F11</f>
        <v>55268</v>
      </c>
      <c r="M20" s="40"/>
      <c r="N20" s="40"/>
      <c r="O20" s="40"/>
      <c r="P20" s="407">
        <f t="shared" si="0"/>
        <v>568999</v>
      </c>
    </row>
    <row r="21" spans="1:16" hidden="1" x14ac:dyDescent="0.15">
      <c r="A21" s="460"/>
      <c r="B21" s="5">
        <v>17</v>
      </c>
      <c r="C21" s="348" t="s">
        <v>257</v>
      </c>
      <c r="D21" s="28"/>
      <c r="E21" s="127"/>
      <c r="F21" s="29"/>
      <c r="G21" s="35"/>
      <c r="H21" s="35"/>
      <c r="I21" s="40"/>
      <c r="J21" s="40"/>
      <c r="K21" s="40"/>
      <c r="L21" s="40"/>
      <c r="M21" s="40"/>
      <c r="N21" s="40"/>
      <c r="O21" s="40"/>
      <c r="P21" s="407"/>
    </row>
    <row r="22" spans="1:16" hidden="1" x14ac:dyDescent="0.15">
      <c r="A22" s="460"/>
      <c r="B22" s="5">
        <v>18</v>
      </c>
      <c r="C22" s="348" t="s">
        <v>258</v>
      </c>
      <c r="D22" s="28"/>
      <c r="E22" s="127"/>
      <c r="F22" s="29"/>
      <c r="G22" s="35"/>
      <c r="H22" s="35"/>
      <c r="I22" s="40"/>
      <c r="J22" s="40"/>
      <c r="K22" s="40"/>
      <c r="L22" s="40"/>
      <c r="M22" s="40"/>
      <c r="N22" s="40"/>
      <c r="O22" s="40"/>
      <c r="P22" s="407"/>
    </row>
    <row r="23" spans="1:16" x14ac:dyDescent="0.15">
      <c r="A23" s="460"/>
      <c r="B23" s="5">
        <v>10</v>
      </c>
      <c r="C23" s="348" t="s">
        <v>13</v>
      </c>
      <c r="D23" s="28">
        <f>[1]明细表1!H27</f>
        <v>5441</v>
      </c>
      <c r="E23" s="127">
        <f>[2]明细表!F17</f>
        <v>6535</v>
      </c>
      <c r="F23" s="29">
        <f>[3]明细表!F12</f>
        <v>5538</v>
      </c>
      <c r="G23" s="35">
        <f>[4]明细表!F12</f>
        <v>6939</v>
      </c>
      <c r="H23" s="35">
        <f>[5]明细表!G12</f>
        <v>6157</v>
      </c>
      <c r="I23" s="40">
        <f>[6]明细表!G12</f>
        <v>7033</v>
      </c>
      <c r="J23" s="40">
        <f>[7]明细表!F12</f>
        <v>7297</v>
      </c>
      <c r="K23" s="40">
        <f>[8]明细表!G12</f>
        <v>5539</v>
      </c>
      <c r="L23" s="40">
        <f>明细表!F12</f>
        <v>3750</v>
      </c>
      <c r="M23" s="40"/>
      <c r="N23" s="40"/>
      <c r="O23" s="40"/>
      <c r="P23" s="407">
        <f t="shared" si="0"/>
        <v>54229</v>
      </c>
    </row>
    <row r="24" spans="1:16" x14ac:dyDescent="0.15">
      <c r="A24" s="460"/>
      <c r="B24" s="5">
        <v>11</v>
      </c>
      <c r="C24" s="348" t="str">
        <f>[1]明细表1!C28</f>
        <v>45元香菇卤肉饭套餐</v>
      </c>
      <c r="D24" s="28">
        <f>[1]明细表1!H28</f>
        <v>39895</v>
      </c>
      <c r="E24" s="127">
        <f>[2]明细表!F18</f>
        <v>39713</v>
      </c>
      <c r="F24" s="29">
        <f>[3]明细表!F13</f>
        <v>38972</v>
      </c>
      <c r="G24" s="35">
        <f>[4]明细表!F13</f>
        <v>50986</v>
      </c>
      <c r="H24" s="35">
        <f>[5]明细表!G13</f>
        <v>48467</v>
      </c>
      <c r="I24" s="40">
        <f>[6]明细表!G13</f>
        <v>47649</v>
      </c>
      <c r="J24" s="40">
        <f>[7]明细表!F13</f>
        <v>55893</v>
      </c>
      <c r="K24" s="40">
        <f>[8]明细表!G13</f>
        <v>61827</v>
      </c>
      <c r="L24" s="40">
        <f>明细表!F13</f>
        <v>42989</v>
      </c>
      <c r="M24" s="40"/>
      <c r="N24" s="40"/>
      <c r="O24" s="40"/>
      <c r="P24" s="407">
        <f t="shared" si="0"/>
        <v>426391</v>
      </c>
    </row>
    <row r="25" spans="1:16" x14ac:dyDescent="0.15">
      <c r="A25" s="460"/>
      <c r="B25" s="5">
        <v>12</v>
      </c>
      <c r="C25" s="348" t="str">
        <f>[1]明细表1!C29</f>
        <v>45元椒香水煮鱼套餐</v>
      </c>
      <c r="D25" s="28">
        <f>[1]明细表1!H29</f>
        <v>16695</v>
      </c>
      <c r="E25" s="127">
        <f>[2]明细表!F19</f>
        <v>13836</v>
      </c>
      <c r="F25" s="29">
        <f>[3]明细表!F14</f>
        <v>12886</v>
      </c>
      <c r="G25" s="35">
        <f>[4]明细表!F14</f>
        <v>15660</v>
      </c>
      <c r="H25" s="35">
        <f>[5]明细表!G14</f>
        <v>13680</v>
      </c>
      <c r="I25" s="40">
        <f>[6]明细表!G14</f>
        <v>13401</v>
      </c>
      <c r="J25" s="40">
        <f>[7]明细表!F14</f>
        <v>13004</v>
      </c>
      <c r="K25" s="40">
        <f>[8]明细表!G14</f>
        <v>12068</v>
      </c>
      <c r="L25" s="40">
        <f>明细表!F14</f>
        <v>8158</v>
      </c>
      <c r="M25" s="40"/>
      <c r="N25" s="40"/>
      <c r="O25" s="40"/>
      <c r="P25" s="407">
        <f>D25+E25+F25+G25+H25+I25+J25+K25+L25+M25+N25+O25</f>
        <v>119388</v>
      </c>
    </row>
    <row r="26" spans="1:16" x14ac:dyDescent="0.15">
      <c r="A26" s="460"/>
      <c r="B26" s="5">
        <v>13</v>
      </c>
      <c r="C26" s="406" t="s">
        <v>14</v>
      </c>
      <c r="D26" s="28"/>
      <c r="E26" s="127"/>
      <c r="F26" s="29"/>
      <c r="G26" s="35"/>
      <c r="H26" s="35">
        <f>[5]明细表!G15</f>
        <v>1808</v>
      </c>
      <c r="I26" s="40">
        <f>[6]明细表!G15</f>
        <v>3218</v>
      </c>
      <c r="J26" s="40">
        <f>[7]明细表!F15</f>
        <v>4216</v>
      </c>
      <c r="K26" s="40">
        <f>[8]明细表!G15</f>
        <v>4928</v>
      </c>
      <c r="L26" s="40">
        <f>明细表!F15</f>
        <v>3800</v>
      </c>
      <c r="M26" s="40"/>
      <c r="N26" s="40"/>
      <c r="O26" s="40"/>
      <c r="P26" s="407">
        <f>D26+E26+F26+G26+H26+I26+J26+K26+L26+M26+N26+O26</f>
        <v>17970</v>
      </c>
    </row>
    <row r="27" spans="1:16" s="70" customFormat="1" x14ac:dyDescent="0.15">
      <c r="A27" s="460"/>
      <c r="B27" s="479" t="s">
        <v>61</v>
      </c>
      <c r="C27" s="485"/>
      <c r="D27" s="50">
        <f>SUM(D17:D25)</f>
        <v>189606</v>
      </c>
      <c r="E27" s="51">
        <f>SUM(E17:E25)</f>
        <v>192916</v>
      </c>
      <c r="F27" s="51">
        <f>SUM(F17:F25)</f>
        <v>179019</v>
      </c>
      <c r="G27" s="51">
        <f>SUM(G17:G25)</f>
        <v>235734</v>
      </c>
      <c r="H27" s="51">
        <f>SUM(H17:O26)</f>
        <v>1238454</v>
      </c>
      <c r="I27" s="408">
        <f>SUM(I17:I26)</f>
        <v>226490</v>
      </c>
      <c r="J27" s="408">
        <f>SUM(J17:J26)</f>
        <v>273440</v>
      </c>
      <c r="K27" s="408">
        <f>SUM(K17:O26)</f>
        <v>503287</v>
      </c>
      <c r="L27" s="408">
        <f>SUM(L17:L26)</f>
        <v>206755</v>
      </c>
      <c r="M27" s="408">
        <f>SUM(M17:M25)</f>
        <v>0</v>
      </c>
      <c r="N27" s="408">
        <f>SUM(N17:N25)</f>
        <v>0</v>
      </c>
      <c r="O27" s="408">
        <f>SUM(O17:O25)</f>
        <v>0</v>
      </c>
      <c r="P27" s="409">
        <f>SUM(P17:P26)</f>
        <v>2035729</v>
      </c>
    </row>
    <row r="28" spans="1:16" x14ac:dyDescent="0.15">
      <c r="A28" s="460"/>
      <c r="B28" s="411">
        <v>14</v>
      </c>
      <c r="C28" s="412" t="str">
        <f>[12]明细表1!C32</f>
        <v>川香排骨套餐</v>
      </c>
      <c r="D28" s="413">
        <f>[1]明细表1!H31</f>
        <v>15776</v>
      </c>
      <c r="E28" s="98">
        <f>[2]明细表!F21</f>
        <v>18173</v>
      </c>
      <c r="F28" s="98">
        <f>[3]明细表!F16</f>
        <v>15277</v>
      </c>
      <c r="G28" s="98">
        <f>[4]明细表!F16</f>
        <v>19003</v>
      </c>
      <c r="H28" s="98">
        <f>[5]明细表!G17</f>
        <v>19481</v>
      </c>
      <c r="I28" s="98">
        <f>[6]明细表!G17</f>
        <v>19909</v>
      </c>
      <c r="J28" s="98">
        <f>[7]明细表!F17</f>
        <v>25387</v>
      </c>
      <c r="K28" s="98">
        <f>[8]明细表!G17</f>
        <v>26772</v>
      </c>
      <c r="L28" s="98">
        <f>明细表!F17</f>
        <v>21232</v>
      </c>
      <c r="M28" s="98"/>
      <c r="N28" s="98"/>
      <c r="O28" s="98"/>
      <c r="P28" s="407">
        <f t="shared" si="0"/>
        <v>181010</v>
      </c>
    </row>
    <row r="29" spans="1:16" x14ac:dyDescent="0.15">
      <c r="A29" s="460"/>
      <c r="B29" s="411">
        <v>15</v>
      </c>
      <c r="C29" s="412" t="str">
        <f>[12]明细表1!C33</f>
        <v>清蒸鱼套餐</v>
      </c>
      <c r="D29" s="413">
        <f>[1]明细表1!H32</f>
        <v>15096</v>
      </c>
      <c r="E29" s="98">
        <f>[2]明细表!F22</f>
        <v>18003</v>
      </c>
      <c r="F29" s="98">
        <f>[3]明细表!F17</f>
        <v>15163</v>
      </c>
      <c r="G29" s="98">
        <f>[4]明细表!F17</f>
        <v>19042</v>
      </c>
      <c r="H29" s="98">
        <f>[5]明细表!G18</f>
        <v>19608</v>
      </c>
      <c r="I29" s="98">
        <f>[6]明细表!G18</f>
        <v>19804</v>
      </c>
      <c r="J29" s="98">
        <f>[7]明细表!F18</f>
        <v>25023</v>
      </c>
      <c r="K29" s="98">
        <f>[8]明细表!G18</f>
        <v>26443</v>
      </c>
      <c r="L29" s="98">
        <f>明细表!F18</f>
        <v>21115</v>
      </c>
      <c r="M29" s="98"/>
      <c r="N29" s="98"/>
      <c r="O29" s="98"/>
      <c r="P29" s="407">
        <f>D29+E29+F29+G29+H29+I29+J29+K29+L29+M29+N29+O29</f>
        <v>179297</v>
      </c>
    </row>
    <row r="30" spans="1:16" s="70" customFormat="1" x14ac:dyDescent="0.15">
      <c r="A30" s="460"/>
      <c r="B30" s="479" t="s">
        <v>61</v>
      </c>
      <c r="C30" s="485"/>
      <c r="D30" s="50">
        <f>SUM(D28:D29)</f>
        <v>30872</v>
      </c>
      <c r="E30" s="51">
        <f>SUM(E28:E29)</f>
        <v>36176</v>
      </c>
      <c r="F30" s="51">
        <f t="shared" ref="F30:O30" si="6">SUM(F28:F29)</f>
        <v>30440</v>
      </c>
      <c r="G30" s="51">
        <f>SUM(G28:G29)</f>
        <v>38045</v>
      </c>
      <c r="H30" s="51">
        <f>SUM(H28:H29)</f>
        <v>39089</v>
      </c>
      <c r="I30" s="51">
        <f t="shared" si="6"/>
        <v>39713</v>
      </c>
      <c r="J30" s="51">
        <f t="shared" si="6"/>
        <v>50410</v>
      </c>
      <c r="K30" s="51">
        <f t="shared" si="6"/>
        <v>53215</v>
      </c>
      <c r="L30" s="51">
        <f t="shared" si="6"/>
        <v>42347</v>
      </c>
      <c r="M30" s="51">
        <f t="shared" si="6"/>
        <v>0</v>
      </c>
      <c r="N30" s="51">
        <f t="shared" si="6"/>
        <v>0</v>
      </c>
      <c r="O30" s="51">
        <f t="shared" si="6"/>
        <v>0</v>
      </c>
      <c r="P30" s="409">
        <f>SUM(P28:P29)</f>
        <v>360307</v>
      </c>
    </row>
    <row r="31" spans="1:16" x14ac:dyDescent="0.15">
      <c r="A31" s="460"/>
      <c r="B31" s="5">
        <v>16</v>
      </c>
      <c r="C31" s="406" t="str">
        <f>[1]明细表1!C34</f>
        <v>65元椒香大虾套餐</v>
      </c>
      <c r="D31" s="28">
        <f>[1]明细表1!H34</f>
        <v>3364</v>
      </c>
      <c r="E31" s="29">
        <f>[2]明细表!F26</f>
        <v>3654</v>
      </c>
      <c r="F31" s="29">
        <f>[3]明细表!F21</f>
        <v>3157</v>
      </c>
      <c r="G31" s="35">
        <f>[4]明细表!F21</f>
        <v>752</v>
      </c>
      <c r="H31" s="35"/>
      <c r="I31" s="40"/>
      <c r="J31" s="40"/>
      <c r="K31" s="40"/>
      <c r="L31" s="40"/>
      <c r="M31" s="40"/>
      <c r="N31" s="40"/>
      <c r="O31" s="40"/>
      <c r="P31" s="407">
        <f t="shared" si="0"/>
        <v>10927</v>
      </c>
    </row>
    <row r="32" spans="1:16" x14ac:dyDescent="0.15">
      <c r="A32" s="460"/>
      <c r="B32" s="5">
        <v>17</v>
      </c>
      <c r="C32" s="406" t="str">
        <f>[1]明细表1!C35</f>
        <v>65元椒香肥牛套餐</v>
      </c>
      <c r="D32" s="28">
        <f>[1]明细表1!H35</f>
        <v>9096</v>
      </c>
      <c r="E32" s="29">
        <f>[2]明细表!F27</f>
        <v>11162</v>
      </c>
      <c r="F32" s="29">
        <f>[3]明细表!F22</f>
        <v>10658</v>
      </c>
      <c r="G32" s="35">
        <f>[4]明细表!F22</f>
        <v>11604</v>
      </c>
      <c r="H32" s="35">
        <f>[5]明细表!G22</f>
        <v>9681</v>
      </c>
      <c r="I32" s="40">
        <f>[6]明细表!G22</f>
        <v>8676</v>
      </c>
      <c r="J32" s="40">
        <f>[7]明细表!F20</f>
        <v>9196</v>
      </c>
      <c r="K32" s="40">
        <f>[8]明细表!G20</f>
        <v>8946</v>
      </c>
      <c r="L32" s="40">
        <f>明细表!F20</f>
        <v>6335</v>
      </c>
      <c r="M32" s="40"/>
      <c r="N32" s="40"/>
      <c r="O32" s="40"/>
      <c r="P32" s="407">
        <f t="shared" si="0"/>
        <v>85354</v>
      </c>
    </row>
    <row r="33" spans="1:16" x14ac:dyDescent="0.15">
      <c r="A33" s="460"/>
      <c r="B33" s="5">
        <v>18</v>
      </c>
      <c r="C33" s="406" t="str">
        <f>[1]明细表1!C36</f>
        <v>65元椒香牛蛙套餐</v>
      </c>
      <c r="D33" s="28">
        <f>[1]明细表1!H36</f>
        <v>1726</v>
      </c>
      <c r="E33" s="29">
        <f>[2]明细表!F28</f>
        <v>2169</v>
      </c>
      <c r="F33" s="29">
        <f>[3]明细表!F23</f>
        <v>2028</v>
      </c>
      <c r="G33" s="35">
        <f>[4]明细表!F23</f>
        <v>763</v>
      </c>
      <c r="H33" s="35"/>
      <c r="I33" s="40"/>
      <c r="J33" s="40"/>
      <c r="K33" s="40"/>
      <c r="L33" s="40"/>
      <c r="M33" s="40"/>
      <c r="N33" s="40"/>
      <c r="O33" s="40"/>
      <c r="P33" s="407">
        <f t="shared" si="0"/>
        <v>6686</v>
      </c>
    </row>
    <row r="34" spans="1:16" x14ac:dyDescent="0.15">
      <c r="A34" s="460"/>
      <c r="B34" s="5">
        <v>19</v>
      </c>
      <c r="C34" s="406" t="str">
        <f>[1]明细表1!C37</f>
        <v>65元水晶虾仁</v>
      </c>
      <c r="D34" s="28">
        <f>[1]明细表1!H37</f>
        <v>16144</v>
      </c>
      <c r="E34" s="29">
        <f>[2]明细表!F24</f>
        <v>15250</v>
      </c>
      <c r="F34" s="29">
        <f>[3]明细表!F19</f>
        <v>18478</v>
      </c>
      <c r="G34" s="35">
        <f>[4]明细表!F19</f>
        <v>24336</v>
      </c>
      <c r="H34" s="35">
        <f>[5]明细表!G20</f>
        <v>26127</v>
      </c>
      <c r="I34" s="40">
        <f>[6]明细表!G20</f>
        <v>29096</v>
      </c>
      <c r="J34" s="40">
        <f>[7]明细表!F21</f>
        <v>35355</v>
      </c>
      <c r="K34" s="40">
        <f>[8]明细表!G21</f>
        <v>43709</v>
      </c>
      <c r="L34" s="40">
        <f>明细表!F21</f>
        <v>32133</v>
      </c>
      <c r="M34" s="40"/>
      <c r="N34" s="40"/>
      <c r="O34" s="40"/>
      <c r="P34" s="407">
        <f t="shared" si="0"/>
        <v>240628</v>
      </c>
    </row>
    <row r="35" spans="1:16" x14ac:dyDescent="0.15">
      <c r="A35" s="460"/>
      <c r="B35" s="5">
        <v>20</v>
      </c>
      <c r="C35" s="406" t="str">
        <f>[1]明细表1!C38</f>
        <v>65元杏鲍菇炖牛肉</v>
      </c>
      <c r="D35" s="28">
        <f>[1]明细表1!H38</f>
        <v>36716</v>
      </c>
      <c r="E35" s="29">
        <f>[2]明细表!F25</f>
        <v>38482</v>
      </c>
      <c r="F35" s="29">
        <f>[3]明细表!F20</f>
        <v>47565</v>
      </c>
      <c r="G35" s="35">
        <f>[4]明细表!F20</f>
        <v>73655</v>
      </c>
      <c r="H35" s="35">
        <f>[5]明细表!G21</f>
        <v>82814</v>
      </c>
      <c r="I35" s="40">
        <f>[6]明细表!G21</f>
        <v>86154</v>
      </c>
      <c r="J35" s="40">
        <f>[7]明细表!F23</f>
        <v>107725</v>
      </c>
      <c r="K35" s="40">
        <f>[8]明细表!G22</f>
        <v>136619</v>
      </c>
      <c r="L35" s="40">
        <f>明细表!F22</f>
        <v>96903</v>
      </c>
      <c r="M35" s="40"/>
      <c r="N35" s="40"/>
      <c r="O35" s="40"/>
      <c r="P35" s="407">
        <f t="shared" si="0"/>
        <v>706633</v>
      </c>
    </row>
    <row r="36" spans="1:16" x14ac:dyDescent="0.15">
      <c r="A36" s="460"/>
      <c r="B36" s="5">
        <v>21</v>
      </c>
      <c r="C36" s="80" t="s">
        <v>70</v>
      </c>
      <c r="D36" s="28"/>
      <c r="E36" s="29"/>
      <c r="F36" s="29"/>
      <c r="G36" s="35"/>
      <c r="H36" s="35"/>
      <c r="I36" s="40"/>
      <c r="J36" s="40">
        <v>2</v>
      </c>
      <c r="K36" s="40"/>
      <c r="L36" s="40"/>
      <c r="M36" s="40"/>
      <c r="N36" s="40"/>
      <c r="O36" s="40"/>
      <c r="P36" s="407">
        <f t="shared" si="0"/>
        <v>2</v>
      </c>
    </row>
    <row r="37" spans="1:16" s="70" customFormat="1" x14ac:dyDescent="0.15">
      <c r="A37" s="460"/>
      <c r="B37" s="479" t="s">
        <v>61</v>
      </c>
      <c r="C37" s="485"/>
      <c r="D37" s="50">
        <f>[1]明细表1!H39</f>
        <v>67046</v>
      </c>
      <c r="E37" s="51">
        <f>SUM(E31:E35)</f>
        <v>70717</v>
      </c>
      <c r="F37" s="51">
        <f>SUM(F31:F35)</f>
        <v>81886</v>
      </c>
      <c r="G37" s="51">
        <f>SUM(G31:G35)</f>
        <v>111110</v>
      </c>
      <c r="H37" s="51">
        <f>SUM(H31:H35)</f>
        <v>118622</v>
      </c>
      <c r="I37" s="408">
        <f>SUM(I31:I35)</f>
        <v>123926</v>
      </c>
      <c r="J37" s="408">
        <f>SUM(J31:J36)</f>
        <v>152278</v>
      </c>
      <c r="K37" s="408">
        <f>SUM(K31:K35)</f>
        <v>189274</v>
      </c>
      <c r="L37" s="408">
        <f>SUM(L31:L35)</f>
        <v>135371</v>
      </c>
      <c r="M37" s="408">
        <f>SUM(M31:M35)</f>
        <v>0</v>
      </c>
      <c r="N37" s="408">
        <f>SUM(N31:N35)</f>
        <v>0</v>
      </c>
      <c r="O37" s="408">
        <f>SUM(O31:O35)</f>
        <v>0</v>
      </c>
      <c r="P37" s="409">
        <f>D37+E37+F37+G37+H37+I37+J37+K37+L37+M37+N37+O37</f>
        <v>1050230</v>
      </c>
    </row>
    <row r="38" spans="1:16" x14ac:dyDescent="0.15">
      <c r="A38" s="484" t="s">
        <v>71</v>
      </c>
      <c r="B38" s="5">
        <v>22</v>
      </c>
      <c r="C38" s="406" t="s">
        <v>22</v>
      </c>
      <c r="D38" s="28">
        <f>[1]明细表1!H42</f>
        <v>69700</v>
      </c>
      <c r="E38" s="29">
        <f>[2]明细表!F30</f>
        <v>93200</v>
      </c>
      <c r="F38" s="29">
        <f>[3]明细表!F25</f>
        <v>43100</v>
      </c>
      <c r="G38" s="35">
        <f>[4]明细表!F25</f>
        <v>56400</v>
      </c>
      <c r="H38" s="35">
        <f>[5]明细表!G24</f>
        <v>73800</v>
      </c>
      <c r="I38" s="40">
        <f>[6]明细表!G24</f>
        <v>45800</v>
      </c>
      <c r="J38" s="40">
        <f>[7]明细表!F25</f>
        <v>62349</v>
      </c>
      <c r="K38" s="40">
        <f>[8]明细表!G24</f>
        <v>88151</v>
      </c>
      <c r="L38" s="40">
        <f>明细表!F24</f>
        <v>60000</v>
      </c>
      <c r="M38" s="40"/>
      <c r="N38" s="40"/>
      <c r="O38" s="40"/>
      <c r="P38" s="407">
        <f t="shared" si="0"/>
        <v>592500</v>
      </c>
    </row>
    <row r="39" spans="1:16" x14ac:dyDescent="0.15">
      <c r="A39" s="484"/>
      <c r="B39" s="5">
        <v>23</v>
      </c>
      <c r="C39" s="406" t="s">
        <v>72</v>
      </c>
      <c r="D39" s="28">
        <f>[1]明细表1!H43</f>
        <v>13700</v>
      </c>
      <c r="E39" s="29">
        <f>[2]明细表!F31</f>
        <v>16100</v>
      </c>
      <c r="F39" s="29">
        <f>[3]明细表!F26</f>
        <v>13800</v>
      </c>
      <c r="G39" s="35">
        <f>[4]明细表!F26</f>
        <v>18400</v>
      </c>
      <c r="H39" s="35">
        <f>[5]明细表!G25</f>
        <v>16100</v>
      </c>
      <c r="I39" s="40">
        <f>[6]明细表!G25</f>
        <v>12900</v>
      </c>
      <c r="J39" s="40">
        <f>[7]明细表!F26</f>
        <v>15400</v>
      </c>
      <c r="K39" s="40">
        <f>[8]明细表!G25</f>
        <v>16000</v>
      </c>
      <c r="L39" s="40"/>
      <c r="M39" s="40"/>
      <c r="N39" s="40"/>
      <c r="O39" s="40"/>
      <c r="P39" s="407">
        <f t="shared" si="0"/>
        <v>122400</v>
      </c>
    </row>
    <row r="40" spans="1:16" s="70" customFormat="1" x14ac:dyDescent="0.15">
      <c r="A40" s="484"/>
      <c r="B40" s="485" t="s">
        <v>61</v>
      </c>
      <c r="C40" s="490"/>
      <c r="D40" s="50">
        <f>SUM(D38:D39)</f>
        <v>83400</v>
      </c>
      <c r="E40" s="51">
        <f t="shared" ref="E40:O40" si="7">SUM(E38:E39)</f>
        <v>109300</v>
      </c>
      <c r="F40" s="51">
        <f t="shared" si="7"/>
        <v>56900</v>
      </c>
      <c r="G40" s="51">
        <f t="shared" si="7"/>
        <v>74800</v>
      </c>
      <c r="H40" s="51">
        <f>SUM(H38:H39)</f>
        <v>89900</v>
      </c>
      <c r="I40" s="51">
        <f t="shared" si="7"/>
        <v>58700</v>
      </c>
      <c r="J40" s="408">
        <f>SUM(J38:J39)</f>
        <v>77749</v>
      </c>
      <c r="K40" s="408">
        <f>SUM(K38:K39)</f>
        <v>104151</v>
      </c>
      <c r="L40" s="51">
        <f t="shared" si="7"/>
        <v>60000</v>
      </c>
      <c r="M40" s="51">
        <f t="shared" si="7"/>
        <v>0</v>
      </c>
      <c r="N40" s="51">
        <f t="shared" si="7"/>
        <v>0</v>
      </c>
      <c r="O40" s="51">
        <f t="shared" si="7"/>
        <v>0</v>
      </c>
      <c r="P40" s="414">
        <f t="shared" si="0"/>
        <v>714900</v>
      </c>
    </row>
    <row r="41" spans="1:16" s="70" customFormat="1" x14ac:dyDescent="0.15">
      <c r="A41" s="418"/>
      <c r="B41" s="5">
        <v>24</v>
      </c>
      <c r="C41" s="27" t="str">
        <f>明细表1!C51</f>
        <v>高铁配餐【阿里年会专供】</v>
      </c>
      <c r="D41" s="419"/>
      <c r="E41" s="420"/>
      <c r="F41" s="420"/>
      <c r="G41" s="420"/>
      <c r="H41" s="420"/>
      <c r="I41" s="420"/>
      <c r="J41" s="421"/>
      <c r="K41" s="421"/>
      <c r="L41" s="422">
        <f>明细表!F26</f>
        <v>5565</v>
      </c>
      <c r="M41" s="422"/>
      <c r="N41" s="422"/>
      <c r="O41" s="422"/>
      <c r="P41" s="423">
        <f>L41</f>
        <v>5565</v>
      </c>
    </row>
    <row r="42" spans="1:16" s="70" customFormat="1" ht="14.25" thickBot="1" x14ac:dyDescent="0.2">
      <c r="A42" s="481" t="s">
        <v>75</v>
      </c>
      <c r="B42" s="482"/>
      <c r="C42" s="482"/>
      <c r="D42" s="114">
        <f t="shared" ref="D42:J42" si="8">D7+D10+D12+D14+D16+D27+D30+D37+D40</f>
        <v>422237</v>
      </c>
      <c r="E42" s="115">
        <f t="shared" si="8"/>
        <v>464162</v>
      </c>
      <c r="F42" s="115">
        <f t="shared" si="8"/>
        <v>387310</v>
      </c>
      <c r="G42" s="115">
        <f t="shared" si="8"/>
        <v>503231</v>
      </c>
      <c r="H42" s="115">
        <f t="shared" si="8"/>
        <v>1529246</v>
      </c>
      <c r="I42" s="115">
        <f t="shared" si="8"/>
        <v>493141</v>
      </c>
      <c r="J42" s="115">
        <f t="shared" si="8"/>
        <v>606569</v>
      </c>
      <c r="K42" s="115">
        <f>K7+K10+K12+K14+K16+K27+K30+K37+K40</f>
        <v>904410</v>
      </c>
      <c r="L42" s="115">
        <f>L7+L10+L12+L14+L16+L27+L30+L37+L40+L41</f>
        <v>491005</v>
      </c>
      <c r="M42" s="115"/>
      <c r="N42" s="115"/>
      <c r="O42" s="115"/>
      <c r="P42" s="415">
        <f>P7+P10+P12+P14+P16+P27+P30+P37+P40+P41</f>
        <v>4591339</v>
      </c>
    </row>
    <row r="44" spans="1:16" x14ac:dyDescent="0.15">
      <c r="A44" s="121"/>
      <c r="F44" s="491"/>
      <c r="G44" s="491"/>
      <c r="H44" s="491"/>
      <c r="I44" s="416"/>
      <c r="J44" s="416"/>
      <c r="K44" s="416"/>
      <c r="L44" s="416"/>
      <c r="M44" s="416"/>
      <c r="N44" s="416"/>
      <c r="O44" s="416"/>
    </row>
    <row r="45" spans="1:16" x14ac:dyDescent="0.15">
      <c r="A45" s="121"/>
      <c r="F45" s="491"/>
      <c r="G45" s="491"/>
      <c r="H45" s="491"/>
      <c r="I45" s="416"/>
      <c r="J45" s="416"/>
      <c r="K45" s="416"/>
      <c r="L45" s="416"/>
      <c r="M45" s="416"/>
      <c r="N45" s="416"/>
      <c r="O45" s="416"/>
    </row>
    <row r="46" spans="1:16" x14ac:dyDescent="0.15">
      <c r="A46" s="121"/>
      <c r="F46" s="491"/>
      <c r="G46" s="491"/>
      <c r="H46" s="417"/>
      <c r="I46" s="417"/>
      <c r="J46" s="417"/>
      <c r="K46" s="417"/>
      <c r="L46" s="417"/>
      <c r="M46" s="417"/>
      <c r="N46" s="417"/>
      <c r="O46" s="417"/>
    </row>
    <row r="47" spans="1:16" x14ac:dyDescent="0.15">
      <c r="A47" s="121"/>
      <c r="E47" s="491"/>
      <c r="F47" s="491"/>
      <c r="G47" s="491"/>
      <c r="H47" s="417"/>
      <c r="I47" s="417"/>
      <c r="J47" s="417"/>
      <c r="K47" s="417"/>
      <c r="L47" s="417"/>
      <c r="M47" s="417"/>
      <c r="N47" s="417"/>
      <c r="O47" s="417"/>
    </row>
    <row r="48" spans="1:16" x14ac:dyDescent="0.15">
      <c r="A48" s="121"/>
      <c r="E48" s="491"/>
    </row>
    <row r="49" spans="1:1" x14ac:dyDescent="0.15">
      <c r="A49" s="121"/>
    </row>
  </sheetData>
  <mergeCells count="21">
    <mergeCell ref="F46:F47"/>
    <mergeCell ref="G46:G47"/>
    <mergeCell ref="E47:E48"/>
    <mergeCell ref="F44:F45"/>
    <mergeCell ref="A38:A40"/>
    <mergeCell ref="B40:C40"/>
    <mergeCell ref="A42:C42"/>
    <mergeCell ref="G44:G45"/>
    <mergeCell ref="H44:H45"/>
    <mergeCell ref="A1:P1"/>
    <mergeCell ref="A2:A37"/>
    <mergeCell ref="B2:B3"/>
    <mergeCell ref="C2:C3"/>
    <mergeCell ref="B7:C7"/>
    <mergeCell ref="B10:C10"/>
    <mergeCell ref="B12:C12"/>
    <mergeCell ref="B14:C14"/>
    <mergeCell ref="B16:C16"/>
    <mergeCell ref="B27:C27"/>
    <mergeCell ref="B30:C30"/>
    <mergeCell ref="B37:C37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56"/>
  <sheetViews>
    <sheetView workbookViewId="0">
      <selection activeCell="I18" sqref="I18"/>
    </sheetView>
  </sheetViews>
  <sheetFormatPr defaultRowHeight="13.5" x14ac:dyDescent="0.15"/>
  <cols>
    <col min="1" max="1" width="14.125" style="124" customWidth="1"/>
    <col min="2" max="2" width="15.125" style="124" bestFit="1" customWidth="1"/>
    <col min="3" max="3" width="9" style="124" bestFit="1" customWidth="1"/>
    <col min="4" max="4" width="12.375" style="124" customWidth="1"/>
    <col min="5" max="5" width="16.125" style="124" bestFit="1" customWidth="1"/>
    <col min="6" max="6" width="12.875" style="124" bestFit="1" customWidth="1"/>
    <col min="7" max="243" width="9.125" style="124"/>
    <col min="244" max="244" width="14.125" style="124" customWidth="1"/>
    <col min="245" max="245" width="15.125" style="124" bestFit="1" customWidth="1"/>
    <col min="246" max="246" width="9" style="124" bestFit="1" customWidth="1"/>
    <col min="247" max="247" width="9.125" style="124"/>
    <col min="248" max="248" width="15.375" style="124" bestFit="1" customWidth="1"/>
    <col min="249" max="249" width="12.375" style="124" customWidth="1"/>
    <col min="250" max="250" width="16.125" style="124" bestFit="1" customWidth="1"/>
    <col min="251" max="251" width="12.875" style="124" bestFit="1" customWidth="1"/>
    <col min="252" max="252" width="9.125" style="124"/>
    <col min="253" max="253" width="15.625" style="124" bestFit="1" customWidth="1"/>
    <col min="254" max="254" width="10.75" style="124" bestFit="1" customWidth="1"/>
    <col min="255" max="255" width="10.75" style="124" customWidth="1"/>
    <col min="256" max="256" width="14.375" style="124" customWidth="1"/>
    <col min="257" max="257" width="19.625" style="124" bestFit="1" customWidth="1"/>
    <col min="258" max="258" width="9.125" style="124"/>
    <col min="259" max="259" width="11.125" style="124" bestFit="1" customWidth="1"/>
    <col min="260" max="260" width="14.25" style="124" bestFit="1" customWidth="1"/>
    <col min="261" max="499" width="9.125" style="124"/>
    <col min="500" max="500" width="14.125" style="124" customWidth="1"/>
    <col min="501" max="501" width="15.125" style="124" bestFit="1" customWidth="1"/>
    <col min="502" max="502" width="9" style="124" bestFit="1" customWidth="1"/>
    <col min="503" max="503" width="9.125" style="124"/>
    <col min="504" max="504" width="15.375" style="124" bestFit="1" customWidth="1"/>
    <col min="505" max="505" width="12.375" style="124" customWidth="1"/>
    <col min="506" max="506" width="16.125" style="124" bestFit="1" customWidth="1"/>
    <col min="507" max="507" width="12.875" style="124" bestFit="1" customWidth="1"/>
    <col min="508" max="508" width="9.125" style="124"/>
    <col min="509" max="509" width="15.625" style="124" bestFit="1" customWidth="1"/>
    <col min="510" max="510" width="10.75" style="124" bestFit="1" customWidth="1"/>
    <col min="511" max="511" width="10.75" style="124" customWidth="1"/>
    <col min="512" max="512" width="14.375" style="124" customWidth="1"/>
    <col min="513" max="513" width="19.625" style="124" bestFit="1" customWidth="1"/>
    <col min="514" max="514" width="9.125" style="124"/>
    <col min="515" max="515" width="11.125" style="124" bestFit="1" customWidth="1"/>
    <col min="516" max="516" width="14.25" style="124" bestFit="1" customWidth="1"/>
    <col min="517" max="755" width="9.125" style="124"/>
    <col min="756" max="756" width="14.125" style="124" customWidth="1"/>
    <col min="757" max="757" width="15.125" style="124" bestFit="1" customWidth="1"/>
    <col min="758" max="758" width="9" style="124" bestFit="1" customWidth="1"/>
    <col min="759" max="759" width="9.125" style="124"/>
    <col min="760" max="760" width="15.375" style="124" bestFit="1" customWidth="1"/>
    <col min="761" max="761" width="12.375" style="124" customWidth="1"/>
    <col min="762" max="762" width="16.125" style="124" bestFit="1" customWidth="1"/>
    <col min="763" max="763" width="12.875" style="124" bestFit="1" customWidth="1"/>
    <col min="764" max="764" width="9.125" style="124"/>
    <col min="765" max="765" width="15.625" style="124" bestFit="1" customWidth="1"/>
    <col min="766" max="766" width="10.75" style="124" bestFit="1" customWidth="1"/>
    <col min="767" max="767" width="10.75" style="124" customWidth="1"/>
    <col min="768" max="768" width="14.375" style="124" customWidth="1"/>
    <col min="769" max="769" width="19.625" style="124" bestFit="1" customWidth="1"/>
    <col min="770" max="770" width="9.125" style="124"/>
    <col min="771" max="771" width="11.125" style="124" bestFit="1" customWidth="1"/>
    <col min="772" max="772" width="14.25" style="124" bestFit="1" customWidth="1"/>
    <col min="773" max="1011" width="9.125" style="124"/>
    <col min="1012" max="1012" width="14.125" style="124" customWidth="1"/>
    <col min="1013" max="1013" width="15.125" style="124" bestFit="1" customWidth="1"/>
    <col min="1014" max="1014" width="9" style="124" bestFit="1" customWidth="1"/>
    <col min="1015" max="1015" width="9.125" style="124"/>
    <col min="1016" max="1016" width="15.375" style="124" bestFit="1" customWidth="1"/>
    <col min="1017" max="1017" width="12.375" style="124" customWidth="1"/>
    <col min="1018" max="1018" width="16.125" style="124" bestFit="1" customWidth="1"/>
    <col min="1019" max="1019" width="12.875" style="124" bestFit="1" customWidth="1"/>
    <col min="1020" max="1020" width="9.125" style="124"/>
    <col min="1021" max="1021" width="15.625" style="124" bestFit="1" customWidth="1"/>
    <col min="1022" max="1022" width="10.75" style="124" bestFit="1" customWidth="1"/>
    <col min="1023" max="1023" width="10.75" style="124" customWidth="1"/>
    <col min="1024" max="1024" width="14.375" style="124" customWidth="1"/>
    <col min="1025" max="1025" width="19.625" style="124" bestFit="1" customWidth="1"/>
    <col min="1026" max="1026" width="9.125" style="124"/>
    <col min="1027" max="1027" width="11.125" style="124" bestFit="1" customWidth="1"/>
    <col min="1028" max="1028" width="14.25" style="124" bestFit="1" customWidth="1"/>
    <col min="1029" max="1267" width="9.125" style="124"/>
    <col min="1268" max="1268" width="14.125" style="124" customWidth="1"/>
    <col min="1269" max="1269" width="15.125" style="124" bestFit="1" customWidth="1"/>
    <col min="1270" max="1270" width="9" style="124" bestFit="1" customWidth="1"/>
    <col min="1271" max="1271" width="9.125" style="124"/>
    <col min="1272" max="1272" width="15.375" style="124" bestFit="1" customWidth="1"/>
    <col min="1273" max="1273" width="12.375" style="124" customWidth="1"/>
    <col min="1274" max="1274" width="16.125" style="124" bestFit="1" customWidth="1"/>
    <col min="1275" max="1275" width="12.875" style="124" bestFit="1" customWidth="1"/>
    <col min="1276" max="1276" width="9.125" style="124"/>
    <col min="1277" max="1277" width="15.625" style="124" bestFit="1" customWidth="1"/>
    <col min="1278" max="1278" width="10.75" style="124" bestFit="1" customWidth="1"/>
    <col min="1279" max="1279" width="10.75" style="124" customWidth="1"/>
    <col min="1280" max="1280" width="14.375" style="124" customWidth="1"/>
    <col min="1281" max="1281" width="19.625" style="124" bestFit="1" customWidth="1"/>
    <col min="1282" max="1282" width="9.125" style="124"/>
    <col min="1283" max="1283" width="11.125" style="124" bestFit="1" customWidth="1"/>
    <col min="1284" max="1284" width="14.25" style="124" bestFit="1" customWidth="1"/>
    <col min="1285" max="1523" width="9.125" style="124"/>
    <col min="1524" max="1524" width="14.125" style="124" customWidth="1"/>
    <col min="1525" max="1525" width="15.125" style="124" bestFit="1" customWidth="1"/>
    <col min="1526" max="1526" width="9" style="124" bestFit="1" customWidth="1"/>
    <col min="1527" max="1527" width="9.125" style="124"/>
    <col min="1528" max="1528" width="15.375" style="124" bestFit="1" customWidth="1"/>
    <col min="1529" max="1529" width="12.375" style="124" customWidth="1"/>
    <col min="1530" max="1530" width="16.125" style="124" bestFit="1" customWidth="1"/>
    <col min="1531" max="1531" width="12.875" style="124" bestFit="1" customWidth="1"/>
    <col min="1532" max="1532" width="9.125" style="124"/>
    <col min="1533" max="1533" width="15.625" style="124" bestFit="1" customWidth="1"/>
    <col min="1534" max="1534" width="10.75" style="124" bestFit="1" customWidth="1"/>
    <col min="1535" max="1535" width="10.75" style="124" customWidth="1"/>
    <col min="1536" max="1536" width="14.375" style="124" customWidth="1"/>
    <col min="1537" max="1537" width="19.625" style="124" bestFit="1" customWidth="1"/>
    <col min="1538" max="1538" width="9.125" style="124"/>
    <col min="1539" max="1539" width="11.125" style="124" bestFit="1" customWidth="1"/>
    <col min="1540" max="1540" width="14.25" style="124" bestFit="1" customWidth="1"/>
    <col min="1541" max="1779" width="9.125" style="124"/>
    <col min="1780" max="1780" width="14.125" style="124" customWidth="1"/>
    <col min="1781" max="1781" width="15.125" style="124" bestFit="1" customWidth="1"/>
    <col min="1782" max="1782" width="9" style="124" bestFit="1" customWidth="1"/>
    <col min="1783" max="1783" width="9.125" style="124"/>
    <col min="1784" max="1784" width="15.375" style="124" bestFit="1" customWidth="1"/>
    <col min="1785" max="1785" width="12.375" style="124" customWidth="1"/>
    <col min="1786" max="1786" width="16.125" style="124" bestFit="1" customWidth="1"/>
    <col min="1787" max="1787" width="12.875" style="124" bestFit="1" customWidth="1"/>
    <col min="1788" max="1788" width="9.125" style="124"/>
    <col min="1789" max="1789" width="15.625" style="124" bestFit="1" customWidth="1"/>
    <col min="1790" max="1790" width="10.75" style="124" bestFit="1" customWidth="1"/>
    <col min="1791" max="1791" width="10.75" style="124" customWidth="1"/>
    <col min="1792" max="1792" width="14.375" style="124" customWidth="1"/>
    <col min="1793" max="1793" width="19.625" style="124" bestFit="1" customWidth="1"/>
    <col min="1794" max="1794" width="9.125" style="124"/>
    <col min="1795" max="1795" width="11.125" style="124" bestFit="1" customWidth="1"/>
    <col min="1796" max="1796" width="14.25" style="124" bestFit="1" customWidth="1"/>
    <col min="1797" max="2035" width="9.125" style="124"/>
    <col min="2036" max="2036" width="14.125" style="124" customWidth="1"/>
    <col min="2037" max="2037" width="15.125" style="124" bestFit="1" customWidth="1"/>
    <col min="2038" max="2038" width="9" style="124" bestFit="1" customWidth="1"/>
    <col min="2039" max="2039" width="9.125" style="124"/>
    <col min="2040" max="2040" width="15.375" style="124" bestFit="1" customWidth="1"/>
    <col min="2041" max="2041" width="12.375" style="124" customWidth="1"/>
    <col min="2042" max="2042" width="16.125" style="124" bestFit="1" customWidth="1"/>
    <col min="2043" max="2043" width="12.875" style="124" bestFit="1" customWidth="1"/>
    <col min="2044" max="2044" width="9.125" style="124"/>
    <col min="2045" max="2045" width="15.625" style="124" bestFit="1" customWidth="1"/>
    <col min="2046" max="2046" width="10.75" style="124" bestFit="1" customWidth="1"/>
    <col min="2047" max="2047" width="10.75" style="124" customWidth="1"/>
    <col min="2048" max="2048" width="14.375" style="124" customWidth="1"/>
    <col min="2049" max="2049" width="19.625" style="124" bestFit="1" customWidth="1"/>
    <col min="2050" max="2050" width="9.125" style="124"/>
    <col min="2051" max="2051" width="11.125" style="124" bestFit="1" customWidth="1"/>
    <col min="2052" max="2052" width="14.25" style="124" bestFit="1" customWidth="1"/>
    <col min="2053" max="2291" width="9.125" style="124"/>
    <col min="2292" max="2292" width="14.125" style="124" customWidth="1"/>
    <col min="2293" max="2293" width="15.125" style="124" bestFit="1" customWidth="1"/>
    <col min="2294" max="2294" width="9" style="124" bestFit="1" customWidth="1"/>
    <col min="2295" max="2295" width="9.125" style="124"/>
    <col min="2296" max="2296" width="15.375" style="124" bestFit="1" customWidth="1"/>
    <col min="2297" max="2297" width="12.375" style="124" customWidth="1"/>
    <col min="2298" max="2298" width="16.125" style="124" bestFit="1" customWidth="1"/>
    <col min="2299" max="2299" width="12.875" style="124" bestFit="1" customWidth="1"/>
    <col min="2300" max="2300" width="9.125" style="124"/>
    <col min="2301" max="2301" width="15.625" style="124" bestFit="1" customWidth="1"/>
    <col min="2302" max="2302" width="10.75" style="124" bestFit="1" customWidth="1"/>
    <col min="2303" max="2303" width="10.75" style="124" customWidth="1"/>
    <col min="2304" max="2304" width="14.375" style="124" customWidth="1"/>
    <col min="2305" max="2305" width="19.625" style="124" bestFit="1" customWidth="1"/>
    <col min="2306" max="2306" width="9.125" style="124"/>
    <col min="2307" max="2307" width="11.125" style="124" bestFit="1" customWidth="1"/>
    <col min="2308" max="2308" width="14.25" style="124" bestFit="1" customWidth="1"/>
    <col min="2309" max="2547" width="9.125" style="124"/>
    <col min="2548" max="2548" width="14.125" style="124" customWidth="1"/>
    <col min="2549" max="2549" width="15.125" style="124" bestFit="1" customWidth="1"/>
    <col min="2550" max="2550" width="9" style="124" bestFit="1" customWidth="1"/>
    <col min="2551" max="2551" width="9.125" style="124"/>
    <col min="2552" max="2552" width="15.375" style="124" bestFit="1" customWidth="1"/>
    <col min="2553" max="2553" width="12.375" style="124" customWidth="1"/>
    <col min="2554" max="2554" width="16.125" style="124" bestFit="1" customWidth="1"/>
    <col min="2555" max="2555" width="12.875" style="124" bestFit="1" customWidth="1"/>
    <col min="2556" max="2556" width="9.125" style="124"/>
    <col min="2557" max="2557" width="15.625" style="124" bestFit="1" customWidth="1"/>
    <col min="2558" max="2558" width="10.75" style="124" bestFit="1" customWidth="1"/>
    <col min="2559" max="2559" width="10.75" style="124" customWidth="1"/>
    <col min="2560" max="2560" width="14.375" style="124" customWidth="1"/>
    <col min="2561" max="2561" width="19.625" style="124" bestFit="1" customWidth="1"/>
    <col min="2562" max="2562" width="9.125" style="124"/>
    <col min="2563" max="2563" width="11.125" style="124" bestFit="1" customWidth="1"/>
    <col min="2564" max="2564" width="14.25" style="124" bestFit="1" customWidth="1"/>
    <col min="2565" max="2803" width="9.125" style="124"/>
    <col min="2804" max="2804" width="14.125" style="124" customWidth="1"/>
    <col min="2805" max="2805" width="15.125" style="124" bestFit="1" customWidth="1"/>
    <col min="2806" max="2806" width="9" style="124" bestFit="1" customWidth="1"/>
    <col min="2807" max="2807" width="9.125" style="124"/>
    <col min="2808" max="2808" width="15.375" style="124" bestFit="1" customWidth="1"/>
    <col min="2809" max="2809" width="12.375" style="124" customWidth="1"/>
    <col min="2810" max="2810" width="16.125" style="124" bestFit="1" customWidth="1"/>
    <col min="2811" max="2811" width="12.875" style="124" bestFit="1" customWidth="1"/>
    <col min="2812" max="2812" width="9.125" style="124"/>
    <col min="2813" max="2813" width="15.625" style="124" bestFit="1" customWidth="1"/>
    <col min="2814" max="2814" width="10.75" style="124" bestFit="1" customWidth="1"/>
    <col min="2815" max="2815" width="10.75" style="124" customWidth="1"/>
    <col min="2816" max="2816" width="14.375" style="124" customWidth="1"/>
    <col min="2817" max="2817" width="19.625" style="124" bestFit="1" customWidth="1"/>
    <col min="2818" max="2818" width="9.125" style="124"/>
    <col min="2819" max="2819" width="11.125" style="124" bestFit="1" customWidth="1"/>
    <col min="2820" max="2820" width="14.25" style="124" bestFit="1" customWidth="1"/>
    <col min="2821" max="3059" width="9.125" style="124"/>
    <col min="3060" max="3060" width="14.125" style="124" customWidth="1"/>
    <col min="3061" max="3061" width="15.125" style="124" bestFit="1" customWidth="1"/>
    <col min="3062" max="3062" width="9" style="124" bestFit="1" customWidth="1"/>
    <col min="3063" max="3063" width="9.125" style="124"/>
    <col min="3064" max="3064" width="15.375" style="124" bestFit="1" customWidth="1"/>
    <col min="3065" max="3065" width="12.375" style="124" customWidth="1"/>
    <col min="3066" max="3066" width="16.125" style="124" bestFit="1" customWidth="1"/>
    <col min="3067" max="3067" width="12.875" style="124" bestFit="1" customWidth="1"/>
    <col min="3068" max="3068" width="9.125" style="124"/>
    <col min="3069" max="3069" width="15.625" style="124" bestFit="1" customWidth="1"/>
    <col min="3070" max="3070" width="10.75" style="124" bestFit="1" customWidth="1"/>
    <col min="3071" max="3071" width="10.75" style="124" customWidth="1"/>
    <col min="3072" max="3072" width="14.375" style="124" customWidth="1"/>
    <col min="3073" max="3073" width="19.625" style="124" bestFit="1" customWidth="1"/>
    <col min="3074" max="3074" width="9.125" style="124"/>
    <col min="3075" max="3075" width="11.125" style="124" bestFit="1" customWidth="1"/>
    <col min="3076" max="3076" width="14.25" style="124" bestFit="1" customWidth="1"/>
    <col min="3077" max="3315" width="9.125" style="124"/>
    <col min="3316" max="3316" width="14.125" style="124" customWidth="1"/>
    <col min="3317" max="3317" width="15.125" style="124" bestFit="1" customWidth="1"/>
    <col min="3318" max="3318" width="9" style="124" bestFit="1" customWidth="1"/>
    <col min="3319" max="3319" width="9.125" style="124"/>
    <col min="3320" max="3320" width="15.375" style="124" bestFit="1" customWidth="1"/>
    <col min="3321" max="3321" width="12.375" style="124" customWidth="1"/>
    <col min="3322" max="3322" width="16.125" style="124" bestFit="1" customWidth="1"/>
    <col min="3323" max="3323" width="12.875" style="124" bestFit="1" customWidth="1"/>
    <col min="3324" max="3324" width="9.125" style="124"/>
    <col min="3325" max="3325" width="15.625" style="124" bestFit="1" customWidth="1"/>
    <col min="3326" max="3326" width="10.75" style="124" bestFit="1" customWidth="1"/>
    <col min="3327" max="3327" width="10.75" style="124" customWidth="1"/>
    <col min="3328" max="3328" width="14.375" style="124" customWidth="1"/>
    <col min="3329" max="3329" width="19.625" style="124" bestFit="1" customWidth="1"/>
    <col min="3330" max="3330" width="9.125" style="124"/>
    <col min="3331" max="3331" width="11.125" style="124" bestFit="1" customWidth="1"/>
    <col min="3332" max="3332" width="14.25" style="124" bestFit="1" customWidth="1"/>
    <col min="3333" max="3571" width="9.125" style="124"/>
    <col min="3572" max="3572" width="14.125" style="124" customWidth="1"/>
    <col min="3573" max="3573" width="15.125" style="124" bestFit="1" customWidth="1"/>
    <col min="3574" max="3574" width="9" style="124" bestFit="1" customWidth="1"/>
    <col min="3575" max="3575" width="9.125" style="124"/>
    <col min="3576" max="3576" width="15.375" style="124" bestFit="1" customWidth="1"/>
    <col min="3577" max="3577" width="12.375" style="124" customWidth="1"/>
    <col min="3578" max="3578" width="16.125" style="124" bestFit="1" customWidth="1"/>
    <col min="3579" max="3579" width="12.875" style="124" bestFit="1" customWidth="1"/>
    <col min="3580" max="3580" width="9.125" style="124"/>
    <col min="3581" max="3581" width="15.625" style="124" bestFit="1" customWidth="1"/>
    <col min="3582" max="3582" width="10.75" style="124" bestFit="1" customWidth="1"/>
    <col min="3583" max="3583" width="10.75" style="124" customWidth="1"/>
    <col min="3584" max="3584" width="14.375" style="124" customWidth="1"/>
    <col min="3585" max="3585" width="19.625" style="124" bestFit="1" customWidth="1"/>
    <col min="3586" max="3586" width="9.125" style="124"/>
    <col min="3587" max="3587" width="11.125" style="124" bestFit="1" customWidth="1"/>
    <col min="3588" max="3588" width="14.25" style="124" bestFit="1" customWidth="1"/>
    <col min="3589" max="3827" width="9.125" style="124"/>
    <col min="3828" max="3828" width="14.125" style="124" customWidth="1"/>
    <col min="3829" max="3829" width="15.125" style="124" bestFit="1" customWidth="1"/>
    <col min="3830" max="3830" width="9" style="124" bestFit="1" customWidth="1"/>
    <col min="3831" max="3831" width="9.125" style="124"/>
    <col min="3832" max="3832" width="15.375" style="124" bestFit="1" customWidth="1"/>
    <col min="3833" max="3833" width="12.375" style="124" customWidth="1"/>
    <col min="3834" max="3834" width="16.125" style="124" bestFit="1" customWidth="1"/>
    <col min="3835" max="3835" width="12.875" style="124" bestFit="1" customWidth="1"/>
    <col min="3836" max="3836" width="9.125" style="124"/>
    <col min="3837" max="3837" width="15.625" style="124" bestFit="1" customWidth="1"/>
    <col min="3838" max="3838" width="10.75" style="124" bestFit="1" customWidth="1"/>
    <col min="3839" max="3839" width="10.75" style="124" customWidth="1"/>
    <col min="3840" max="3840" width="14.375" style="124" customWidth="1"/>
    <col min="3841" max="3841" width="19.625" style="124" bestFit="1" customWidth="1"/>
    <col min="3842" max="3842" width="9.125" style="124"/>
    <col min="3843" max="3843" width="11.125" style="124" bestFit="1" customWidth="1"/>
    <col min="3844" max="3844" width="14.25" style="124" bestFit="1" customWidth="1"/>
    <col min="3845" max="4083" width="9.125" style="124"/>
    <col min="4084" max="4084" width="14.125" style="124" customWidth="1"/>
    <col min="4085" max="4085" width="15.125" style="124" bestFit="1" customWidth="1"/>
    <col min="4086" max="4086" width="9" style="124" bestFit="1" customWidth="1"/>
    <col min="4087" max="4087" width="9.125" style="124"/>
    <col min="4088" max="4088" width="15.375" style="124" bestFit="1" customWidth="1"/>
    <col min="4089" max="4089" width="12.375" style="124" customWidth="1"/>
    <col min="4090" max="4090" width="16.125" style="124" bestFit="1" customWidth="1"/>
    <col min="4091" max="4091" width="12.875" style="124" bestFit="1" customWidth="1"/>
    <col min="4092" max="4092" width="9.125" style="124"/>
    <col min="4093" max="4093" width="15.625" style="124" bestFit="1" customWidth="1"/>
    <col min="4094" max="4094" width="10.75" style="124" bestFit="1" customWidth="1"/>
    <col min="4095" max="4095" width="10.75" style="124" customWidth="1"/>
    <col min="4096" max="4096" width="14.375" style="124" customWidth="1"/>
    <col min="4097" max="4097" width="19.625" style="124" bestFit="1" customWidth="1"/>
    <col min="4098" max="4098" width="9.125" style="124"/>
    <col min="4099" max="4099" width="11.125" style="124" bestFit="1" customWidth="1"/>
    <col min="4100" max="4100" width="14.25" style="124" bestFit="1" customWidth="1"/>
    <col min="4101" max="4339" width="9.125" style="124"/>
    <col min="4340" max="4340" width="14.125" style="124" customWidth="1"/>
    <col min="4341" max="4341" width="15.125" style="124" bestFit="1" customWidth="1"/>
    <col min="4342" max="4342" width="9" style="124" bestFit="1" customWidth="1"/>
    <col min="4343" max="4343" width="9.125" style="124"/>
    <col min="4344" max="4344" width="15.375" style="124" bestFit="1" customWidth="1"/>
    <col min="4345" max="4345" width="12.375" style="124" customWidth="1"/>
    <col min="4346" max="4346" width="16.125" style="124" bestFit="1" customWidth="1"/>
    <col min="4347" max="4347" width="12.875" style="124" bestFit="1" customWidth="1"/>
    <col min="4348" max="4348" width="9.125" style="124"/>
    <col min="4349" max="4349" width="15.625" style="124" bestFit="1" customWidth="1"/>
    <col min="4350" max="4350" width="10.75" style="124" bestFit="1" customWidth="1"/>
    <col min="4351" max="4351" width="10.75" style="124" customWidth="1"/>
    <col min="4352" max="4352" width="14.375" style="124" customWidth="1"/>
    <col min="4353" max="4353" width="19.625" style="124" bestFit="1" customWidth="1"/>
    <col min="4354" max="4354" width="9.125" style="124"/>
    <col min="4355" max="4355" width="11.125" style="124" bestFit="1" customWidth="1"/>
    <col min="4356" max="4356" width="14.25" style="124" bestFit="1" customWidth="1"/>
    <col min="4357" max="4595" width="9.125" style="124"/>
    <col min="4596" max="4596" width="14.125" style="124" customWidth="1"/>
    <col min="4597" max="4597" width="15.125" style="124" bestFit="1" customWidth="1"/>
    <col min="4598" max="4598" width="9" style="124" bestFit="1" customWidth="1"/>
    <col min="4599" max="4599" width="9.125" style="124"/>
    <col min="4600" max="4600" width="15.375" style="124" bestFit="1" customWidth="1"/>
    <col min="4601" max="4601" width="12.375" style="124" customWidth="1"/>
    <col min="4602" max="4602" width="16.125" style="124" bestFit="1" customWidth="1"/>
    <col min="4603" max="4603" width="12.875" style="124" bestFit="1" customWidth="1"/>
    <col min="4604" max="4604" width="9.125" style="124"/>
    <col min="4605" max="4605" width="15.625" style="124" bestFit="1" customWidth="1"/>
    <col min="4606" max="4606" width="10.75" style="124" bestFit="1" customWidth="1"/>
    <col min="4607" max="4607" width="10.75" style="124" customWidth="1"/>
    <col min="4608" max="4608" width="14.375" style="124" customWidth="1"/>
    <col min="4609" max="4609" width="19.625" style="124" bestFit="1" customWidth="1"/>
    <col min="4610" max="4610" width="9.125" style="124"/>
    <col min="4611" max="4611" width="11.125" style="124" bestFit="1" customWidth="1"/>
    <col min="4612" max="4612" width="14.25" style="124" bestFit="1" customWidth="1"/>
    <col min="4613" max="4851" width="9.125" style="124"/>
    <col min="4852" max="4852" width="14.125" style="124" customWidth="1"/>
    <col min="4853" max="4853" width="15.125" style="124" bestFit="1" customWidth="1"/>
    <col min="4854" max="4854" width="9" style="124" bestFit="1" customWidth="1"/>
    <col min="4855" max="4855" width="9.125" style="124"/>
    <col min="4856" max="4856" width="15.375" style="124" bestFit="1" customWidth="1"/>
    <col min="4857" max="4857" width="12.375" style="124" customWidth="1"/>
    <col min="4858" max="4858" width="16.125" style="124" bestFit="1" customWidth="1"/>
    <col min="4859" max="4859" width="12.875" style="124" bestFit="1" customWidth="1"/>
    <col min="4860" max="4860" width="9.125" style="124"/>
    <col min="4861" max="4861" width="15.625" style="124" bestFit="1" customWidth="1"/>
    <col min="4862" max="4862" width="10.75" style="124" bestFit="1" customWidth="1"/>
    <col min="4863" max="4863" width="10.75" style="124" customWidth="1"/>
    <col min="4864" max="4864" width="14.375" style="124" customWidth="1"/>
    <col min="4865" max="4865" width="19.625" style="124" bestFit="1" customWidth="1"/>
    <col min="4866" max="4866" width="9.125" style="124"/>
    <col min="4867" max="4867" width="11.125" style="124" bestFit="1" customWidth="1"/>
    <col min="4868" max="4868" width="14.25" style="124" bestFit="1" customWidth="1"/>
    <col min="4869" max="5107" width="9.125" style="124"/>
    <col min="5108" max="5108" width="14.125" style="124" customWidth="1"/>
    <col min="5109" max="5109" width="15.125" style="124" bestFit="1" customWidth="1"/>
    <col min="5110" max="5110" width="9" style="124" bestFit="1" customWidth="1"/>
    <col min="5111" max="5111" width="9.125" style="124"/>
    <col min="5112" max="5112" width="15.375" style="124" bestFit="1" customWidth="1"/>
    <col min="5113" max="5113" width="12.375" style="124" customWidth="1"/>
    <col min="5114" max="5114" width="16.125" style="124" bestFit="1" customWidth="1"/>
    <col min="5115" max="5115" width="12.875" style="124" bestFit="1" customWidth="1"/>
    <col min="5116" max="5116" width="9.125" style="124"/>
    <col min="5117" max="5117" width="15.625" style="124" bestFit="1" customWidth="1"/>
    <col min="5118" max="5118" width="10.75" style="124" bestFit="1" customWidth="1"/>
    <col min="5119" max="5119" width="10.75" style="124" customWidth="1"/>
    <col min="5120" max="5120" width="14.375" style="124" customWidth="1"/>
    <col min="5121" max="5121" width="19.625" style="124" bestFit="1" customWidth="1"/>
    <col min="5122" max="5122" width="9.125" style="124"/>
    <col min="5123" max="5123" width="11.125" style="124" bestFit="1" customWidth="1"/>
    <col min="5124" max="5124" width="14.25" style="124" bestFit="1" customWidth="1"/>
    <col min="5125" max="5363" width="9.125" style="124"/>
    <col min="5364" max="5364" width="14.125" style="124" customWidth="1"/>
    <col min="5365" max="5365" width="15.125" style="124" bestFit="1" customWidth="1"/>
    <col min="5366" max="5366" width="9" style="124" bestFit="1" customWidth="1"/>
    <col min="5367" max="5367" width="9.125" style="124"/>
    <col min="5368" max="5368" width="15.375" style="124" bestFit="1" customWidth="1"/>
    <col min="5369" max="5369" width="12.375" style="124" customWidth="1"/>
    <col min="5370" max="5370" width="16.125" style="124" bestFit="1" customWidth="1"/>
    <col min="5371" max="5371" width="12.875" style="124" bestFit="1" customWidth="1"/>
    <col min="5372" max="5372" width="9.125" style="124"/>
    <col min="5373" max="5373" width="15.625" style="124" bestFit="1" customWidth="1"/>
    <col min="5374" max="5374" width="10.75" style="124" bestFit="1" customWidth="1"/>
    <col min="5375" max="5375" width="10.75" style="124" customWidth="1"/>
    <col min="5376" max="5376" width="14.375" style="124" customWidth="1"/>
    <col min="5377" max="5377" width="19.625" style="124" bestFit="1" customWidth="1"/>
    <col min="5378" max="5378" width="9.125" style="124"/>
    <col min="5379" max="5379" width="11.125" style="124" bestFit="1" customWidth="1"/>
    <col min="5380" max="5380" width="14.25" style="124" bestFit="1" customWidth="1"/>
    <col min="5381" max="5619" width="9.125" style="124"/>
    <col min="5620" max="5620" width="14.125" style="124" customWidth="1"/>
    <col min="5621" max="5621" width="15.125" style="124" bestFit="1" customWidth="1"/>
    <col min="5622" max="5622" width="9" style="124" bestFit="1" customWidth="1"/>
    <col min="5623" max="5623" width="9.125" style="124"/>
    <col min="5624" max="5624" width="15.375" style="124" bestFit="1" customWidth="1"/>
    <col min="5625" max="5625" width="12.375" style="124" customWidth="1"/>
    <col min="5626" max="5626" width="16.125" style="124" bestFit="1" customWidth="1"/>
    <col min="5627" max="5627" width="12.875" style="124" bestFit="1" customWidth="1"/>
    <col min="5628" max="5628" width="9.125" style="124"/>
    <col min="5629" max="5629" width="15.625" style="124" bestFit="1" customWidth="1"/>
    <col min="5630" max="5630" width="10.75" style="124" bestFit="1" customWidth="1"/>
    <col min="5631" max="5631" width="10.75" style="124" customWidth="1"/>
    <col min="5632" max="5632" width="14.375" style="124" customWidth="1"/>
    <col min="5633" max="5633" width="19.625" style="124" bestFit="1" customWidth="1"/>
    <col min="5634" max="5634" width="9.125" style="124"/>
    <col min="5635" max="5635" width="11.125" style="124" bestFit="1" customWidth="1"/>
    <col min="5636" max="5636" width="14.25" style="124" bestFit="1" customWidth="1"/>
    <col min="5637" max="5875" width="9.125" style="124"/>
    <col min="5876" max="5876" width="14.125" style="124" customWidth="1"/>
    <col min="5877" max="5877" width="15.125" style="124" bestFit="1" customWidth="1"/>
    <col min="5878" max="5878" width="9" style="124" bestFit="1" customWidth="1"/>
    <col min="5879" max="5879" width="9.125" style="124"/>
    <col min="5880" max="5880" width="15.375" style="124" bestFit="1" customWidth="1"/>
    <col min="5881" max="5881" width="12.375" style="124" customWidth="1"/>
    <col min="5882" max="5882" width="16.125" style="124" bestFit="1" customWidth="1"/>
    <col min="5883" max="5883" width="12.875" style="124" bestFit="1" customWidth="1"/>
    <col min="5884" max="5884" width="9.125" style="124"/>
    <col min="5885" max="5885" width="15.625" style="124" bestFit="1" customWidth="1"/>
    <col min="5886" max="5886" width="10.75" style="124" bestFit="1" customWidth="1"/>
    <col min="5887" max="5887" width="10.75" style="124" customWidth="1"/>
    <col min="5888" max="5888" width="14.375" style="124" customWidth="1"/>
    <col min="5889" max="5889" width="19.625" style="124" bestFit="1" customWidth="1"/>
    <col min="5890" max="5890" width="9.125" style="124"/>
    <col min="5891" max="5891" width="11.125" style="124" bestFit="1" customWidth="1"/>
    <col min="5892" max="5892" width="14.25" style="124" bestFit="1" customWidth="1"/>
    <col min="5893" max="6131" width="9.125" style="124"/>
    <col min="6132" max="6132" width="14.125" style="124" customWidth="1"/>
    <col min="6133" max="6133" width="15.125" style="124" bestFit="1" customWidth="1"/>
    <col min="6134" max="6134" width="9" style="124" bestFit="1" customWidth="1"/>
    <col min="6135" max="6135" width="9.125" style="124"/>
    <col min="6136" max="6136" width="15.375" style="124" bestFit="1" customWidth="1"/>
    <col min="6137" max="6137" width="12.375" style="124" customWidth="1"/>
    <col min="6138" max="6138" width="16.125" style="124" bestFit="1" customWidth="1"/>
    <col min="6139" max="6139" width="12.875" style="124" bestFit="1" customWidth="1"/>
    <col min="6140" max="6140" width="9.125" style="124"/>
    <col min="6141" max="6141" width="15.625" style="124" bestFit="1" customWidth="1"/>
    <col min="6142" max="6142" width="10.75" style="124" bestFit="1" customWidth="1"/>
    <col min="6143" max="6143" width="10.75" style="124" customWidth="1"/>
    <col min="6144" max="6144" width="14.375" style="124" customWidth="1"/>
    <col min="6145" max="6145" width="19.625" style="124" bestFit="1" customWidth="1"/>
    <col min="6146" max="6146" width="9.125" style="124"/>
    <col min="6147" max="6147" width="11.125" style="124" bestFit="1" customWidth="1"/>
    <col min="6148" max="6148" width="14.25" style="124" bestFit="1" customWidth="1"/>
    <col min="6149" max="6387" width="9.125" style="124"/>
    <col min="6388" max="6388" width="14.125" style="124" customWidth="1"/>
    <col min="6389" max="6389" width="15.125" style="124" bestFit="1" customWidth="1"/>
    <col min="6390" max="6390" width="9" style="124" bestFit="1" customWidth="1"/>
    <col min="6391" max="6391" width="9.125" style="124"/>
    <col min="6392" max="6392" width="15.375" style="124" bestFit="1" customWidth="1"/>
    <col min="6393" max="6393" width="12.375" style="124" customWidth="1"/>
    <col min="6394" max="6394" width="16.125" style="124" bestFit="1" customWidth="1"/>
    <col min="6395" max="6395" width="12.875" style="124" bestFit="1" customWidth="1"/>
    <col min="6396" max="6396" width="9.125" style="124"/>
    <col min="6397" max="6397" width="15.625" style="124" bestFit="1" customWidth="1"/>
    <col min="6398" max="6398" width="10.75" style="124" bestFit="1" customWidth="1"/>
    <col min="6399" max="6399" width="10.75" style="124" customWidth="1"/>
    <col min="6400" max="6400" width="14.375" style="124" customWidth="1"/>
    <col min="6401" max="6401" width="19.625" style="124" bestFit="1" customWidth="1"/>
    <col min="6402" max="6402" width="9.125" style="124"/>
    <col min="6403" max="6403" width="11.125" style="124" bestFit="1" customWidth="1"/>
    <col min="6404" max="6404" width="14.25" style="124" bestFit="1" customWidth="1"/>
    <col min="6405" max="6643" width="9.125" style="124"/>
    <col min="6644" max="6644" width="14.125" style="124" customWidth="1"/>
    <col min="6645" max="6645" width="15.125" style="124" bestFit="1" customWidth="1"/>
    <col min="6646" max="6646" width="9" style="124" bestFit="1" customWidth="1"/>
    <col min="6647" max="6647" width="9.125" style="124"/>
    <col min="6648" max="6648" width="15.375" style="124" bestFit="1" customWidth="1"/>
    <col min="6649" max="6649" width="12.375" style="124" customWidth="1"/>
    <col min="6650" max="6650" width="16.125" style="124" bestFit="1" customWidth="1"/>
    <col min="6651" max="6651" width="12.875" style="124" bestFit="1" customWidth="1"/>
    <col min="6652" max="6652" width="9.125" style="124"/>
    <col min="6653" max="6653" width="15.625" style="124" bestFit="1" customWidth="1"/>
    <col min="6654" max="6654" width="10.75" style="124" bestFit="1" customWidth="1"/>
    <col min="6655" max="6655" width="10.75" style="124" customWidth="1"/>
    <col min="6656" max="6656" width="14.375" style="124" customWidth="1"/>
    <col min="6657" max="6657" width="19.625" style="124" bestFit="1" customWidth="1"/>
    <col min="6658" max="6658" width="9.125" style="124"/>
    <col min="6659" max="6659" width="11.125" style="124" bestFit="1" customWidth="1"/>
    <col min="6660" max="6660" width="14.25" style="124" bestFit="1" customWidth="1"/>
    <col min="6661" max="6899" width="9.125" style="124"/>
    <col min="6900" max="6900" width="14.125" style="124" customWidth="1"/>
    <col min="6901" max="6901" width="15.125" style="124" bestFit="1" customWidth="1"/>
    <col min="6902" max="6902" width="9" style="124" bestFit="1" customWidth="1"/>
    <col min="6903" max="6903" width="9.125" style="124"/>
    <col min="6904" max="6904" width="15.375" style="124" bestFit="1" customWidth="1"/>
    <col min="6905" max="6905" width="12.375" style="124" customWidth="1"/>
    <col min="6906" max="6906" width="16.125" style="124" bestFit="1" customWidth="1"/>
    <col min="6907" max="6907" width="12.875" style="124" bestFit="1" customWidth="1"/>
    <col min="6908" max="6908" width="9.125" style="124"/>
    <col min="6909" max="6909" width="15.625" style="124" bestFit="1" customWidth="1"/>
    <col min="6910" max="6910" width="10.75" style="124" bestFit="1" customWidth="1"/>
    <col min="6911" max="6911" width="10.75" style="124" customWidth="1"/>
    <col min="6912" max="6912" width="14.375" style="124" customWidth="1"/>
    <col min="6913" max="6913" width="19.625" style="124" bestFit="1" customWidth="1"/>
    <col min="6914" max="6914" width="9.125" style="124"/>
    <col min="6915" max="6915" width="11.125" style="124" bestFit="1" customWidth="1"/>
    <col min="6916" max="6916" width="14.25" style="124" bestFit="1" customWidth="1"/>
    <col min="6917" max="7155" width="9.125" style="124"/>
    <col min="7156" max="7156" width="14.125" style="124" customWidth="1"/>
    <col min="7157" max="7157" width="15.125" style="124" bestFit="1" customWidth="1"/>
    <col min="7158" max="7158" width="9" style="124" bestFit="1" customWidth="1"/>
    <col min="7159" max="7159" width="9.125" style="124"/>
    <col min="7160" max="7160" width="15.375" style="124" bestFit="1" customWidth="1"/>
    <col min="7161" max="7161" width="12.375" style="124" customWidth="1"/>
    <col min="7162" max="7162" width="16.125" style="124" bestFit="1" customWidth="1"/>
    <col min="7163" max="7163" width="12.875" style="124" bestFit="1" customWidth="1"/>
    <col min="7164" max="7164" width="9.125" style="124"/>
    <col min="7165" max="7165" width="15.625" style="124" bestFit="1" customWidth="1"/>
    <col min="7166" max="7166" width="10.75" style="124" bestFit="1" customWidth="1"/>
    <col min="7167" max="7167" width="10.75" style="124" customWidth="1"/>
    <col min="7168" max="7168" width="14.375" style="124" customWidth="1"/>
    <col min="7169" max="7169" width="19.625" style="124" bestFit="1" customWidth="1"/>
    <col min="7170" max="7170" width="9.125" style="124"/>
    <col min="7171" max="7171" width="11.125" style="124" bestFit="1" customWidth="1"/>
    <col min="7172" max="7172" width="14.25" style="124" bestFit="1" customWidth="1"/>
    <col min="7173" max="7411" width="9.125" style="124"/>
    <col min="7412" max="7412" width="14.125" style="124" customWidth="1"/>
    <col min="7413" max="7413" width="15.125" style="124" bestFit="1" customWidth="1"/>
    <col min="7414" max="7414" width="9" style="124" bestFit="1" customWidth="1"/>
    <col min="7415" max="7415" width="9.125" style="124"/>
    <col min="7416" max="7416" width="15.375" style="124" bestFit="1" customWidth="1"/>
    <col min="7417" max="7417" width="12.375" style="124" customWidth="1"/>
    <col min="7418" max="7418" width="16.125" style="124" bestFit="1" customWidth="1"/>
    <col min="7419" max="7419" width="12.875" style="124" bestFit="1" customWidth="1"/>
    <col min="7420" max="7420" width="9.125" style="124"/>
    <col min="7421" max="7421" width="15.625" style="124" bestFit="1" customWidth="1"/>
    <col min="7422" max="7422" width="10.75" style="124" bestFit="1" customWidth="1"/>
    <col min="7423" max="7423" width="10.75" style="124" customWidth="1"/>
    <col min="7424" max="7424" width="14.375" style="124" customWidth="1"/>
    <col min="7425" max="7425" width="19.625" style="124" bestFit="1" customWidth="1"/>
    <col min="7426" max="7426" width="9.125" style="124"/>
    <col min="7427" max="7427" width="11.125" style="124" bestFit="1" customWidth="1"/>
    <col min="7428" max="7428" width="14.25" style="124" bestFit="1" customWidth="1"/>
    <col min="7429" max="7667" width="9.125" style="124"/>
    <col min="7668" max="7668" width="14.125" style="124" customWidth="1"/>
    <col min="7669" max="7669" width="15.125" style="124" bestFit="1" customWidth="1"/>
    <col min="7670" max="7670" width="9" style="124" bestFit="1" customWidth="1"/>
    <col min="7671" max="7671" width="9.125" style="124"/>
    <col min="7672" max="7672" width="15.375" style="124" bestFit="1" customWidth="1"/>
    <col min="7673" max="7673" width="12.375" style="124" customWidth="1"/>
    <col min="7674" max="7674" width="16.125" style="124" bestFit="1" customWidth="1"/>
    <col min="7675" max="7675" width="12.875" style="124" bestFit="1" customWidth="1"/>
    <col min="7676" max="7676" width="9.125" style="124"/>
    <col min="7677" max="7677" width="15.625" style="124" bestFit="1" customWidth="1"/>
    <col min="7678" max="7678" width="10.75" style="124" bestFit="1" customWidth="1"/>
    <col min="7679" max="7679" width="10.75" style="124" customWidth="1"/>
    <col min="7680" max="7680" width="14.375" style="124" customWidth="1"/>
    <col min="7681" max="7681" width="19.625" style="124" bestFit="1" customWidth="1"/>
    <col min="7682" max="7682" width="9.125" style="124"/>
    <col min="7683" max="7683" width="11.125" style="124" bestFit="1" customWidth="1"/>
    <col min="7684" max="7684" width="14.25" style="124" bestFit="1" customWidth="1"/>
    <col min="7685" max="7923" width="9.125" style="124"/>
    <col min="7924" max="7924" width="14.125" style="124" customWidth="1"/>
    <col min="7925" max="7925" width="15.125" style="124" bestFit="1" customWidth="1"/>
    <col min="7926" max="7926" width="9" style="124" bestFit="1" customWidth="1"/>
    <col min="7927" max="7927" width="9.125" style="124"/>
    <col min="7928" max="7928" width="15.375" style="124" bestFit="1" customWidth="1"/>
    <col min="7929" max="7929" width="12.375" style="124" customWidth="1"/>
    <col min="7930" max="7930" width="16.125" style="124" bestFit="1" customWidth="1"/>
    <col min="7931" max="7931" width="12.875" style="124" bestFit="1" customWidth="1"/>
    <col min="7932" max="7932" width="9.125" style="124"/>
    <col min="7933" max="7933" width="15.625" style="124" bestFit="1" customWidth="1"/>
    <col min="7934" max="7934" width="10.75" style="124" bestFit="1" customWidth="1"/>
    <col min="7935" max="7935" width="10.75" style="124" customWidth="1"/>
    <col min="7936" max="7936" width="14.375" style="124" customWidth="1"/>
    <col min="7937" max="7937" width="19.625" style="124" bestFit="1" customWidth="1"/>
    <col min="7938" max="7938" width="9.125" style="124"/>
    <col min="7939" max="7939" width="11.125" style="124" bestFit="1" customWidth="1"/>
    <col min="7940" max="7940" width="14.25" style="124" bestFit="1" customWidth="1"/>
    <col min="7941" max="8179" width="9.125" style="124"/>
    <col min="8180" max="8180" width="14.125" style="124" customWidth="1"/>
    <col min="8181" max="8181" width="15.125" style="124" bestFit="1" customWidth="1"/>
    <col min="8182" max="8182" width="9" style="124" bestFit="1" customWidth="1"/>
    <col min="8183" max="8183" width="9.125" style="124"/>
    <col min="8184" max="8184" width="15.375" style="124" bestFit="1" customWidth="1"/>
    <col min="8185" max="8185" width="12.375" style="124" customWidth="1"/>
    <col min="8186" max="8186" width="16.125" style="124" bestFit="1" customWidth="1"/>
    <col min="8187" max="8187" width="12.875" style="124" bestFit="1" customWidth="1"/>
    <col min="8188" max="8188" width="9.125" style="124"/>
    <col min="8189" max="8189" width="15.625" style="124" bestFit="1" customWidth="1"/>
    <col min="8190" max="8190" width="10.75" style="124" bestFit="1" customWidth="1"/>
    <col min="8191" max="8191" width="10.75" style="124" customWidth="1"/>
    <col min="8192" max="8192" width="14.375" style="124" customWidth="1"/>
    <col min="8193" max="8193" width="19.625" style="124" bestFit="1" customWidth="1"/>
    <col min="8194" max="8194" width="9.125" style="124"/>
    <col min="8195" max="8195" width="11.125" style="124" bestFit="1" customWidth="1"/>
    <col min="8196" max="8196" width="14.25" style="124" bestFit="1" customWidth="1"/>
    <col min="8197" max="8435" width="9.125" style="124"/>
    <col min="8436" max="8436" width="14.125" style="124" customWidth="1"/>
    <col min="8437" max="8437" width="15.125" style="124" bestFit="1" customWidth="1"/>
    <col min="8438" max="8438" width="9" style="124" bestFit="1" customWidth="1"/>
    <col min="8439" max="8439" width="9.125" style="124"/>
    <col min="8440" max="8440" width="15.375" style="124" bestFit="1" customWidth="1"/>
    <col min="8441" max="8441" width="12.375" style="124" customWidth="1"/>
    <col min="8442" max="8442" width="16.125" style="124" bestFit="1" customWidth="1"/>
    <col min="8443" max="8443" width="12.875" style="124" bestFit="1" customWidth="1"/>
    <col min="8444" max="8444" width="9.125" style="124"/>
    <col min="8445" max="8445" width="15.625" style="124" bestFit="1" customWidth="1"/>
    <col min="8446" max="8446" width="10.75" style="124" bestFit="1" customWidth="1"/>
    <col min="8447" max="8447" width="10.75" style="124" customWidth="1"/>
    <col min="8448" max="8448" width="14.375" style="124" customWidth="1"/>
    <col min="8449" max="8449" width="19.625" style="124" bestFit="1" customWidth="1"/>
    <col min="8450" max="8450" width="9.125" style="124"/>
    <col min="8451" max="8451" width="11.125" style="124" bestFit="1" customWidth="1"/>
    <col min="8452" max="8452" width="14.25" style="124" bestFit="1" customWidth="1"/>
    <col min="8453" max="8691" width="9.125" style="124"/>
    <col min="8692" max="8692" width="14.125" style="124" customWidth="1"/>
    <col min="8693" max="8693" width="15.125" style="124" bestFit="1" customWidth="1"/>
    <col min="8694" max="8694" width="9" style="124" bestFit="1" customWidth="1"/>
    <col min="8695" max="8695" width="9.125" style="124"/>
    <col min="8696" max="8696" width="15.375" style="124" bestFit="1" customWidth="1"/>
    <col min="8697" max="8697" width="12.375" style="124" customWidth="1"/>
    <col min="8698" max="8698" width="16.125" style="124" bestFit="1" customWidth="1"/>
    <col min="8699" max="8699" width="12.875" style="124" bestFit="1" customWidth="1"/>
    <col min="8700" max="8700" width="9.125" style="124"/>
    <col min="8701" max="8701" width="15.625" style="124" bestFit="1" customWidth="1"/>
    <col min="8702" max="8702" width="10.75" style="124" bestFit="1" customWidth="1"/>
    <col min="8703" max="8703" width="10.75" style="124" customWidth="1"/>
    <col min="8704" max="8704" width="14.375" style="124" customWidth="1"/>
    <col min="8705" max="8705" width="19.625" style="124" bestFit="1" customWidth="1"/>
    <col min="8706" max="8706" width="9.125" style="124"/>
    <col min="8707" max="8707" width="11.125" style="124" bestFit="1" customWidth="1"/>
    <col min="8708" max="8708" width="14.25" style="124" bestFit="1" customWidth="1"/>
    <col min="8709" max="8947" width="9.125" style="124"/>
    <col min="8948" max="8948" width="14.125" style="124" customWidth="1"/>
    <col min="8949" max="8949" width="15.125" style="124" bestFit="1" customWidth="1"/>
    <col min="8950" max="8950" width="9" style="124" bestFit="1" customWidth="1"/>
    <col min="8951" max="8951" width="9.125" style="124"/>
    <col min="8952" max="8952" width="15.375" style="124" bestFit="1" customWidth="1"/>
    <col min="8953" max="8953" width="12.375" style="124" customWidth="1"/>
    <col min="8954" max="8954" width="16.125" style="124" bestFit="1" customWidth="1"/>
    <col min="8955" max="8955" width="12.875" style="124" bestFit="1" customWidth="1"/>
    <col min="8956" max="8956" width="9.125" style="124"/>
    <col min="8957" max="8957" width="15.625" style="124" bestFit="1" customWidth="1"/>
    <col min="8958" max="8958" width="10.75" style="124" bestFit="1" customWidth="1"/>
    <col min="8959" max="8959" width="10.75" style="124" customWidth="1"/>
    <col min="8960" max="8960" width="14.375" style="124" customWidth="1"/>
    <col min="8961" max="8961" width="19.625" style="124" bestFit="1" customWidth="1"/>
    <col min="8962" max="8962" width="9.125" style="124"/>
    <col min="8963" max="8963" width="11.125" style="124" bestFit="1" customWidth="1"/>
    <col min="8964" max="8964" width="14.25" style="124" bestFit="1" customWidth="1"/>
    <col min="8965" max="9203" width="9.125" style="124"/>
    <col min="9204" max="9204" width="14.125" style="124" customWidth="1"/>
    <col min="9205" max="9205" width="15.125" style="124" bestFit="1" customWidth="1"/>
    <col min="9206" max="9206" width="9" style="124" bestFit="1" customWidth="1"/>
    <col min="9207" max="9207" width="9.125" style="124"/>
    <col min="9208" max="9208" width="15.375" style="124" bestFit="1" customWidth="1"/>
    <col min="9209" max="9209" width="12.375" style="124" customWidth="1"/>
    <col min="9210" max="9210" width="16.125" style="124" bestFit="1" customWidth="1"/>
    <col min="9211" max="9211" width="12.875" style="124" bestFit="1" customWidth="1"/>
    <col min="9212" max="9212" width="9.125" style="124"/>
    <col min="9213" max="9213" width="15.625" style="124" bestFit="1" customWidth="1"/>
    <col min="9214" max="9214" width="10.75" style="124" bestFit="1" customWidth="1"/>
    <col min="9215" max="9215" width="10.75" style="124" customWidth="1"/>
    <col min="9216" max="9216" width="14.375" style="124" customWidth="1"/>
    <col min="9217" max="9217" width="19.625" style="124" bestFit="1" customWidth="1"/>
    <col min="9218" max="9218" width="9.125" style="124"/>
    <col min="9219" max="9219" width="11.125" style="124" bestFit="1" customWidth="1"/>
    <col min="9220" max="9220" width="14.25" style="124" bestFit="1" customWidth="1"/>
    <col min="9221" max="9459" width="9.125" style="124"/>
    <col min="9460" max="9460" width="14.125" style="124" customWidth="1"/>
    <col min="9461" max="9461" width="15.125" style="124" bestFit="1" customWidth="1"/>
    <col min="9462" max="9462" width="9" style="124" bestFit="1" customWidth="1"/>
    <col min="9463" max="9463" width="9.125" style="124"/>
    <col min="9464" max="9464" width="15.375" style="124" bestFit="1" customWidth="1"/>
    <col min="9465" max="9465" width="12.375" style="124" customWidth="1"/>
    <col min="9466" max="9466" width="16.125" style="124" bestFit="1" customWidth="1"/>
    <col min="9467" max="9467" width="12.875" style="124" bestFit="1" customWidth="1"/>
    <col min="9468" max="9468" width="9.125" style="124"/>
    <col min="9469" max="9469" width="15.625" style="124" bestFit="1" customWidth="1"/>
    <col min="9470" max="9470" width="10.75" style="124" bestFit="1" customWidth="1"/>
    <col min="9471" max="9471" width="10.75" style="124" customWidth="1"/>
    <col min="9472" max="9472" width="14.375" style="124" customWidth="1"/>
    <col min="9473" max="9473" width="19.625" style="124" bestFit="1" customWidth="1"/>
    <col min="9474" max="9474" width="9.125" style="124"/>
    <col min="9475" max="9475" width="11.125" style="124" bestFit="1" customWidth="1"/>
    <col min="9476" max="9476" width="14.25" style="124" bestFit="1" customWidth="1"/>
    <col min="9477" max="9715" width="9.125" style="124"/>
    <col min="9716" max="9716" width="14.125" style="124" customWidth="1"/>
    <col min="9717" max="9717" width="15.125" style="124" bestFit="1" customWidth="1"/>
    <col min="9718" max="9718" width="9" style="124" bestFit="1" customWidth="1"/>
    <col min="9719" max="9719" width="9.125" style="124"/>
    <col min="9720" max="9720" width="15.375" style="124" bestFit="1" customWidth="1"/>
    <col min="9721" max="9721" width="12.375" style="124" customWidth="1"/>
    <col min="9722" max="9722" width="16.125" style="124" bestFit="1" customWidth="1"/>
    <col min="9723" max="9723" width="12.875" style="124" bestFit="1" customWidth="1"/>
    <col min="9724" max="9724" width="9.125" style="124"/>
    <col min="9725" max="9725" width="15.625" style="124" bestFit="1" customWidth="1"/>
    <col min="9726" max="9726" width="10.75" style="124" bestFit="1" customWidth="1"/>
    <col min="9727" max="9727" width="10.75" style="124" customWidth="1"/>
    <col min="9728" max="9728" width="14.375" style="124" customWidth="1"/>
    <col min="9729" max="9729" width="19.625" style="124" bestFit="1" customWidth="1"/>
    <col min="9730" max="9730" width="9.125" style="124"/>
    <col min="9731" max="9731" width="11.125" style="124" bestFit="1" customWidth="1"/>
    <col min="9732" max="9732" width="14.25" style="124" bestFit="1" customWidth="1"/>
    <col min="9733" max="9971" width="9.125" style="124"/>
    <col min="9972" max="9972" width="14.125" style="124" customWidth="1"/>
    <col min="9973" max="9973" width="15.125" style="124" bestFit="1" customWidth="1"/>
    <col min="9974" max="9974" width="9" style="124" bestFit="1" customWidth="1"/>
    <col min="9975" max="9975" width="9.125" style="124"/>
    <col min="9976" max="9976" width="15.375" style="124" bestFit="1" customWidth="1"/>
    <col min="9977" max="9977" width="12.375" style="124" customWidth="1"/>
    <col min="9978" max="9978" width="16.125" style="124" bestFit="1" customWidth="1"/>
    <col min="9979" max="9979" width="12.875" style="124" bestFit="1" customWidth="1"/>
    <col min="9980" max="9980" width="9.125" style="124"/>
    <col min="9981" max="9981" width="15.625" style="124" bestFit="1" customWidth="1"/>
    <col min="9982" max="9982" width="10.75" style="124" bestFit="1" customWidth="1"/>
    <col min="9983" max="9983" width="10.75" style="124" customWidth="1"/>
    <col min="9984" max="9984" width="14.375" style="124" customWidth="1"/>
    <col min="9985" max="9985" width="19.625" style="124" bestFit="1" customWidth="1"/>
    <col min="9986" max="9986" width="9.125" style="124"/>
    <col min="9987" max="9987" width="11.125" style="124" bestFit="1" customWidth="1"/>
    <col min="9988" max="9988" width="14.25" style="124" bestFit="1" customWidth="1"/>
    <col min="9989" max="10227" width="9.125" style="124"/>
    <col min="10228" max="10228" width="14.125" style="124" customWidth="1"/>
    <col min="10229" max="10229" width="15.125" style="124" bestFit="1" customWidth="1"/>
    <col min="10230" max="10230" width="9" style="124" bestFit="1" customWidth="1"/>
    <col min="10231" max="10231" width="9.125" style="124"/>
    <col min="10232" max="10232" width="15.375" style="124" bestFit="1" customWidth="1"/>
    <col min="10233" max="10233" width="12.375" style="124" customWidth="1"/>
    <col min="10234" max="10234" width="16.125" style="124" bestFit="1" customWidth="1"/>
    <col min="10235" max="10235" width="12.875" style="124" bestFit="1" customWidth="1"/>
    <col min="10236" max="10236" width="9.125" style="124"/>
    <col min="10237" max="10237" width="15.625" style="124" bestFit="1" customWidth="1"/>
    <col min="10238" max="10238" width="10.75" style="124" bestFit="1" customWidth="1"/>
    <col min="10239" max="10239" width="10.75" style="124" customWidth="1"/>
    <col min="10240" max="10240" width="14.375" style="124" customWidth="1"/>
    <col min="10241" max="10241" width="19.625" style="124" bestFit="1" customWidth="1"/>
    <col min="10242" max="10242" width="9.125" style="124"/>
    <col min="10243" max="10243" width="11.125" style="124" bestFit="1" customWidth="1"/>
    <col min="10244" max="10244" width="14.25" style="124" bestFit="1" customWidth="1"/>
    <col min="10245" max="10483" width="9.125" style="124"/>
    <col min="10484" max="10484" width="14.125" style="124" customWidth="1"/>
    <col min="10485" max="10485" width="15.125" style="124" bestFit="1" customWidth="1"/>
    <col min="10486" max="10486" width="9" style="124" bestFit="1" customWidth="1"/>
    <col min="10487" max="10487" width="9.125" style="124"/>
    <col min="10488" max="10488" width="15.375" style="124" bestFit="1" customWidth="1"/>
    <col min="10489" max="10489" width="12.375" style="124" customWidth="1"/>
    <col min="10490" max="10490" width="16.125" style="124" bestFit="1" customWidth="1"/>
    <col min="10491" max="10491" width="12.875" style="124" bestFit="1" customWidth="1"/>
    <col min="10492" max="10492" width="9.125" style="124"/>
    <col min="10493" max="10493" width="15.625" style="124" bestFit="1" customWidth="1"/>
    <col min="10494" max="10494" width="10.75" style="124" bestFit="1" customWidth="1"/>
    <col min="10495" max="10495" width="10.75" style="124" customWidth="1"/>
    <col min="10496" max="10496" width="14.375" style="124" customWidth="1"/>
    <col min="10497" max="10497" width="19.625" style="124" bestFit="1" customWidth="1"/>
    <col min="10498" max="10498" width="9.125" style="124"/>
    <col min="10499" max="10499" width="11.125" style="124" bestFit="1" customWidth="1"/>
    <col min="10500" max="10500" width="14.25" style="124" bestFit="1" customWidth="1"/>
    <col min="10501" max="10739" width="9.125" style="124"/>
    <col min="10740" max="10740" width="14.125" style="124" customWidth="1"/>
    <col min="10741" max="10741" width="15.125" style="124" bestFit="1" customWidth="1"/>
    <col min="10742" max="10742" width="9" style="124" bestFit="1" customWidth="1"/>
    <col min="10743" max="10743" width="9.125" style="124"/>
    <col min="10744" max="10744" width="15.375" style="124" bestFit="1" customWidth="1"/>
    <col min="10745" max="10745" width="12.375" style="124" customWidth="1"/>
    <col min="10746" max="10746" width="16.125" style="124" bestFit="1" customWidth="1"/>
    <col min="10747" max="10747" width="12.875" style="124" bestFit="1" customWidth="1"/>
    <col min="10748" max="10748" width="9.125" style="124"/>
    <col min="10749" max="10749" width="15.625" style="124" bestFit="1" customWidth="1"/>
    <col min="10750" max="10750" width="10.75" style="124" bestFit="1" customWidth="1"/>
    <col min="10751" max="10751" width="10.75" style="124" customWidth="1"/>
    <col min="10752" max="10752" width="14.375" style="124" customWidth="1"/>
    <col min="10753" max="10753" width="19.625" style="124" bestFit="1" customWidth="1"/>
    <col min="10754" max="10754" width="9.125" style="124"/>
    <col min="10755" max="10755" width="11.125" style="124" bestFit="1" customWidth="1"/>
    <col min="10756" max="10756" width="14.25" style="124" bestFit="1" customWidth="1"/>
    <col min="10757" max="10995" width="9.125" style="124"/>
    <col min="10996" max="10996" width="14.125" style="124" customWidth="1"/>
    <col min="10997" max="10997" width="15.125" style="124" bestFit="1" customWidth="1"/>
    <col min="10998" max="10998" width="9" style="124" bestFit="1" customWidth="1"/>
    <col min="10999" max="10999" width="9.125" style="124"/>
    <col min="11000" max="11000" width="15.375" style="124" bestFit="1" customWidth="1"/>
    <col min="11001" max="11001" width="12.375" style="124" customWidth="1"/>
    <col min="11002" max="11002" width="16.125" style="124" bestFit="1" customWidth="1"/>
    <col min="11003" max="11003" width="12.875" style="124" bestFit="1" customWidth="1"/>
    <col min="11004" max="11004" width="9.125" style="124"/>
    <col min="11005" max="11005" width="15.625" style="124" bestFit="1" customWidth="1"/>
    <col min="11006" max="11006" width="10.75" style="124" bestFit="1" customWidth="1"/>
    <col min="11007" max="11007" width="10.75" style="124" customWidth="1"/>
    <col min="11008" max="11008" width="14.375" style="124" customWidth="1"/>
    <col min="11009" max="11009" width="19.625" style="124" bestFit="1" customWidth="1"/>
    <col min="11010" max="11010" width="9.125" style="124"/>
    <col min="11011" max="11011" width="11.125" style="124" bestFit="1" customWidth="1"/>
    <col min="11012" max="11012" width="14.25" style="124" bestFit="1" customWidth="1"/>
    <col min="11013" max="11251" width="9.125" style="124"/>
    <col min="11252" max="11252" width="14.125" style="124" customWidth="1"/>
    <col min="11253" max="11253" width="15.125" style="124" bestFit="1" customWidth="1"/>
    <col min="11254" max="11254" width="9" style="124" bestFit="1" customWidth="1"/>
    <col min="11255" max="11255" width="9.125" style="124"/>
    <col min="11256" max="11256" width="15.375" style="124" bestFit="1" customWidth="1"/>
    <col min="11257" max="11257" width="12.375" style="124" customWidth="1"/>
    <col min="11258" max="11258" width="16.125" style="124" bestFit="1" customWidth="1"/>
    <col min="11259" max="11259" width="12.875" style="124" bestFit="1" customWidth="1"/>
    <col min="11260" max="11260" width="9.125" style="124"/>
    <col min="11261" max="11261" width="15.625" style="124" bestFit="1" customWidth="1"/>
    <col min="11262" max="11262" width="10.75" style="124" bestFit="1" customWidth="1"/>
    <col min="11263" max="11263" width="10.75" style="124" customWidth="1"/>
    <col min="11264" max="11264" width="14.375" style="124" customWidth="1"/>
    <col min="11265" max="11265" width="19.625" style="124" bestFit="1" customWidth="1"/>
    <col min="11266" max="11266" width="9.125" style="124"/>
    <col min="11267" max="11267" width="11.125" style="124" bestFit="1" customWidth="1"/>
    <col min="11268" max="11268" width="14.25" style="124" bestFit="1" customWidth="1"/>
    <col min="11269" max="11507" width="9.125" style="124"/>
    <col min="11508" max="11508" width="14.125" style="124" customWidth="1"/>
    <col min="11509" max="11509" width="15.125" style="124" bestFit="1" customWidth="1"/>
    <col min="11510" max="11510" width="9" style="124" bestFit="1" customWidth="1"/>
    <col min="11511" max="11511" width="9.125" style="124"/>
    <col min="11512" max="11512" width="15.375" style="124" bestFit="1" customWidth="1"/>
    <col min="11513" max="11513" width="12.375" style="124" customWidth="1"/>
    <col min="11514" max="11514" width="16.125" style="124" bestFit="1" customWidth="1"/>
    <col min="11515" max="11515" width="12.875" style="124" bestFit="1" customWidth="1"/>
    <col min="11516" max="11516" width="9.125" style="124"/>
    <col min="11517" max="11517" width="15.625" style="124" bestFit="1" customWidth="1"/>
    <col min="11518" max="11518" width="10.75" style="124" bestFit="1" customWidth="1"/>
    <col min="11519" max="11519" width="10.75" style="124" customWidth="1"/>
    <col min="11520" max="11520" width="14.375" style="124" customWidth="1"/>
    <col min="11521" max="11521" width="19.625" style="124" bestFit="1" customWidth="1"/>
    <col min="11522" max="11522" width="9.125" style="124"/>
    <col min="11523" max="11523" width="11.125" style="124" bestFit="1" customWidth="1"/>
    <col min="11524" max="11524" width="14.25" style="124" bestFit="1" customWidth="1"/>
    <col min="11525" max="11763" width="9.125" style="124"/>
    <col min="11764" max="11764" width="14.125" style="124" customWidth="1"/>
    <col min="11765" max="11765" width="15.125" style="124" bestFit="1" customWidth="1"/>
    <col min="11766" max="11766" width="9" style="124" bestFit="1" customWidth="1"/>
    <col min="11767" max="11767" width="9.125" style="124"/>
    <col min="11768" max="11768" width="15.375" style="124" bestFit="1" customWidth="1"/>
    <col min="11769" max="11769" width="12.375" style="124" customWidth="1"/>
    <col min="11770" max="11770" width="16.125" style="124" bestFit="1" customWidth="1"/>
    <col min="11771" max="11771" width="12.875" style="124" bestFit="1" customWidth="1"/>
    <col min="11772" max="11772" width="9.125" style="124"/>
    <col min="11773" max="11773" width="15.625" style="124" bestFit="1" customWidth="1"/>
    <col min="11774" max="11774" width="10.75" style="124" bestFit="1" customWidth="1"/>
    <col min="11775" max="11775" width="10.75" style="124" customWidth="1"/>
    <col min="11776" max="11776" width="14.375" style="124" customWidth="1"/>
    <col min="11777" max="11777" width="19.625" style="124" bestFit="1" customWidth="1"/>
    <col min="11778" max="11778" width="9.125" style="124"/>
    <col min="11779" max="11779" width="11.125" style="124" bestFit="1" customWidth="1"/>
    <col min="11780" max="11780" width="14.25" style="124" bestFit="1" customWidth="1"/>
    <col min="11781" max="12019" width="9.125" style="124"/>
    <col min="12020" max="12020" width="14.125" style="124" customWidth="1"/>
    <col min="12021" max="12021" width="15.125" style="124" bestFit="1" customWidth="1"/>
    <col min="12022" max="12022" width="9" style="124" bestFit="1" customWidth="1"/>
    <col min="12023" max="12023" width="9.125" style="124"/>
    <col min="12024" max="12024" width="15.375" style="124" bestFit="1" customWidth="1"/>
    <col min="12025" max="12025" width="12.375" style="124" customWidth="1"/>
    <col min="12026" max="12026" width="16.125" style="124" bestFit="1" customWidth="1"/>
    <col min="12027" max="12027" width="12.875" style="124" bestFit="1" customWidth="1"/>
    <col min="12028" max="12028" width="9.125" style="124"/>
    <col min="12029" max="12029" width="15.625" style="124" bestFit="1" customWidth="1"/>
    <col min="12030" max="12030" width="10.75" style="124" bestFit="1" customWidth="1"/>
    <col min="12031" max="12031" width="10.75" style="124" customWidth="1"/>
    <col min="12032" max="12032" width="14.375" style="124" customWidth="1"/>
    <col min="12033" max="12033" width="19.625" style="124" bestFit="1" customWidth="1"/>
    <col min="12034" max="12034" width="9.125" style="124"/>
    <col min="12035" max="12035" width="11.125" style="124" bestFit="1" customWidth="1"/>
    <col min="12036" max="12036" width="14.25" style="124" bestFit="1" customWidth="1"/>
    <col min="12037" max="12275" width="9.125" style="124"/>
    <col min="12276" max="12276" width="14.125" style="124" customWidth="1"/>
    <col min="12277" max="12277" width="15.125" style="124" bestFit="1" customWidth="1"/>
    <col min="12278" max="12278" width="9" style="124" bestFit="1" customWidth="1"/>
    <col min="12279" max="12279" width="9.125" style="124"/>
    <col min="12280" max="12280" width="15.375" style="124" bestFit="1" customWidth="1"/>
    <col min="12281" max="12281" width="12.375" style="124" customWidth="1"/>
    <col min="12282" max="12282" width="16.125" style="124" bestFit="1" customWidth="1"/>
    <col min="12283" max="12283" width="12.875" style="124" bestFit="1" customWidth="1"/>
    <col min="12284" max="12284" width="9.125" style="124"/>
    <col min="12285" max="12285" width="15.625" style="124" bestFit="1" customWidth="1"/>
    <col min="12286" max="12286" width="10.75" style="124" bestFit="1" customWidth="1"/>
    <col min="12287" max="12287" width="10.75" style="124" customWidth="1"/>
    <col min="12288" max="12288" width="14.375" style="124" customWidth="1"/>
    <col min="12289" max="12289" width="19.625" style="124" bestFit="1" customWidth="1"/>
    <col min="12290" max="12290" width="9.125" style="124"/>
    <col min="12291" max="12291" width="11.125" style="124" bestFit="1" customWidth="1"/>
    <col min="12292" max="12292" width="14.25" style="124" bestFit="1" customWidth="1"/>
    <col min="12293" max="12531" width="9.125" style="124"/>
    <col min="12532" max="12532" width="14.125" style="124" customWidth="1"/>
    <col min="12533" max="12533" width="15.125" style="124" bestFit="1" customWidth="1"/>
    <col min="12534" max="12534" width="9" style="124" bestFit="1" customWidth="1"/>
    <col min="12535" max="12535" width="9.125" style="124"/>
    <col min="12536" max="12536" width="15.375" style="124" bestFit="1" customWidth="1"/>
    <col min="12537" max="12537" width="12.375" style="124" customWidth="1"/>
    <col min="12538" max="12538" width="16.125" style="124" bestFit="1" customWidth="1"/>
    <col min="12539" max="12539" width="12.875" style="124" bestFit="1" customWidth="1"/>
    <col min="12540" max="12540" width="9.125" style="124"/>
    <col min="12541" max="12541" width="15.625" style="124" bestFit="1" customWidth="1"/>
    <col min="12542" max="12542" width="10.75" style="124" bestFit="1" customWidth="1"/>
    <col min="12543" max="12543" width="10.75" style="124" customWidth="1"/>
    <col min="12544" max="12544" width="14.375" style="124" customWidth="1"/>
    <col min="12545" max="12545" width="19.625" style="124" bestFit="1" customWidth="1"/>
    <col min="12546" max="12546" width="9.125" style="124"/>
    <col min="12547" max="12547" width="11.125" style="124" bestFit="1" customWidth="1"/>
    <col min="12548" max="12548" width="14.25" style="124" bestFit="1" customWidth="1"/>
    <col min="12549" max="12787" width="9.125" style="124"/>
    <col min="12788" max="12788" width="14.125" style="124" customWidth="1"/>
    <col min="12789" max="12789" width="15.125" style="124" bestFit="1" customWidth="1"/>
    <col min="12790" max="12790" width="9" style="124" bestFit="1" customWidth="1"/>
    <col min="12791" max="12791" width="9.125" style="124"/>
    <col min="12792" max="12792" width="15.375" style="124" bestFit="1" customWidth="1"/>
    <col min="12793" max="12793" width="12.375" style="124" customWidth="1"/>
    <col min="12794" max="12794" width="16.125" style="124" bestFit="1" customWidth="1"/>
    <col min="12795" max="12795" width="12.875" style="124" bestFit="1" customWidth="1"/>
    <col min="12796" max="12796" width="9.125" style="124"/>
    <col min="12797" max="12797" width="15.625" style="124" bestFit="1" customWidth="1"/>
    <col min="12798" max="12798" width="10.75" style="124" bestFit="1" customWidth="1"/>
    <col min="12799" max="12799" width="10.75" style="124" customWidth="1"/>
    <col min="12800" max="12800" width="14.375" style="124" customWidth="1"/>
    <col min="12801" max="12801" width="19.625" style="124" bestFit="1" customWidth="1"/>
    <col min="12802" max="12802" width="9.125" style="124"/>
    <col min="12803" max="12803" width="11.125" style="124" bestFit="1" customWidth="1"/>
    <col min="12804" max="12804" width="14.25" style="124" bestFit="1" customWidth="1"/>
    <col min="12805" max="13043" width="9.125" style="124"/>
    <col min="13044" max="13044" width="14.125" style="124" customWidth="1"/>
    <col min="13045" max="13045" width="15.125" style="124" bestFit="1" customWidth="1"/>
    <col min="13046" max="13046" width="9" style="124" bestFit="1" customWidth="1"/>
    <col min="13047" max="13047" width="9.125" style="124"/>
    <col min="13048" max="13048" width="15.375" style="124" bestFit="1" customWidth="1"/>
    <col min="13049" max="13049" width="12.375" style="124" customWidth="1"/>
    <col min="13050" max="13050" width="16.125" style="124" bestFit="1" customWidth="1"/>
    <col min="13051" max="13051" width="12.875" style="124" bestFit="1" customWidth="1"/>
    <col min="13052" max="13052" width="9.125" style="124"/>
    <col min="13053" max="13053" width="15.625" style="124" bestFit="1" customWidth="1"/>
    <col min="13054" max="13054" width="10.75" style="124" bestFit="1" customWidth="1"/>
    <col min="13055" max="13055" width="10.75" style="124" customWidth="1"/>
    <col min="13056" max="13056" width="14.375" style="124" customWidth="1"/>
    <col min="13057" max="13057" width="19.625" style="124" bestFit="1" customWidth="1"/>
    <col min="13058" max="13058" width="9.125" style="124"/>
    <col min="13059" max="13059" width="11.125" style="124" bestFit="1" customWidth="1"/>
    <col min="13060" max="13060" width="14.25" style="124" bestFit="1" customWidth="1"/>
    <col min="13061" max="13299" width="9.125" style="124"/>
    <col min="13300" max="13300" width="14.125" style="124" customWidth="1"/>
    <col min="13301" max="13301" width="15.125" style="124" bestFit="1" customWidth="1"/>
    <col min="13302" max="13302" width="9" style="124" bestFit="1" customWidth="1"/>
    <col min="13303" max="13303" width="9.125" style="124"/>
    <col min="13304" max="13304" width="15.375" style="124" bestFit="1" customWidth="1"/>
    <col min="13305" max="13305" width="12.375" style="124" customWidth="1"/>
    <col min="13306" max="13306" width="16.125" style="124" bestFit="1" customWidth="1"/>
    <col min="13307" max="13307" width="12.875" style="124" bestFit="1" customWidth="1"/>
    <col min="13308" max="13308" width="9.125" style="124"/>
    <col min="13309" max="13309" width="15.625" style="124" bestFit="1" customWidth="1"/>
    <col min="13310" max="13310" width="10.75" style="124" bestFit="1" customWidth="1"/>
    <col min="13311" max="13311" width="10.75" style="124" customWidth="1"/>
    <col min="13312" max="13312" width="14.375" style="124" customWidth="1"/>
    <col min="13313" max="13313" width="19.625" style="124" bestFit="1" customWidth="1"/>
    <col min="13314" max="13314" width="9.125" style="124"/>
    <col min="13315" max="13315" width="11.125" style="124" bestFit="1" customWidth="1"/>
    <col min="13316" max="13316" width="14.25" style="124" bestFit="1" customWidth="1"/>
    <col min="13317" max="13555" width="9.125" style="124"/>
    <col min="13556" max="13556" width="14.125" style="124" customWidth="1"/>
    <col min="13557" max="13557" width="15.125" style="124" bestFit="1" customWidth="1"/>
    <col min="13558" max="13558" width="9" style="124" bestFit="1" customWidth="1"/>
    <col min="13559" max="13559" width="9.125" style="124"/>
    <col min="13560" max="13560" width="15.375" style="124" bestFit="1" customWidth="1"/>
    <col min="13561" max="13561" width="12.375" style="124" customWidth="1"/>
    <col min="13562" max="13562" width="16.125" style="124" bestFit="1" customWidth="1"/>
    <col min="13563" max="13563" width="12.875" style="124" bestFit="1" customWidth="1"/>
    <col min="13564" max="13564" width="9.125" style="124"/>
    <col min="13565" max="13565" width="15.625" style="124" bestFit="1" customWidth="1"/>
    <col min="13566" max="13566" width="10.75" style="124" bestFit="1" customWidth="1"/>
    <col min="13567" max="13567" width="10.75" style="124" customWidth="1"/>
    <col min="13568" max="13568" width="14.375" style="124" customWidth="1"/>
    <col min="13569" max="13569" width="19.625" style="124" bestFit="1" customWidth="1"/>
    <col min="13570" max="13570" width="9.125" style="124"/>
    <col min="13571" max="13571" width="11.125" style="124" bestFit="1" customWidth="1"/>
    <col min="13572" max="13572" width="14.25" style="124" bestFit="1" customWidth="1"/>
    <col min="13573" max="13811" width="9.125" style="124"/>
    <col min="13812" max="13812" width="14.125" style="124" customWidth="1"/>
    <col min="13813" max="13813" width="15.125" style="124" bestFit="1" customWidth="1"/>
    <col min="13814" max="13814" width="9" style="124" bestFit="1" customWidth="1"/>
    <col min="13815" max="13815" width="9.125" style="124"/>
    <col min="13816" max="13816" width="15.375" style="124" bestFit="1" customWidth="1"/>
    <col min="13817" max="13817" width="12.375" style="124" customWidth="1"/>
    <col min="13818" max="13818" width="16.125" style="124" bestFit="1" customWidth="1"/>
    <col min="13819" max="13819" width="12.875" style="124" bestFit="1" customWidth="1"/>
    <col min="13820" max="13820" width="9.125" style="124"/>
    <col min="13821" max="13821" width="15.625" style="124" bestFit="1" customWidth="1"/>
    <col min="13822" max="13822" width="10.75" style="124" bestFit="1" customWidth="1"/>
    <col min="13823" max="13823" width="10.75" style="124" customWidth="1"/>
    <col min="13824" max="13824" width="14.375" style="124" customWidth="1"/>
    <col min="13825" max="13825" width="19.625" style="124" bestFit="1" customWidth="1"/>
    <col min="13826" max="13826" width="9.125" style="124"/>
    <col min="13827" max="13827" width="11.125" style="124" bestFit="1" customWidth="1"/>
    <col min="13828" max="13828" width="14.25" style="124" bestFit="1" customWidth="1"/>
    <col min="13829" max="14067" width="9.125" style="124"/>
    <col min="14068" max="14068" width="14.125" style="124" customWidth="1"/>
    <col min="14069" max="14069" width="15.125" style="124" bestFit="1" customWidth="1"/>
    <col min="14070" max="14070" width="9" style="124" bestFit="1" customWidth="1"/>
    <col min="14071" max="14071" width="9.125" style="124"/>
    <col min="14072" max="14072" width="15.375" style="124" bestFit="1" customWidth="1"/>
    <col min="14073" max="14073" width="12.375" style="124" customWidth="1"/>
    <col min="14074" max="14074" width="16.125" style="124" bestFit="1" customWidth="1"/>
    <col min="14075" max="14075" width="12.875" style="124" bestFit="1" customWidth="1"/>
    <col min="14076" max="14076" width="9.125" style="124"/>
    <col min="14077" max="14077" width="15.625" style="124" bestFit="1" customWidth="1"/>
    <col min="14078" max="14078" width="10.75" style="124" bestFit="1" customWidth="1"/>
    <col min="14079" max="14079" width="10.75" style="124" customWidth="1"/>
    <col min="14080" max="14080" width="14.375" style="124" customWidth="1"/>
    <col min="14081" max="14081" width="19.625" style="124" bestFit="1" customWidth="1"/>
    <col min="14082" max="14082" width="9.125" style="124"/>
    <col min="14083" max="14083" width="11.125" style="124" bestFit="1" customWidth="1"/>
    <col min="14084" max="14084" width="14.25" style="124" bestFit="1" customWidth="1"/>
    <col min="14085" max="14323" width="9.125" style="124"/>
    <col min="14324" max="14324" width="14.125" style="124" customWidth="1"/>
    <col min="14325" max="14325" width="15.125" style="124" bestFit="1" customWidth="1"/>
    <col min="14326" max="14326" width="9" style="124" bestFit="1" customWidth="1"/>
    <col min="14327" max="14327" width="9.125" style="124"/>
    <col min="14328" max="14328" width="15.375" style="124" bestFit="1" customWidth="1"/>
    <col min="14329" max="14329" width="12.375" style="124" customWidth="1"/>
    <col min="14330" max="14330" width="16.125" style="124" bestFit="1" customWidth="1"/>
    <col min="14331" max="14331" width="12.875" style="124" bestFit="1" customWidth="1"/>
    <col min="14332" max="14332" width="9.125" style="124"/>
    <col min="14333" max="14333" width="15.625" style="124" bestFit="1" customWidth="1"/>
    <col min="14334" max="14334" width="10.75" style="124" bestFit="1" customWidth="1"/>
    <col min="14335" max="14335" width="10.75" style="124" customWidth="1"/>
    <col min="14336" max="14336" width="14.375" style="124" customWidth="1"/>
    <col min="14337" max="14337" width="19.625" style="124" bestFit="1" customWidth="1"/>
    <col min="14338" max="14338" width="9.125" style="124"/>
    <col min="14339" max="14339" width="11.125" style="124" bestFit="1" customWidth="1"/>
    <col min="14340" max="14340" width="14.25" style="124" bestFit="1" customWidth="1"/>
    <col min="14341" max="14579" width="9.125" style="124"/>
    <col min="14580" max="14580" width="14.125" style="124" customWidth="1"/>
    <col min="14581" max="14581" width="15.125" style="124" bestFit="1" customWidth="1"/>
    <col min="14582" max="14582" width="9" style="124" bestFit="1" customWidth="1"/>
    <col min="14583" max="14583" width="9.125" style="124"/>
    <col min="14584" max="14584" width="15.375" style="124" bestFit="1" customWidth="1"/>
    <col min="14585" max="14585" width="12.375" style="124" customWidth="1"/>
    <col min="14586" max="14586" width="16.125" style="124" bestFit="1" customWidth="1"/>
    <col min="14587" max="14587" width="12.875" style="124" bestFit="1" customWidth="1"/>
    <col min="14588" max="14588" width="9.125" style="124"/>
    <col min="14589" max="14589" width="15.625" style="124" bestFit="1" customWidth="1"/>
    <col min="14590" max="14590" width="10.75" style="124" bestFit="1" customWidth="1"/>
    <col min="14591" max="14591" width="10.75" style="124" customWidth="1"/>
    <col min="14592" max="14592" width="14.375" style="124" customWidth="1"/>
    <col min="14593" max="14593" width="19.625" style="124" bestFit="1" customWidth="1"/>
    <col min="14594" max="14594" width="9.125" style="124"/>
    <col min="14595" max="14595" width="11.125" style="124" bestFit="1" customWidth="1"/>
    <col min="14596" max="14596" width="14.25" style="124" bestFit="1" customWidth="1"/>
    <col min="14597" max="14835" width="9.125" style="124"/>
    <col min="14836" max="14836" width="14.125" style="124" customWidth="1"/>
    <col min="14837" max="14837" width="15.125" style="124" bestFit="1" customWidth="1"/>
    <col min="14838" max="14838" width="9" style="124" bestFit="1" customWidth="1"/>
    <col min="14839" max="14839" width="9.125" style="124"/>
    <col min="14840" max="14840" width="15.375" style="124" bestFit="1" customWidth="1"/>
    <col min="14841" max="14841" width="12.375" style="124" customWidth="1"/>
    <col min="14842" max="14842" width="16.125" style="124" bestFit="1" customWidth="1"/>
    <col min="14843" max="14843" width="12.875" style="124" bestFit="1" customWidth="1"/>
    <col min="14844" max="14844" width="9.125" style="124"/>
    <col min="14845" max="14845" width="15.625" style="124" bestFit="1" customWidth="1"/>
    <col min="14846" max="14846" width="10.75" style="124" bestFit="1" customWidth="1"/>
    <col min="14847" max="14847" width="10.75" style="124" customWidth="1"/>
    <col min="14848" max="14848" width="14.375" style="124" customWidth="1"/>
    <col min="14849" max="14849" width="19.625" style="124" bestFit="1" customWidth="1"/>
    <col min="14850" max="14850" width="9.125" style="124"/>
    <col min="14851" max="14851" width="11.125" style="124" bestFit="1" customWidth="1"/>
    <col min="14852" max="14852" width="14.25" style="124" bestFit="1" customWidth="1"/>
    <col min="14853" max="15091" width="9.125" style="124"/>
    <col min="15092" max="15092" width="14.125" style="124" customWidth="1"/>
    <col min="15093" max="15093" width="15.125" style="124" bestFit="1" customWidth="1"/>
    <col min="15094" max="15094" width="9" style="124" bestFit="1" customWidth="1"/>
    <col min="15095" max="15095" width="9.125" style="124"/>
    <col min="15096" max="15096" width="15.375" style="124" bestFit="1" customWidth="1"/>
    <col min="15097" max="15097" width="12.375" style="124" customWidth="1"/>
    <col min="15098" max="15098" width="16.125" style="124" bestFit="1" customWidth="1"/>
    <col min="15099" max="15099" width="12.875" style="124" bestFit="1" customWidth="1"/>
    <col min="15100" max="15100" width="9.125" style="124"/>
    <col min="15101" max="15101" width="15.625" style="124" bestFit="1" customWidth="1"/>
    <col min="15102" max="15102" width="10.75" style="124" bestFit="1" customWidth="1"/>
    <col min="15103" max="15103" width="10.75" style="124" customWidth="1"/>
    <col min="15104" max="15104" width="14.375" style="124" customWidth="1"/>
    <col min="15105" max="15105" width="19.625" style="124" bestFit="1" customWidth="1"/>
    <col min="15106" max="15106" width="9.125" style="124"/>
    <col min="15107" max="15107" width="11.125" style="124" bestFit="1" customWidth="1"/>
    <col min="15108" max="15108" width="14.25" style="124" bestFit="1" customWidth="1"/>
    <col min="15109" max="15347" width="9.125" style="124"/>
    <col min="15348" max="15348" width="14.125" style="124" customWidth="1"/>
    <col min="15349" max="15349" width="15.125" style="124" bestFit="1" customWidth="1"/>
    <col min="15350" max="15350" width="9" style="124" bestFit="1" customWidth="1"/>
    <col min="15351" max="15351" width="9.125" style="124"/>
    <col min="15352" max="15352" width="15.375" style="124" bestFit="1" customWidth="1"/>
    <col min="15353" max="15353" width="12.375" style="124" customWidth="1"/>
    <col min="15354" max="15354" width="16.125" style="124" bestFit="1" customWidth="1"/>
    <col min="15355" max="15355" width="12.875" style="124" bestFit="1" customWidth="1"/>
    <col min="15356" max="15356" width="9.125" style="124"/>
    <col min="15357" max="15357" width="15.625" style="124" bestFit="1" customWidth="1"/>
    <col min="15358" max="15358" width="10.75" style="124" bestFit="1" customWidth="1"/>
    <col min="15359" max="15359" width="10.75" style="124" customWidth="1"/>
    <col min="15360" max="15360" width="14.375" style="124" customWidth="1"/>
    <col min="15361" max="15361" width="19.625" style="124" bestFit="1" customWidth="1"/>
    <col min="15362" max="15362" width="9.125" style="124"/>
    <col min="15363" max="15363" width="11.125" style="124" bestFit="1" customWidth="1"/>
    <col min="15364" max="15364" width="14.25" style="124" bestFit="1" customWidth="1"/>
    <col min="15365" max="15603" width="9.125" style="124"/>
    <col min="15604" max="15604" width="14.125" style="124" customWidth="1"/>
    <col min="15605" max="15605" width="15.125" style="124" bestFit="1" customWidth="1"/>
    <col min="15606" max="15606" width="9" style="124" bestFit="1" customWidth="1"/>
    <col min="15607" max="15607" width="9.125" style="124"/>
    <col min="15608" max="15608" width="15.375" style="124" bestFit="1" customWidth="1"/>
    <col min="15609" max="15609" width="12.375" style="124" customWidth="1"/>
    <col min="15610" max="15610" width="16.125" style="124" bestFit="1" customWidth="1"/>
    <col min="15611" max="15611" width="12.875" style="124" bestFit="1" customWidth="1"/>
    <col min="15612" max="15612" width="9.125" style="124"/>
    <col min="15613" max="15613" width="15.625" style="124" bestFit="1" customWidth="1"/>
    <col min="15614" max="15614" width="10.75" style="124" bestFit="1" customWidth="1"/>
    <col min="15615" max="15615" width="10.75" style="124" customWidth="1"/>
    <col min="15616" max="15616" width="14.375" style="124" customWidth="1"/>
    <col min="15617" max="15617" width="19.625" style="124" bestFit="1" customWidth="1"/>
    <col min="15618" max="15618" width="9.125" style="124"/>
    <col min="15619" max="15619" width="11.125" style="124" bestFit="1" customWidth="1"/>
    <col min="15620" max="15620" width="14.25" style="124" bestFit="1" customWidth="1"/>
    <col min="15621" max="15859" width="9.125" style="124"/>
    <col min="15860" max="15860" width="14.125" style="124" customWidth="1"/>
    <col min="15861" max="15861" width="15.125" style="124" bestFit="1" customWidth="1"/>
    <col min="15862" max="15862" width="9" style="124" bestFit="1" customWidth="1"/>
    <col min="15863" max="15863" width="9.125" style="124"/>
    <col min="15864" max="15864" width="15.375" style="124" bestFit="1" customWidth="1"/>
    <col min="15865" max="15865" width="12.375" style="124" customWidth="1"/>
    <col min="15866" max="15866" width="16.125" style="124" bestFit="1" customWidth="1"/>
    <col min="15867" max="15867" width="12.875" style="124" bestFit="1" customWidth="1"/>
    <col min="15868" max="15868" width="9.125" style="124"/>
    <col min="15869" max="15869" width="15.625" style="124" bestFit="1" customWidth="1"/>
    <col min="15870" max="15870" width="10.75" style="124" bestFit="1" customWidth="1"/>
    <col min="15871" max="15871" width="10.75" style="124" customWidth="1"/>
    <col min="15872" max="15872" width="14.375" style="124" customWidth="1"/>
    <col min="15873" max="15873" width="19.625" style="124" bestFit="1" customWidth="1"/>
    <col min="15874" max="15874" width="9.125" style="124"/>
    <col min="15875" max="15875" width="11.125" style="124" bestFit="1" customWidth="1"/>
    <col min="15876" max="15876" width="14.25" style="124" bestFit="1" customWidth="1"/>
    <col min="15877" max="16115" width="9.125" style="124"/>
    <col min="16116" max="16116" width="14.125" style="124" customWidth="1"/>
    <col min="16117" max="16117" width="15.125" style="124" bestFit="1" customWidth="1"/>
    <col min="16118" max="16118" width="9" style="124" bestFit="1" customWidth="1"/>
    <col min="16119" max="16119" width="9.125" style="124"/>
    <col min="16120" max="16120" width="15.375" style="124" bestFit="1" customWidth="1"/>
    <col min="16121" max="16121" width="12.375" style="124" customWidth="1"/>
    <col min="16122" max="16122" width="16.125" style="124" bestFit="1" customWidth="1"/>
    <col min="16123" max="16123" width="12.875" style="124" bestFit="1" customWidth="1"/>
    <col min="16124" max="16124" width="9.125" style="124"/>
    <col min="16125" max="16125" width="15.625" style="124" bestFit="1" customWidth="1"/>
    <col min="16126" max="16126" width="10.75" style="124" bestFit="1" customWidth="1"/>
    <col min="16127" max="16127" width="10.75" style="124" customWidth="1"/>
    <col min="16128" max="16128" width="14.375" style="124" customWidth="1"/>
    <col min="16129" max="16129" width="19.625" style="124" bestFit="1" customWidth="1"/>
    <col min="16130" max="16130" width="9.125" style="124"/>
    <col min="16131" max="16131" width="11.125" style="124" bestFit="1" customWidth="1"/>
    <col min="16132" max="16132" width="14.25" style="124" bestFit="1" customWidth="1"/>
    <col min="16133" max="16384" width="9.125" style="124"/>
  </cols>
  <sheetData>
    <row r="1" spans="1:242" ht="16.5" customHeight="1" x14ac:dyDescent="0.15">
      <c r="A1" s="492" t="s">
        <v>117</v>
      </c>
      <c r="B1" s="492"/>
      <c r="C1" s="492"/>
      <c r="D1" s="492"/>
      <c r="E1" s="492"/>
      <c r="F1" s="492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  <c r="FI1" s="123"/>
      <c r="FJ1" s="123"/>
      <c r="FK1" s="123"/>
      <c r="FL1" s="123"/>
      <c r="FM1" s="123"/>
      <c r="FN1" s="123"/>
      <c r="FO1" s="123"/>
      <c r="FP1" s="123"/>
      <c r="FQ1" s="123"/>
      <c r="FR1" s="123"/>
      <c r="FS1" s="123"/>
      <c r="FT1" s="123"/>
      <c r="FU1" s="123"/>
      <c r="FV1" s="123"/>
      <c r="FW1" s="123"/>
      <c r="FX1" s="123"/>
      <c r="FY1" s="123"/>
      <c r="FZ1" s="123"/>
      <c r="GA1" s="123"/>
      <c r="GB1" s="123"/>
      <c r="GC1" s="123"/>
      <c r="GD1" s="123"/>
      <c r="GE1" s="123"/>
      <c r="GF1" s="123"/>
      <c r="GG1" s="123"/>
      <c r="GH1" s="123"/>
      <c r="GI1" s="123"/>
      <c r="GJ1" s="123"/>
      <c r="GK1" s="123"/>
      <c r="GL1" s="123"/>
      <c r="GM1" s="123"/>
      <c r="GN1" s="123"/>
      <c r="GO1" s="123"/>
      <c r="GP1" s="123"/>
      <c r="GQ1" s="123"/>
      <c r="GR1" s="123"/>
      <c r="GS1" s="123"/>
      <c r="GT1" s="123"/>
      <c r="GU1" s="123"/>
      <c r="GV1" s="123"/>
      <c r="GW1" s="123"/>
      <c r="GX1" s="123"/>
      <c r="GY1" s="123"/>
      <c r="GZ1" s="123"/>
      <c r="HA1" s="123"/>
      <c r="HB1" s="123"/>
      <c r="HC1" s="123"/>
      <c r="HD1" s="123"/>
      <c r="HE1" s="123"/>
      <c r="HF1" s="123"/>
      <c r="HG1" s="123"/>
      <c r="HH1" s="123"/>
      <c r="HI1" s="123"/>
      <c r="HJ1" s="123"/>
      <c r="HK1" s="123"/>
      <c r="HL1" s="123"/>
      <c r="HM1" s="123"/>
      <c r="HN1" s="123"/>
      <c r="HO1" s="123"/>
      <c r="HP1" s="123"/>
      <c r="HQ1" s="123"/>
      <c r="HR1" s="123"/>
      <c r="HS1" s="123"/>
      <c r="HT1" s="123"/>
      <c r="HU1" s="123"/>
      <c r="HV1" s="123"/>
      <c r="HW1" s="123"/>
      <c r="HX1" s="123"/>
      <c r="HY1" s="123"/>
      <c r="HZ1" s="123"/>
      <c r="IA1" s="123"/>
      <c r="IB1" s="123"/>
      <c r="IC1" s="123"/>
      <c r="ID1" s="123"/>
      <c r="IE1" s="123"/>
      <c r="IF1" s="123"/>
      <c r="IG1" s="123"/>
      <c r="IH1" s="123"/>
    </row>
    <row r="2" spans="1:242" ht="15" customHeight="1" x14ac:dyDescent="0.15">
      <c r="A2" s="130" t="s">
        <v>118</v>
      </c>
      <c r="B2" s="130" t="s">
        <v>119</v>
      </c>
      <c r="C2" s="131" t="s">
        <v>24</v>
      </c>
      <c r="D2" s="130" t="s">
        <v>118</v>
      </c>
      <c r="E2" s="130" t="s">
        <v>119</v>
      </c>
      <c r="F2" s="131" t="s">
        <v>24</v>
      </c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25"/>
      <c r="EW2" s="125"/>
      <c r="EX2" s="125"/>
      <c r="EY2" s="125"/>
      <c r="EZ2" s="125"/>
      <c r="FA2" s="125"/>
      <c r="FB2" s="125"/>
      <c r="FC2" s="125"/>
      <c r="FD2" s="125"/>
      <c r="FE2" s="125"/>
      <c r="FF2" s="125"/>
      <c r="FG2" s="125"/>
      <c r="FH2" s="125"/>
      <c r="FI2" s="125"/>
      <c r="FJ2" s="125"/>
      <c r="FK2" s="125"/>
      <c r="FL2" s="125"/>
      <c r="FM2" s="125"/>
      <c r="FN2" s="125"/>
      <c r="FO2" s="125"/>
      <c r="FP2" s="125"/>
      <c r="FQ2" s="125"/>
      <c r="FR2" s="125"/>
      <c r="FS2" s="125"/>
      <c r="FT2" s="125"/>
      <c r="FU2" s="125"/>
      <c r="FV2" s="125"/>
      <c r="FW2" s="125"/>
      <c r="FX2" s="125"/>
      <c r="FY2" s="125"/>
      <c r="FZ2" s="125"/>
      <c r="GA2" s="125"/>
      <c r="GB2" s="125"/>
      <c r="GC2" s="125"/>
      <c r="GD2" s="125"/>
      <c r="GE2" s="125"/>
      <c r="GF2" s="125"/>
      <c r="GG2" s="125"/>
      <c r="GH2" s="125"/>
      <c r="GI2" s="125"/>
      <c r="GJ2" s="125"/>
      <c r="GK2" s="125"/>
      <c r="GL2" s="125"/>
      <c r="GM2" s="125"/>
      <c r="GN2" s="125"/>
      <c r="GO2" s="125"/>
      <c r="GP2" s="125"/>
      <c r="GQ2" s="125"/>
      <c r="GR2" s="125"/>
      <c r="GS2" s="125"/>
      <c r="GT2" s="125"/>
      <c r="GU2" s="125"/>
      <c r="GV2" s="125"/>
      <c r="GW2" s="125"/>
      <c r="GX2" s="125"/>
      <c r="GY2" s="125"/>
      <c r="GZ2" s="125"/>
      <c r="HA2" s="125"/>
      <c r="HB2" s="125"/>
      <c r="HC2" s="125"/>
      <c r="HD2" s="125"/>
      <c r="HE2" s="125"/>
      <c r="HF2" s="125"/>
      <c r="HG2" s="125"/>
      <c r="HH2" s="125"/>
      <c r="HI2" s="125"/>
      <c r="HJ2" s="125"/>
      <c r="HK2" s="125"/>
      <c r="HL2" s="125"/>
      <c r="HM2" s="125"/>
      <c r="HN2" s="125"/>
      <c r="HO2" s="125"/>
      <c r="HP2" s="125"/>
      <c r="HQ2" s="125"/>
      <c r="HR2" s="125"/>
      <c r="HS2" s="125"/>
      <c r="HT2" s="125"/>
      <c r="HU2" s="125"/>
      <c r="HV2" s="125"/>
      <c r="HW2" s="125"/>
      <c r="HX2" s="125"/>
      <c r="HY2" s="125"/>
      <c r="HZ2" s="125"/>
      <c r="IA2" s="125"/>
      <c r="IB2" s="125"/>
      <c r="IC2" s="125"/>
      <c r="ID2" s="125"/>
      <c r="IE2" s="125"/>
      <c r="IF2" s="125"/>
      <c r="IG2" s="125"/>
      <c r="IH2" s="125"/>
    </row>
    <row r="3" spans="1:242" ht="15" customHeight="1" x14ac:dyDescent="0.15">
      <c r="A3" s="497" t="s">
        <v>120</v>
      </c>
      <c r="B3" s="132" t="s">
        <v>121</v>
      </c>
      <c r="C3" s="126">
        <f>[10]Sheet1!I23</f>
        <v>0.66550415929591678</v>
      </c>
      <c r="D3" s="493" t="s">
        <v>122</v>
      </c>
      <c r="E3" s="132" t="s">
        <v>123</v>
      </c>
      <c r="F3" s="126">
        <f>F7</f>
        <v>0.66489862680700307</v>
      </c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</row>
    <row r="4" spans="1:242" ht="15" customHeight="1" x14ac:dyDescent="0.15">
      <c r="A4" s="498"/>
      <c r="B4" s="132" t="s">
        <v>124</v>
      </c>
      <c r="C4" s="126">
        <f>[10]Sheet1!I22</f>
        <v>0.28659452204768826</v>
      </c>
      <c r="D4" s="493"/>
      <c r="E4" s="132" t="s">
        <v>125</v>
      </c>
      <c r="F4" s="126">
        <f>C4</f>
        <v>0.28659452204768826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</row>
    <row r="5" spans="1:242" ht="15" customHeight="1" x14ac:dyDescent="0.15">
      <c r="A5" s="498"/>
      <c r="B5" s="133" t="s">
        <v>126</v>
      </c>
      <c r="C5" s="126">
        <f>[10]Sheet1!I14</f>
        <v>0.4608972122978563</v>
      </c>
      <c r="D5" s="493"/>
      <c r="E5" s="133" t="s">
        <v>126</v>
      </c>
      <c r="F5" s="126">
        <f>C5</f>
        <v>0.4608972122978563</v>
      </c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</row>
    <row r="6" spans="1:242" ht="15" customHeight="1" x14ac:dyDescent="0.15">
      <c r="A6" s="499"/>
      <c r="B6" s="134" t="s">
        <v>127</v>
      </c>
      <c r="C6" s="135">
        <f>SUM(C3:C5)</f>
        <v>1.4129958936414613</v>
      </c>
      <c r="D6" s="493"/>
      <c r="E6" s="134" t="s">
        <v>127</v>
      </c>
      <c r="F6" s="135">
        <f>SUM(F3:F5)</f>
        <v>1.4123903611525477</v>
      </c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5"/>
      <c r="EP6" s="125"/>
      <c r="EQ6" s="125"/>
      <c r="ER6" s="125"/>
      <c r="ES6" s="125"/>
      <c r="ET6" s="125"/>
      <c r="EU6" s="125"/>
      <c r="EV6" s="125"/>
      <c r="EW6" s="125"/>
      <c r="EX6" s="125"/>
      <c r="EY6" s="125"/>
      <c r="EZ6" s="125"/>
      <c r="FA6" s="125"/>
      <c r="FB6" s="125"/>
      <c r="FC6" s="125"/>
      <c r="FD6" s="125"/>
      <c r="FE6" s="125"/>
      <c r="FF6" s="125"/>
      <c r="FG6" s="125"/>
      <c r="FH6" s="125"/>
      <c r="FI6" s="125"/>
      <c r="FJ6" s="125"/>
      <c r="FK6" s="125"/>
      <c r="FL6" s="125"/>
      <c r="FM6" s="125"/>
      <c r="FN6" s="125"/>
      <c r="FO6" s="125"/>
      <c r="FP6" s="125"/>
      <c r="FQ6" s="125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  <c r="GC6" s="125"/>
      <c r="GD6" s="125"/>
      <c r="GE6" s="125"/>
      <c r="GF6" s="125"/>
      <c r="GG6" s="125"/>
      <c r="GH6" s="125"/>
      <c r="GI6" s="125"/>
      <c r="GJ6" s="125"/>
      <c r="GK6" s="125"/>
      <c r="GL6" s="125"/>
      <c r="GM6" s="125"/>
      <c r="GN6" s="125"/>
      <c r="GO6" s="125"/>
      <c r="GP6" s="125"/>
      <c r="GQ6" s="125"/>
      <c r="GR6" s="125"/>
      <c r="GS6" s="125"/>
      <c r="GT6" s="125"/>
      <c r="GU6" s="125"/>
      <c r="GV6" s="125"/>
      <c r="GW6" s="125"/>
      <c r="GX6" s="125"/>
      <c r="GY6" s="125"/>
      <c r="GZ6" s="125"/>
      <c r="HA6" s="125"/>
      <c r="HB6" s="125"/>
      <c r="HC6" s="125"/>
      <c r="HD6" s="125"/>
      <c r="HE6" s="125"/>
      <c r="HF6" s="125"/>
      <c r="HG6" s="125"/>
      <c r="HH6" s="125"/>
      <c r="HI6" s="125"/>
      <c r="HJ6" s="125"/>
      <c r="HK6" s="125"/>
      <c r="HL6" s="125"/>
      <c r="HM6" s="125"/>
      <c r="HN6" s="125"/>
      <c r="HO6" s="125"/>
      <c r="HP6" s="125"/>
      <c r="HQ6" s="125"/>
      <c r="HR6" s="125"/>
      <c r="HS6" s="125"/>
      <c r="HT6" s="125"/>
      <c r="HU6" s="125"/>
      <c r="HV6" s="125"/>
      <c r="HW6" s="125"/>
      <c r="HX6" s="125"/>
      <c r="HY6" s="125"/>
      <c r="HZ6" s="125"/>
      <c r="IA6" s="125"/>
      <c r="IB6" s="125"/>
      <c r="IC6" s="125"/>
      <c r="ID6" s="125"/>
      <c r="IE6" s="125"/>
      <c r="IF6" s="125"/>
      <c r="IG6" s="125"/>
      <c r="IH6" s="125"/>
    </row>
    <row r="7" spans="1:242" ht="15" customHeight="1" x14ac:dyDescent="0.15">
      <c r="A7" s="497" t="s">
        <v>129</v>
      </c>
      <c r="B7" s="132" t="s">
        <v>124</v>
      </c>
      <c r="C7" s="126">
        <f>[10]Sheet1!I27</f>
        <v>0.24958817954682516</v>
      </c>
      <c r="D7" s="493" t="s">
        <v>128</v>
      </c>
      <c r="E7" s="132" t="s">
        <v>121</v>
      </c>
      <c r="F7" s="126">
        <f>[10]Sheet1!I25</f>
        <v>0.66489862680700307</v>
      </c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  <c r="GC7" s="125"/>
      <c r="GD7" s="125"/>
      <c r="GE7" s="125"/>
      <c r="GF7" s="125"/>
      <c r="GG7" s="125"/>
      <c r="GH7" s="125"/>
      <c r="GI7" s="125"/>
      <c r="GJ7" s="125"/>
      <c r="GK7" s="125"/>
      <c r="GL7" s="125"/>
      <c r="GM7" s="125"/>
      <c r="GN7" s="125"/>
      <c r="GO7" s="125"/>
      <c r="GP7" s="125"/>
      <c r="GQ7" s="125"/>
      <c r="GR7" s="125"/>
      <c r="GS7" s="125"/>
      <c r="GT7" s="125"/>
      <c r="GU7" s="125"/>
      <c r="GV7" s="125"/>
      <c r="GW7" s="125"/>
      <c r="GX7" s="125"/>
      <c r="GY7" s="125"/>
      <c r="GZ7" s="125"/>
      <c r="HA7" s="125"/>
      <c r="HB7" s="125"/>
      <c r="HC7" s="125"/>
      <c r="HD7" s="125"/>
      <c r="HE7" s="125"/>
      <c r="HF7" s="125"/>
      <c r="HG7" s="125"/>
      <c r="HH7" s="125"/>
      <c r="HI7" s="125"/>
      <c r="HJ7" s="125"/>
      <c r="HK7" s="125"/>
      <c r="HL7" s="125"/>
      <c r="HM7" s="125"/>
      <c r="HN7" s="125"/>
      <c r="HO7" s="125"/>
      <c r="HP7" s="125"/>
      <c r="HQ7" s="125"/>
      <c r="HR7" s="125"/>
      <c r="HS7" s="125"/>
      <c r="HT7" s="125"/>
      <c r="HU7" s="125"/>
      <c r="HV7" s="125"/>
      <c r="HW7" s="125"/>
      <c r="HX7" s="125"/>
      <c r="HY7" s="125"/>
      <c r="HZ7" s="125"/>
      <c r="IA7" s="125"/>
      <c r="IB7" s="125"/>
      <c r="IC7" s="125"/>
      <c r="ID7" s="125"/>
      <c r="IE7" s="125"/>
      <c r="IF7" s="125"/>
      <c r="IG7" s="125"/>
      <c r="IH7" s="125"/>
    </row>
    <row r="8" spans="1:242" ht="15" customHeight="1" x14ac:dyDescent="0.15">
      <c r="A8" s="498"/>
      <c r="B8" s="132" t="s">
        <v>130</v>
      </c>
      <c r="C8" s="126">
        <f>[10]Sheet1!I30</f>
        <v>0.66938270009477041</v>
      </c>
      <c r="D8" s="493"/>
      <c r="E8" s="132" t="s">
        <v>124</v>
      </c>
      <c r="F8" s="126">
        <f>C4</f>
        <v>0.28659452204768826</v>
      </c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L8" s="125"/>
      <c r="EM8" s="125"/>
      <c r="EN8" s="125"/>
      <c r="EO8" s="125"/>
      <c r="EP8" s="125"/>
      <c r="EQ8" s="125"/>
      <c r="ER8" s="125"/>
      <c r="ES8" s="125"/>
      <c r="ET8" s="125"/>
      <c r="EU8" s="125"/>
      <c r="EV8" s="125"/>
      <c r="EW8" s="125"/>
      <c r="EX8" s="125"/>
      <c r="EY8" s="125"/>
      <c r="EZ8" s="125"/>
      <c r="FA8" s="125"/>
      <c r="FB8" s="125"/>
      <c r="FC8" s="125"/>
      <c r="FD8" s="125"/>
      <c r="FE8" s="125"/>
      <c r="FF8" s="125"/>
      <c r="FG8" s="125"/>
      <c r="FH8" s="125"/>
      <c r="FI8" s="125"/>
      <c r="FJ8" s="125"/>
      <c r="FK8" s="125"/>
      <c r="FL8" s="125"/>
      <c r="FM8" s="125"/>
      <c r="FN8" s="125"/>
      <c r="FO8" s="125"/>
      <c r="FP8" s="125"/>
      <c r="FQ8" s="125"/>
      <c r="FR8" s="125"/>
      <c r="FS8" s="125"/>
      <c r="FT8" s="125"/>
      <c r="FU8" s="125"/>
      <c r="FV8" s="125"/>
      <c r="FW8" s="125"/>
      <c r="FX8" s="125"/>
      <c r="FY8" s="125"/>
      <c r="FZ8" s="125"/>
      <c r="GA8" s="125"/>
      <c r="GB8" s="125"/>
      <c r="GC8" s="125"/>
      <c r="GD8" s="125"/>
      <c r="GE8" s="125"/>
      <c r="GF8" s="125"/>
      <c r="GG8" s="125"/>
      <c r="GH8" s="125"/>
      <c r="GI8" s="125"/>
      <c r="GJ8" s="125"/>
      <c r="GK8" s="125"/>
      <c r="GL8" s="125"/>
      <c r="GM8" s="125"/>
      <c r="GN8" s="125"/>
      <c r="GO8" s="125"/>
      <c r="GP8" s="125"/>
      <c r="GQ8" s="125"/>
      <c r="GR8" s="125"/>
      <c r="GS8" s="125"/>
      <c r="GT8" s="125"/>
      <c r="GU8" s="125"/>
      <c r="GV8" s="125"/>
      <c r="GW8" s="125"/>
      <c r="GX8" s="125"/>
      <c r="GY8" s="125"/>
      <c r="GZ8" s="125"/>
      <c r="HA8" s="125"/>
      <c r="HB8" s="125"/>
      <c r="HC8" s="125"/>
      <c r="HD8" s="125"/>
      <c r="HE8" s="125"/>
      <c r="HF8" s="125"/>
      <c r="HG8" s="125"/>
      <c r="HH8" s="125"/>
      <c r="HI8" s="125"/>
      <c r="HJ8" s="125"/>
      <c r="HK8" s="125"/>
      <c r="HL8" s="125"/>
      <c r="HM8" s="125"/>
      <c r="HN8" s="125"/>
      <c r="HO8" s="125"/>
      <c r="HP8" s="125"/>
      <c r="HQ8" s="125"/>
      <c r="HR8" s="125"/>
      <c r="HS8" s="125"/>
      <c r="HT8" s="125"/>
      <c r="HU8" s="125"/>
      <c r="HV8" s="125"/>
      <c r="HW8" s="125"/>
      <c r="HX8" s="125"/>
      <c r="HY8" s="125"/>
      <c r="HZ8" s="125"/>
      <c r="IA8" s="125"/>
      <c r="IB8" s="125"/>
      <c r="IC8" s="125"/>
      <c r="ID8" s="125"/>
      <c r="IE8" s="125"/>
      <c r="IF8" s="125"/>
      <c r="IG8" s="125"/>
      <c r="IH8" s="125"/>
    </row>
    <row r="9" spans="1:242" ht="15" customHeight="1" x14ac:dyDescent="0.15">
      <c r="A9" s="498"/>
      <c r="B9" s="133" t="s">
        <v>126</v>
      </c>
      <c r="C9" s="126">
        <f>C5</f>
        <v>0.4608972122978563</v>
      </c>
      <c r="D9" s="493"/>
      <c r="E9" s="132" t="s">
        <v>131</v>
      </c>
      <c r="F9" s="126">
        <f>[10]Sheet1!I19</f>
        <v>0.24805537266933189</v>
      </c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  <c r="EG9" s="125"/>
      <c r="EH9" s="125"/>
      <c r="EI9" s="125"/>
      <c r="EJ9" s="125"/>
      <c r="EK9" s="125"/>
      <c r="EL9" s="125"/>
      <c r="EM9" s="125"/>
      <c r="EN9" s="125"/>
      <c r="EO9" s="125"/>
      <c r="EP9" s="125"/>
      <c r="EQ9" s="125"/>
      <c r="ER9" s="125"/>
      <c r="ES9" s="125"/>
      <c r="ET9" s="125"/>
      <c r="EU9" s="125"/>
      <c r="EV9" s="125"/>
      <c r="EW9" s="125"/>
      <c r="EX9" s="125"/>
      <c r="EY9" s="125"/>
      <c r="EZ9" s="125"/>
      <c r="FA9" s="125"/>
      <c r="FB9" s="125"/>
      <c r="FC9" s="125"/>
      <c r="FD9" s="125"/>
      <c r="FE9" s="125"/>
      <c r="FF9" s="125"/>
      <c r="FG9" s="125"/>
      <c r="FH9" s="125"/>
      <c r="FI9" s="125"/>
      <c r="FJ9" s="125"/>
      <c r="FK9" s="125"/>
      <c r="FL9" s="125"/>
      <c r="FM9" s="125"/>
      <c r="FN9" s="125"/>
      <c r="FO9" s="125"/>
      <c r="FP9" s="125"/>
      <c r="FQ9" s="125"/>
      <c r="FR9" s="125"/>
      <c r="FS9" s="125"/>
      <c r="FT9" s="125"/>
      <c r="FU9" s="125"/>
      <c r="FV9" s="125"/>
      <c r="FW9" s="125"/>
      <c r="FX9" s="125"/>
      <c r="FY9" s="125"/>
      <c r="FZ9" s="125"/>
      <c r="GA9" s="125"/>
      <c r="GB9" s="125"/>
      <c r="GC9" s="125"/>
      <c r="GD9" s="125"/>
      <c r="GE9" s="125"/>
      <c r="GF9" s="125"/>
      <c r="GG9" s="125"/>
      <c r="GH9" s="125"/>
      <c r="GI9" s="125"/>
      <c r="GJ9" s="125"/>
      <c r="GK9" s="125"/>
      <c r="GL9" s="125"/>
      <c r="GM9" s="125"/>
      <c r="GN9" s="125"/>
      <c r="GO9" s="125"/>
      <c r="GP9" s="125"/>
      <c r="GQ9" s="125"/>
      <c r="GR9" s="125"/>
      <c r="GS9" s="125"/>
      <c r="GT9" s="125"/>
      <c r="GU9" s="125"/>
      <c r="GV9" s="125"/>
      <c r="GW9" s="125"/>
      <c r="GX9" s="125"/>
      <c r="GY9" s="125"/>
      <c r="GZ9" s="125"/>
      <c r="HA9" s="125"/>
      <c r="HB9" s="125"/>
      <c r="HC9" s="125"/>
      <c r="HD9" s="125"/>
      <c r="HE9" s="125"/>
      <c r="HF9" s="125"/>
      <c r="HG9" s="125"/>
      <c r="HH9" s="125"/>
      <c r="HI9" s="125"/>
      <c r="HJ9" s="125"/>
      <c r="HK9" s="125"/>
      <c r="HL9" s="125"/>
      <c r="HM9" s="125"/>
      <c r="HN9" s="125"/>
      <c r="HO9" s="125"/>
      <c r="HP9" s="125"/>
      <c r="HQ9" s="125"/>
      <c r="HR9" s="125"/>
      <c r="HS9" s="125"/>
      <c r="HT9" s="125"/>
      <c r="HU9" s="125"/>
      <c r="HV9" s="125"/>
      <c r="HW9" s="125"/>
      <c r="HX9" s="125"/>
      <c r="HY9" s="125"/>
      <c r="HZ9" s="125"/>
      <c r="IA9" s="125"/>
      <c r="IB9" s="125"/>
      <c r="IC9" s="125"/>
      <c r="ID9" s="125"/>
      <c r="IE9" s="125"/>
      <c r="IF9" s="125"/>
      <c r="IG9" s="125"/>
      <c r="IH9" s="125"/>
    </row>
    <row r="10" spans="1:242" ht="15" customHeight="1" x14ac:dyDescent="0.15">
      <c r="A10" s="498"/>
      <c r="B10" s="132" t="s">
        <v>131</v>
      </c>
      <c r="C10" s="126">
        <f>F9</f>
        <v>0.24805537266933189</v>
      </c>
      <c r="D10" s="493"/>
      <c r="E10" s="132" t="s">
        <v>132</v>
      </c>
      <c r="F10" s="126">
        <f>[10]Sheet1!I20</f>
        <v>0.13680782466452632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  <c r="DV10" s="125"/>
      <c r="DW10" s="125"/>
      <c r="DX10" s="125"/>
      <c r="DY10" s="125"/>
      <c r="DZ10" s="125"/>
      <c r="EA10" s="125"/>
      <c r="EB10" s="125"/>
      <c r="EC10" s="125"/>
      <c r="ED10" s="125"/>
      <c r="EE10" s="125"/>
      <c r="EF10" s="125"/>
      <c r="EG10" s="125"/>
      <c r="EH10" s="125"/>
      <c r="EI10" s="125"/>
      <c r="EJ10" s="125"/>
      <c r="EK10" s="125"/>
      <c r="EL10" s="125"/>
      <c r="EM10" s="125"/>
      <c r="EN10" s="125"/>
      <c r="EO10" s="125"/>
      <c r="EP10" s="125"/>
      <c r="EQ10" s="125"/>
      <c r="ER10" s="125"/>
      <c r="ES10" s="125"/>
      <c r="ET10" s="125"/>
      <c r="EU10" s="125"/>
      <c r="EV10" s="125"/>
      <c r="EW10" s="125"/>
      <c r="EX10" s="125"/>
      <c r="EY10" s="125"/>
      <c r="EZ10" s="125"/>
      <c r="FA10" s="125"/>
      <c r="FB10" s="125"/>
      <c r="FC10" s="125"/>
      <c r="FD10" s="125"/>
      <c r="FE10" s="125"/>
      <c r="FF10" s="125"/>
      <c r="FG10" s="125"/>
      <c r="FH10" s="125"/>
      <c r="FI10" s="125"/>
      <c r="FJ10" s="125"/>
      <c r="FK10" s="125"/>
      <c r="FL10" s="125"/>
      <c r="FM10" s="125"/>
      <c r="FN10" s="125"/>
      <c r="FO10" s="125"/>
      <c r="FP10" s="125"/>
      <c r="FQ10" s="125"/>
      <c r="FR10" s="125"/>
      <c r="FS10" s="125"/>
      <c r="FT10" s="125"/>
      <c r="FU10" s="125"/>
      <c r="FV10" s="125"/>
      <c r="FW10" s="125"/>
      <c r="FX10" s="125"/>
      <c r="FY10" s="125"/>
      <c r="FZ10" s="125"/>
      <c r="GA10" s="125"/>
      <c r="GB10" s="125"/>
      <c r="GC10" s="125"/>
      <c r="GD10" s="125"/>
      <c r="GE10" s="125"/>
      <c r="GF10" s="125"/>
      <c r="GG10" s="125"/>
      <c r="GH10" s="125"/>
      <c r="GI10" s="125"/>
      <c r="GJ10" s="125"/>
      <c r="GK10" s="125"/>
      <c r="GL10" s="125"/>
      <c r="GM10" s="125"/>
      <c r="GN10" s="125"/>
      <c r="GO10" s="125"/>
      <c r="GP10" s="125"/>
      <c r="GQ10" s="125"/>
      <c r="GR10" s="125"/>
      <c r="GS10" s="125"/>
      <c r="GT10" s="125"/>
      <c r="GU10" s="125"/>
      <c r="GV10" s="125"/>
      <c r="GW10" s="125"/>
      <c r="GX10" s="125"/>
      <c r="GY10" s="125"/>
      <c r="GZ10" s="125"/>
      <c r="HA10" s="125"/>
      <c r="HB10" s="125"/>
      <c r="HC10" s="125"/>
      <c r="HD10" s="125"/>
      <c r="HE10" s="125"/>
      <c r="HF10" s="125"/>
      <c r="HG10" s="125"/>
      <c r="HH10" s="125"/>
      <c r="HI10" s="125"/>
      <c r="HJ10" s="125"/>
      <c r="HK10" s="125"/>
      <c r="HL10" s="125"/>
      <c r="HM10" s="125"/>
      <c r="HN10" s="125"/>
      <c r="HO10" s="125"/>
      <c r="HP10" s="125"/>
      <c r="HQ10" s="125"/>
      <c r="HR10" s="125"/>
      <c r="HS10" s="125"/>
      <c r="HT10" s="125"/>
      <c r="HU10" s="125"/>
      <c r="HV10" s="125"/>
      <c r="HW10" s="125"/>
      <c r="HX10" s="125"/>
      <c r="HY10" s="125"/>
      <c r="HZ10" s="125"/>
      <c r="IA10" s="125"/>
      <c r="IB10" s="125"/>
      <c r="IC10" s="125"/>
      <c r="ID10" s="125"/>
      <c r="IE10" s="125"/>
      <c r="IF10" s="125"/>
      <c r="IG10" s="125"/>
      <c r="IH10" s="123"/>
    </row>
    <row r="11" spans="1:242" ht="15" customHeight="1" x14ac:dyDescent="0.15">
      <c r="A11" s="498"/>
      <c r="B11" s="132" t="s">
        <v>132</v>
      </c>
      <c r="C11" s="126">
        <f>F10</f>
        <v>0.13680782466452632</v>
      </c>
      <c r="D11" s="493"/>
      <c r="E11" s="133" t="s">
        <v>126</v>
      </c>
      <c r="F11" s="126">
        <f>C5</f>
        <v>0.4608972122978563</v>
      </c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  <c r="CE11" s="125"/>
      <c r="CF11" s="125"/>
      <c r="CG11" s="125"/>
      <c r="CH11" s="125"/>
      <c r="CI11" s="125"/>
      <c r="CJ11" s="125"/>
      <c r="CK11" s="125"/>
      <c r="CL11" s="125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25"/>
      <c r="DB11" s="125"/>
      <c r="DC11" s="125"/>
      <c r="DD11" s="125"/>
      <c r="DE11" s="125"/>
      <c r="DF11" s="125"/>
      <c r="DG11" s="125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  <c r="DV11" s="125"/>
      <c r="DW11" s="125"/>
      <c r="DX11" s="125"/>
      <c r="DY11" s="125"/>
      <c r="DZ11" s="125"/>
      <c r="EA11" s="125"/>
      <c r="EB11" s="125"/>
      <c r="EC11" s="125"/>
      <c r="ED11" s="125"/>
      <c r="EE11" s="125"/>
      <c r="EF11" s="125"/>
      <c r="EG11" s="125"/>
      <c r="EH11" s="125"/>
      <c r="EI11" s="125"/>
      <c r="EJ11" s="125"/>
      <c r="EK11" s="125"/>
      <c r="EL11" s="125"/>
      <c r="EM11" s="125"/>
      <c r="EN11" s="125"/>
      <c r="EO11" s="125"/>
      <c r="EP11" s="125"/>
      <c r="EQ11" s="125"/>
      <c r="ER11" s="125"/>
      <c r="ES11" s="125"/>
      <c r="ET11" s="125"/>
      <c r="EU11" s="125"/>
      <c r="EV11" s="125"/>
      <c r="EW11" s="125"/>
      <c r="EX11" s="125"/>
      <c r="EY11" s="125"/>
      <c r="EZ11" s="125"/>
      <c r="FA11" s="125"/>
      <c r="FB11" s="125"/>
      <c r="FC11" s="125"/>
      <c r="FD11" s="125"/>
      <c r="FE11" s="125"/>
      <c r="FF11" s="125"/>
      <c r="FG11" s="125"/>
      <c r="FH11" s="125"/>
      <c r="FI11" s="125"/>
      <c r="FJ11" s="125"/>
      <c r="FK11" s="125"/>
      <c r="FL11" s="125"/>
      <c r="FM11" s="125"/>
      <c r="FN11" s="125"/>
      <c r="FO11" s="125"/>
      <c r="FP11" s="125"/>
      <c r="FQ11" s="125"/>
      <c r="FR11" s="125"/>
      <c r="FS11" s="125"/>
      <c r="FT11" s="125"/>
      <c r="FU11" s="125"/>
      <c r="FV11" s="125"/>
      <c r="FW11" s="125"/>
      <c r="FX11" s="125"/>
      <c r="FY11" s="125"/>
      <c r="FZ11" s="125"/>
      <c r="GA11" s="125"/>
      <c r="GB11" s="125"/>
      <c r="GC11" s="125"/>
      <c r="GD11" s="125"/>
      <c r="GE11" s="125"/>
      <c r="GF11" s="125"/>
      <c r="GG11" s="125"/>
      <c r="GH11" s="125"/>
      <c r="GI11" s="125"/>
      <c r="GJ11" s="125"/>
      <c r="GK11" s="125"/>
      <c r="GL11" s="125"/>
      <c r="GM11" s="125"/>
      <c r="GN11" s="125"/>
      <c r="GO11" s="125"/>
      <c r="GP11" s="125"/>
      <c r="GQ11" s="125"/>
      <c r="GR11" s="125"/>
      <c r="GS11" s="125"/>
      <c r="GT11" s="125"/>
      <c r="GU11" s="125"/>
      <c r="GV11" s="125"/>
      <c r="GW11" s="125"/>
      <c r="GX11" s="125"/>
      <c r="GY11" s="125"/>
      <c r="GZ11" s="125"/>
      <c r="HA11" s="125"/>
      <c r="HB11" s="125"/>
      <c r="HC11" s="125"/>
      <c r="HD11" s="125"/>
      <c r="HE11" s="125"/>
      <c r="HF11" s="125"/>
      <c r="HG11" s="125"/>
      <c r="HH11" s="125"/>
      <c r="HI11" s="125"/>
      <c r="HJ11" s="125"/>
      <c r="HK11" s="125"/>
      <c r="HL11" s="125"/>
      <c r="HM11" s="125"/>
      <c r="HN11" s="125"/>
      <c r="HO11" s="125"/>
      <c r="HP11" s="125"/>
      <c r="HQ11" s="125"/>
      <c r="HR11" s="125"/>
      <c r="HS11" s="125"/>
      <c r="HT11" s="125"/>
      <c r="HU11" s="125"/>
      <c r="HV11" s="125"/>
      <c r="HW11" s="125"/>
      <c r="HX11" s="125"/>
      <c r="HY11" s="125"/>
      <c r="HZ11" s="125"/>
      <c r="IA11" s="125"/>
      <c r="IB11" s="125"/>
      <c r="IC11" s="125"/>
      <c r="ID11" s="125"/>
      <c r="IE11" s="125"/>
      <c r="IF11" s="125"/>
      <c r="IG11" s="125"/>
      <c r="IH11" s="123"/>
    </row>
    <row r="12" spans="1:242" ht="15" customHeight="1" x14ac:dyDescent="0.15">
      <c r="A12" s="499"/>
      <c r="B12" s="134" t="s">
        <v>127</v>
      </c>
      <c r="C12" s="135">
        <f>SUM(C7:C11)</f>
        <v>1.7647312892733102</v>
      </c>
      <c r="D12" s="493"/>
      <c r="E12" s="134" t="s">
        <v>127</v>
      </c>
      <c r="F12" s="135">
        <f>SUM(F7:F11)</f>
        <v>1.797253558486406</v>
      </c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25"/>
      <c r="DW12" s="125"/>
      <c r="DX12" s="125"/>
      <c r="DY12" s="125"/>
      <c r="DZ12" s="125"/>
      <c r="EA12" s="125"/>
      <c r="EB12" s="125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25"/>
      <c r="ER12" s="125"/>
      <c r="ES12" s="125"/>
      <c r="ET12" s="125"/>
      <c r="EU12" s="125"/>
      <c r="EV12" s="125"/>
      <c r="EW12" s="125"/>
      <c r="EX12" s="125"/>
      <c r="EY12" s="125"/>
      <c r="EZ12" s="125"/>
      <c r="FA12" s="125"/>
      <c r="FB12" s="125"/>
      <c r="FC12" s="125"/>
      <c r="FD12" s="125"/>
      <c r="FE12" s="125"/>
      <c r="FF12" s="125"/>
      <c r="FG12" s="125"/>
      <c r="FH12" s="125"/>
      <c r="FI12" s="125"/>
      <c r="FJ12" s="125"/>
      <c r="FK12" s="125"/>
      <c r="FL12" s="125"/>
      <c r="FM12" s="125"/>
      <c r="FN12" s="125"/>
      <c r="FO12" s="125"/>
      <c r="FP12" s="125"/>
      <c r="FQ12" s="125"/>
      <c r="FR12" s="125"/>
      <c r="FS12" s="125"/>
      <c r="FT12" s="125"/>
      <c r="FU12" s="125"/>
      <c r="FV12" s="125"/>
      <c r="FW12" s="125"/>
      <c r="FX12" s="125"/>
      <c r="FY12" s="125"/>
      <c r="FZ12" s="125"/>
      <c r="GA12" s="125"/>
      <c r="GB12" s="125"/>
      <c r="GC12" s="125"/>
      <c r="GD12" s="125"/>
      <c r="GE12" s="125"/>
      <c r="GF12" s="125"/>
      <c r="GG12" s="125"/>
      <c r="GH12" s="125"/>
      <c r="GI12" s="125"/>
      <c r="GJ12" s="125"/>
      <c r="GK12" s="125"/>
      <c r="GL12" s="125"/>
      <c r="GM12" s="125"/>
      <c r="GN12" s="125"/>
      <c r="GO12" s="125"/>
      <c r="GP12" s="125"/>
      <c r="GQ12" s="125"/>
      <c r="GR12" s="125"/>
      <c r="GS12" s="125"/>
      <c r="GT12" s="125"/>
      <c r="GU12" s="125"/>
      <c r="GV12" s="125"/>
      <c r="GW12" s="125"/>
      <c r="GX12" s="125"/>
      <c r="GY12" s="125"/>
      <c r="GZ12" s="125"/>
      <c r="HA12" s="125"/>
      <c r="HB12" s="125"/>
      <c r="HC12" s="125"/>
      <c r="HD12" s="125"/>
      <c r="HE12" s="125"/>
      <c r="HF12" s="125"/>
      <c r="HG12" s="125"/>
      <c r="HH12" s="125"/>
      <c r="HI12" s="125"/>
      <c r="HJ12" s="125"/>
      <c r="HK12" s="125"/>
      <c r="HL12" s="125"/>
      <c r="HM12" s="125"/>
      <c r="HN12" s="125"/>
      <c r="HO12" s="125"/>
      <c r="HP12" s="125"/>
      <c r="HQ12" s="125"/>
      <c r="HR12" s="125"/>
      <c r="HS12" s="125"/>
      <c r="HT12" s="125"/>
      <c r="HU12" s="125"/>
      <c r="HV12" s="125"/>
      <c r="HW12" s="125"/>
      <c r="HX12" s="125"/>
      <c r="HY12" s="125"/>
      <c r="HZ12" s="125"/>
      <c r="IA12" s="125"/>
      <c r="IB12" s="125"/>
      <c r="IC12" s="125"/>
      <c r="ID12" s="125"/>
      <c r="IE12" s="125"/>
      <c r="IF12" s="125"/>
      <c r="IG12" s="123"/>
      <c r="IH12" s="123"/>
    </row>
    <row r="13" spans="1:242" ht="15" customHeight="1" x14ac:dyDescent="0.15">
      <c r="A13" s="493" t="s">
        <v>134</v>
      </c>
      <c r="B13" s="132" t="s">
        <v>124</v>
      </c>
      <c r="C13" s="126">
        <f>[10]Sheet1!I17</f>
        <v>0.3463848678772995</v>
      </c>
      <c r="D13" s="497" t="s">
        <v>133</v>
      </c>
      <c r="E13" s="136" t="s">
        <v>135</v>
      </c>
      <c r="F13" s="126">
        <f>[10]Sheet2!$H$15</f>
        <v>0.12395210859452452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25"/>
      <c r="FM13" s="125"/>
      <c r="FN13" s="125"/>
      <c r="FO13" s="125"/>
      <c r="FP13" s="125"/>
      <c r="FQ13" s="125"/>
      <c r="FR13" s="125"/>
      <c r="FS13" s="125"/>
      <c r="FT13" s="125"/>
      <c r="FU13" s="125"/>
      <c r="FV13" s="125"/>
      <c r="FW13" s="125"/>
      <c r="FX13" s="125"/>
      <c r="FY13" s="125"/>
      <c r="FZ13" s="125"/>
      <c r="GA13" s="125"/>
      <c r="GB13" s="125"/>
      <c r="GC13" s="125"/>
      <c r="GD13" s="125"/>
      <c r="GE13" s="125"/>
      <c r="GF13" s="125"/>
      <c r="GG13" s="125"/>
      <c r="GH13" s="125"/>
      <c r="GI13" s="125"/>
      <c r="GJ13" s="125"/>
      <c r="GK13" s="125"/>
      <c r="GL13" s="125"/>
      <c r="GM13" s="125"/>
      <c r="GN13" s="125"/>
      <c r="GO13" s="125"/>
      <c r="GP13" s="125"/>
      <c r="GQ13" s="125"/>
      <c r="GR13" s="125"/>
      <c r="GS13" s="125"/>
      <c r="GT13" s="125"/>
      <c r="GU13" s="125"/>
      <c r="GV13" s="125"/>
      <c r="GW13" s="125"/>
      <c r="GX13" s="125"/>
      <c r="GY13" s="125"/>
      <c r="GZ13" s="125"/>
      <c r="HA13" s="125"/>
      <c r="HB13" s="125"/>
      <c r="HC13" s="125"/>
      <c r="HD13" s="125"/>
      <c r="HE13" s="125"/>
      <c r="HF13" s="125"/>
      <c r="HG13" s="125"/>
      <c r="HH13" s="125"/>
      <c r="HI13" s="125"/>
      <c r="HJ13" s="125"/>
      <c r="HK13" s="125"/>
      <c r="HL13" s="125"/>
      <c r="HM13" s="125"/>
      <c r="HN13" s="125"/>
      <c r="HO13" s="125"/>
      <c r="HP13" s="125"/>
      <c r="HQ13" s="125"/>
      <c r="HR13" s="125"/>
      <c r="HS13" s="125"/>
      <c r="HT13" s="125"/>
      <c r="HU13" s="125"/>
      <c r="HV13" s="125"/>
      <c r="HW13" s="125"/>
      <c r="HX13" s="125"/>
      <c r="HY13" s="125"/>
      <c r="HZ13" s="125"/>
      <c r="IA13" s="125"/>
      <c r="IB13" s="125"/>
      <c r="IC13" s="125"/>
      <c r="ID13" s="125"/>
      <c r="IE13" s="125"/>
      <c r="IF13" s="125"/>
      <c r="IG13" s="125"/>
      <c r="IH13" s="125"/>
    </row>
    <row r="14" spans="1:242" ht="15" customHeight="1" x14ac:dyDescent="0.15">
      <c r="A14" s="493"/>
      <c r="B14" s="132" t="s">
        <v>136</v>
      </c>
      <c r="C14" s="126">
        <f>[10]Sheet1!I16</f>
        <v>1.0296769546839211</v>
      </c>
      <c r="D14" s="498"/>
      <c r="E14" s="136" t="s">
        <v>137</v>
      </c>
      <c r="F14" s="126">
        <f>[10]Sheet2!$H$16</f>
        <v>4.3186303668115614E-2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5"/>
      <c r="DD14" s="125"/>
      <c r="DE14" s="125"/>
      <c r="DF14" s="125"/>
      <c r="DG14" s="125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  <c r="DT14" s="125"/>
      <c r="DU14" s="125"/>
      <c r="DV14" s="125"/>
      <c r="DW14" s="125"/>
      <c r="DX14" s="125"/>
      <c r="DY14" s="125"/>
      <c r="DZ14" s="125"/>
      <c r="EA14" s="125"/>
      <c r="EB14" s="125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25"/>
      <c r="EN14" s="125"/>
      <c r="EO14" s="125"/>
      <c r="EP14" s="125"/>
      <c r="EQ14" s="125"/>
      <c r="ER14" s="125"/>
      <c r="ES14" s="125"/>
      <c r="ET14" s="125"/>
      <c r="EU14" s="125"/>
      <c r="EV14" s="125"/>
      <c r="EW14" s="125"/>
      <c r="EX14" s="125"/>
      <c r="EY14" s="125"/>
      <c r="EZ14" s="125"/>
      <c r="FA14" s="125"/>
      <c r="FB14" s="125"/>
      <c r="FC14" s="125"/>
      <c r="FD14" s="125"/>
      <c r="FE14" s="125"/>
      <c r="FF14" s="125"/>
      <c r="FG14" s="125"/>
      <c r="FH14" s="125"/>
      <c r="FI14" s="125"/>
      <c r="FJ14" s="125"/>
      <c r="FK14" s="125"/>
      <c r="FL14" s="125"/>
      <c r="FM14" s="125"/>
      <c r="FN14" s="125"/>
      <c r="FO14" s="125"/>
      <c r="FP14" s="125"/>
      <c r="FQ14" s="125"/>
      <c r="FR14" s="125"/>
      <c r="FS14" s="125"/>
      <c r="FT14" s="125"/>
      <c r="FU14" s="125"/>
      <c r="FV14" s="125"/>
      <c r="FW14" s="125"/>
      <c r="FX14" s="125"/>
      <c r="FY14" s="125"/>
      <c r="FZ14" s="125"/>
      <c r="GA14" s="125"/>
      <c r="GB14" s="125"/>
      <c r="GC14" s="125"/>
      <c r="GD14" s="125"/>
      <c r="GE14" s="125"/>
      <c r="GF14" s="125"/>
      <c r="GG14" s="125"/>
      <c r="GH14" s="125"/>
      <c r="GI14" s="125"/>
      <c r="GJ14" s="125"/>
      <c r="GK14" s="125"/>
      <c r="GL14" s="125"/>
      <c r="GM14" s="125"/>
      <c r="GN14" s="125"/>
      <c r="GO14" s="125"/>
      <c r="GP14" s="125"/>
      <c r="GQ14" s="125"/>
      <c r="GR14" s="125"/>
      <c r="GS14" s="125"/>
      <c r="GT14" s="125"/>
      <c r="GU14" s="125"/>
      <c r="GV14" s="125"/>
      <c r="GW14" s="125"/>
      <c r="GX14" s="125"/>
      <c r="GY14" s="125"/>
      <c r="GZ14" s="125"/>
      <c r="HA14" s="125"/>
      <c r="HB14" s="125"/>
      <c r="HC14" s="125"/>
      <c r="HD14" s="125"/>
      <c r="HE14" s="125"/>
      <c r="HF14" s="125"/>
      <c r="HG14" s="125"/>
      <c r="HH14" s="125"/>
      <c r="HI14" s="125"/>
      <c r="HJ14" s="125"/>
      <c r="HK14" s="125"/>
      <c r="HL14" s="125"/>
      <c r="HM14" s="125"/>
      <c r="HN14" s="125"/>
      <c r="HO14" s="125"/>
      <c r="HP14" s="125"/>
      <c r="HQ14" s="125"/>
      <c r="HR14" s="125"/>
      <c r="HS14" s="125"/>
      <c r="HT14" s="125"/>
      <c r="HU14" s="125"/>
      <c r="HV14" s="125"/>
      <c r="HW14" s="125"/>
      <c r="HX14" s="125"/>
      <c r="HY14" s="125"/>
      <c r="HZ14" s="125"/>
      <c r="IA14" s="125"/>
      <c r="IB14" s="125"/>
      <c r="IC14" s="125"/>
      <c r="ID14" s="125"/>
      <c r="IE14" s="125"/>
      <c r="IF14" s="125"/>
      <c r="IG14" s="125"/>
      <c r="IH14" s="125"/>
    </row>
    <row r="15" spans="1:242" ht="15" customHeight="1" x14ac:dyDescent="0.15">
      <c r="A15" s="493"/>
      <c r="B15" s="133" t="s">
        <v>126</v>
      </c>
      <c r="C15" s="126">
        <f>C5</f>
        <v>0.4608972122978563</v>
      </c>
      <c r="D15" s="498"/>
      <c r="E15" s="136" t="str">
        <f>[17]Sheet1!C25</f>
        <v>荞麦饼干膜</v>
      </c>
      <c r="F15" s="126">
        <f>[10]Sheet2!$H$17</f>
        <v>5.5793666666666665E-2</v>
      </c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25"/>
      <c r="EB15" s="125"/>
      <c r="EC15" s="125"/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25"/>
      <c r="ER15" s="125"/>
      <c r="ES15" s="125"/>
      <c r="ET15" s="125"/>
      <c r="EU15" s="125"/>
      <c r="EV15" s="125"/>
      <c r="EW15" s="125"/>
      <c r="EX15" s="125"/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25"/>
      <c r="FM15" s="125"/>
      <c r="FN15" s="125"/>
      <c r="FO15" s="125"/>
      <c r="FP15" s="125"/>
      <c r="FQ15" s="125"/>
      <c r="FR15" s="125"/>
      <c r="FS15" s="125"/>
      <c r="FT15" s="125"/>
      <c r="FU15" s="125"/>
      <c r="FV15" s="125"/>
      <c r="FW15" s="125"/>
      <c r="FX15" s="125"/>
      <c r="FY15" s="125"/>
      <c r="FZ15" s="125"/>
      <c r="GA15" s="125"/>
      <c r="GB15" s="125"/>
      <c r="GC15" s="125"/>
      <c r="GD15" s="125"/>
      <c r="GE15" s="125"/>
      <c r="GF15" s="125"/>
      <c r="GG15" s="125"/>
      <c r="GH15" s="125"/>
      <c r="GI15" s="125"/>
      <c r="GJ15" s="125"/>
      <c r="GK15" s="125"/>
      <c r="GL15" s="125"/>
      <c r="GM15" s="125"/>
      <c r="GN15" s="125"/>
      <c r="GO15" s="125"/>
      <c r="GP15" s="125"/>
      <c r="GQ15" s="125"/>
      <c r="GR15" s="125"/>
      <c r="GS15" s="125"/>
      <c r="GT15" s="125"/>
      <c r="GU15" s="125"/>
      <c r="GV15" s="125"/>
      <c r="GW15" s="125"/>
      <c r="GX15" s="125"/>
      <c r="GY15" s="125"/>
      <c r="GZ15" s="125"/>
      <c r="HA15" s="125"/>
      <c r="HB15" s="125"/>
      <c r="HC15" s="125"/>
      <c r="HD15" s="125"/>
      <c r="HE15" s="125"/>
      <c r="HF15" s="125"/>
      <c r="HG15" s="125"/>
      <c r="HH15" s="125"/>
      <c r="HI15" s="125"/>
      <c r="HJ15" s="125"/>
      <c r="HK15" s="125"/>
      <c r="HL15" s="125"/>
      <c r="HM15" s="125"/>
      <c r="HN15" s="125"/>
      <c r="HO15" s="125"/>
      <c r="HP15" s="125"/>
      <c r="HQ15" s="125"/>
      <c r="HR15" s="125"/>
      <c r="HS15" s="125"/>
      <c r="HT15" s="125"/>
      <c r="HU15" s="125"/>
      <c r="HV15" s="125"/>
      <c r="HW15" s="125"/>
      <c r="HX15" s="125"/>
      <c r="HY15" s="125"/>
      <c r="HZ15" s="125"/>
      <c r="IA15" s="125"/>
      <c r="IB15" s="125"/>
      <c r="IC15" s="125"/>
      <c r="ID15" s="125"/>
      <c r="IE15" s="125"/>
      <c r="IF15" s="125"/>
      <c r="IG15" s="125"/>
      <c r="IH15" s="125"/>
    </row>
    <row r="16" spans="1:242" ht="15" customHeight="1" x14ac:dyDescent="0.15">
      <c r="A16" s="493"/>
      <c r="B16" s="134" t="s">
        <v>127</v>
      </c>
      <c r="C16" s="135">
        <f>SUM(C13:C15)</f>
        <v>1.8369590348590767</v>
      </c>
      <c r="D16" s="498"/>
      <c r="E16" s="133" t="str">
        <f>[18]Sheet1!C15</f>
        <v>餐巾纸牙签套餐</v>
      </c>
      <c r="F16" s="126">
        <f>[10]Sheet2!$H$18</f>
        <v>4.7787666666666673E-2</v>
      </c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  <c r="DW16" s="125"/>
      <c r="DX16" s="125"/>
      <c r="DY16" s="125"/>
      <c r="DZ16" s="125"/>
      <c r="EA16" s="125"/>
      <c r="EB16" s="125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25"/>
      <c r="ER16" s="125"/>
      <c r="ES16" s="125"/>
      <c r="ET16" s="125"/>
      <c r="EU16" s="125"/>
      <c r="EV16" s="125"/>
      <c r="EW16" s="125"/>
      <c r="EX16" s="125"/>
      <c r="EY16" s="125"/>
      <c r="EZ16" s="125"/>
      <c r="FA16" s="125"/>
      <c r="FB16" s="125"/>
      <c r="FC16" s="125"/>
      <c r="FD16" s="125"/>
      <c r="FE16" s="125"/>
      <c r="FF16" s="125"/>
      <c r="FG16" s="125"/>
      <c r="FH16" s="125"/>
      <c r="FI16" s="125"/>
      <c r="FJ16" s="125"/>
      <c r="FK16" s="125"/>
      <c r="FL16" s="125"/>
      <c r="FM16" s="125"/>
      <c r="FN16" s="125"/>
      <c r="FO16" s="125"/>
      <c r="FP16" s="125"/>
      <c r="FQ16" s="125"/>
      <c r="FR16" s="125"/>
      <c r="FS16" s="125"/>
      <c r="FT16" s="125"/>
      <c r="FU16" s="125"/>
      <c r="FV16" s="125"/>
      <c r="FW16" s="125"/>
      <c r="FX16" s="125"/>
      <c r="FY16" s="125"/>
      <c r="FZ16" s="125"/>
      <c r="GA16" s="125"/>
      <c r="GB16" s="125"/>
      <c r="GC16" s="125"/>
      <c r="GD16" s="125"/>
      <c r="GE16" s="125"/>
      <c r="GF16" s="125"/>
      <c r="GG16" s="125"/>
      <c r="GH16" s="125"/>
      <c r="GI16" s="125"/>
      <c r="GJ16" s="125"/>
      <c r="GK16" s="125"/>
      <c r="GL16" s="125"/>
      <c r="GM16" s="125"/>
      <c r="GN16" s="125"/>
      <c r="GO16" s="125"/>
      <c r="GP16" s="125"/>
      <c r="GQ16" s="125"/>
      <c r="GR16" s="125"/>
      <c r="GS16" s="125"/>
      <c r="GT16" s="125"/>
      <c r="GU16" s="125"/>
      <c r="GV16" s="125"/>
      <c r="GW16" s="125"/>
      <c r="GX16" s="125"/>
      <c r="GY16" s="125"/>
      <c r="GZ16" s="125"/>
      <c r="HA16" s="125"/>
      <c r="HB16" s="125"/>
      <c r="HC16" s="125"/>
      <c r="HD16" s="125"/>
      <c r="HE16" s="125"/>
      <c r="HF16" s="125"/>
      <c r="HG16" s="125"/>
      <c r="HH16" s="125"/>
      <c r="HI16" s="125"/>
      <c r="HJ16" s="125"/>
      <c r="HK16" s="125"/>
      <c r="HL16" s="125"/>
      <c r="HM16" s="125"/>
      <c r="HN16" s="125"/>
      <c r="HO16" s="125"/>
      <c r="HP16" s="125"/>
      <c r="HQ16" s="125"/>
      <c r="HR16" s="125"/>
      <c r="HS16" s="125"/>
      <c r="HT16" s="125"/>
      <c r="HU16" s="125"/>
      <c r="HV16" s="125"/>
      <c r="HW16" s="125"/>
      <c r="HX16" s="125"/>
      <c r="HY16" s="125"/>
      <c r="HZ16" s="125"/>
      <c r="IA16" s="125"/>
      <c r="IB16" s="125"/>
      <c r="IC16" s="125"/>
      <c r="ID16" s="125"/>
      <c r="IE16" s="125"/>
      <c r="IF16" s="125"/>
      <c r="IG16" s="125"/>
      <c r="IH16" s="125"/>
    </row>
    <row r="17" spans="1:242" ht="15" customHeight="1" x14ac:dyDescent="0.15">
      <c r="A17" s="497" t="s">
        <v>138</v>
      </c>
      <c r="B17" s="132" t="s">
        <v>121</v>
      </c>
      <c r="C17" s="126">
        <f>C3</f>
        <v>0.66550415929591678</v>
      </c>
      <c r="D17" s="498"/>
      <c r="E17" s="133" t="str">
        <f>[19]Sheet1!C15</f>
        <v>D-711内托</v>
      </c>
      <c r="F17" s="126">
        <f>[10]Sheet2!$H$20</f>
        <v>0.23969419659879507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25"/>
      <c r="DW17" s="125"/>
      <c r="DX17" s="125"/>
      <c r="DY17" s="125"/>
      <c r="DZ17" s="125"/>
      <c r="EA17" s="125"/>
      <c r="EB17" s="125"/>
      <c r="EC17" s="125"/>
      <c r="ED17" s="125"/>
      <c r="EE17" s="125"/>
      <c r="EF17" s="125"/>
      <c r="EG17" s="125"/>
      <c r="EH17" s="125"/>
      <c r="EI17" s="125"/>
      <c r="EJ17" s="125"/>
      <c r="EK17" s="125"/>
      <c r="EL17" s="125"/>
      <c r="EM17" s="125"/>
      <c r="EN17" s="125"/>
      <c r="EO17" s="125"/>
      <c r="EP17" s="125"/>
      <c r="EQ17" s="125"/>
      <c r="ER17" s="125"/>
      <c r="ES17" s="125"/>
      <c r="ET17" s="125"/>
      <c r="EU17" s="125"/>
      <c r="EV17" s="125"/>
      <c r="EW17" s="125"/>
      <c r="EX17" s="125"/>
      <c r="EY17" s="125"/>
      <c r="EZ17" s="125"/>
      <c r="FA17" s="125"/>
      <c r="FB17" s="125"/>
      <c r="FC17" s="125"/>
      <c r="FD17" s="125"/>
      <c r="FE17" s="125"/>
      <c r="FF17" s="125"/>
      <c r="FG17" s="125"/>
      <c r="FH17" s="125"/>
      <c r="FI17" s="125"/>
      <c r="FJ17" s="125"/>
      <c r="FK17" s="125"/>
      <c r="FL17" s="125"/>
      <c r="FM17" s="125"/>
      <c r="FN17" s="125"/>
      <c r="FO17" s="125"/>
      <c r="FP17" s="125"/>
      <c r="FQ17" s="125"/>
      <c r="FR17" s="125"/>
      <c r="FS17" s="125"/>
      <c r="FT17" s="125"/>
      <c r="FU17" s="125"/>
      <c r="FV17" s="125"/>
      <c r="FW17" s="125"/>
      <c r="FX17" s="125"/>
      <c r="FY17" s="125"/>
      <c r="FZ17" s="125"/>
      <c r="GA17" s="125"/>
      <c r="GB17" s="125"/>
      <c r="GC17" s="125"/>
      <c r="GD17" s="125"/>
      <c r="GE17" s="125"/>
      <c r="GF17" s="125"/>
      <c r="GG17" s="125"/>
      <c r="GH17" s="125"/>
      <c r="GI17" s="125"/>
      <c r="GJ17" s="125"/>
      <c r="GK17" s="125"/>
      <c r="GL17" s="125"/>
      <c r="GM17" s="125"/>
      <c r="GN17" s="125"/>
      <c r="GO17" s="125"/>
      <c r="GP17" s="125"/>
      <c r="GQ17" s="125"/>
      <c r="GR17" s="125"/>
      <c r="GS17" s="125"/>
      <c r="GT17" s="125"/>
      <c r="GU17" s="125"/>
      <c r="GV17" s="125"/>
      <c r="GW17" s="125"/>
      <c r="GX17" s="125"/>
      <c r="GY17" s="125"/>
      <c r="GZ17" s="125"/>
      <c r="HA17" s="125"/>
      <c r="HB17" s="125"/>
      <c r="HC17" s="125"/>
      <c r="HD17" s="125"/>
      <c r="HE17" s="125"/>
      <c r="HF17" s="125"/>
      <c r="HG17" s="125"/>
      <c r="HH17" s="125"/>
      <c r="HI17" s="125"/>
      <c r="HJ17" s="125"/>
      <c r="HK17" s="125"/>
      <c r="HL17" s="125"/>
      <c r="HM17" s="125"/>
      <c r="HN17" s="125"/>
      <c r="HO17" s="125"/>
      <c r="HP17" s="125"/>
      <c r="HQ17" s="125"/>
      <c r="HR17" s="125"/>
      <c r="HS17" s="125"/>
      <c r="HT17" s="125"/>
      <c r="HU17" s="125"/>
      <c r="HV17" s="125"/>
      <c r="HW17" s="125"/>
      <c r="HX17" s="125"/>
      <c r="HY17" s="125"/>
      <c r="HZ17" s="125"/>
      <c r="IA17" s="125"/>
      <c r="IB17" s="125"/>
      <c r="IC17" s="125"/>
      <c r="ID17" s="125"/>
      <c r="IE17" s="125"/>
      <c r="IF17" s="125"/>
      <c r="IG17" s="125"/>
      <c r="IH17" s="125"/>
    </row>
    <row r="18" spans="1:242" ht="15" customHeight="1" x14ac:dyDescent="0.15">
      <c r="A18" s="498"/>
      <c r="B18" s="132" t="s">
        <v>124</v>
      </c>
      <c r="C18" s="126">
        <f>C4</f>
        <v>0.28659452204768826</v>
      </c>
      <c r="D18" s="498"/>
      <c r="E18" s="133" t="str">
        <f>[20]Sheet1!C15</f>
        <v>高铁轻食纸箱</v>
      </c>
      <c r="F18" s="126">
        <f>[10]Sheet2!$H$21</f>
        <v>0.22578372607336231</v>
      </c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</row>
    <row r="19" spans="1:242" ht="15" customHeight="1" x14ac:dyDescent="0.15">
      <c r="A19" s="498"/>
      <c r="B19" s="133" t="s">
        <v>126</v>
      </c>
      <c r="C19" s="126">
        <f>C5</f>
        <v>0.4608972122978563</v>
      </c>
      <c r="D19" s="498"/>
      <c r="E19" s="133" t="s">
        <v>139</v>
      </c>
      <c r="F19" s="126">
        <f>[10]Sheet2!$H$22</f>
        <v>0.84070525432776633</v>
      </c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  <c r="EA19" s="125"/>
      <c r="EB19" s="125"/>
      <c r="EC19" s="125"/>
      <c r="ED19" s="125"/>
      <c r="EE19" s="125"/>
      <c r="EF19" s="125"/>
      <c r="EG19" s="125"/>
      <c r="EH19" s="125"/>
      <c r="EI19" s="125"/>
      <c r="EJ19" s="125"/>
      <c r="EK19" s="125"/>
      <c r="EL19" s="125"/>
      <c r="EM19" s="125"/>
      <c r="EN19" s="125"/>
      <c r="EO19" s="125"/>
      <c r="EP19" s="125"/>
      <c r="EQ19" s="125"/>
      <c r="ER19" s="125"/>
      <c r="ES19" s="125"/>
      <c r="ET19" s="125"/>
      <c r="EU19" s="125"/>
      <c r="EV19" s="125"/>
      <c r="EW19" s="125"/>
      <c r="EX19" s="125"/>
      <c r="EY19" s="125"/>
      <c r="EZ19" s="125"/>
      <c r="FA19" s="125"/>
      <c r="FB19" s="125"/>
      <c r="FC19" s="125"/>
      <c r="FD19" s="125"/>
      <c r="FE19" s="125"/>
      <c r="FF19" s="125"/>
      <c r="FG19" s="125"/>
      <c r="FH19" s="125"/>
      <c r="FI19" s="125"/>
      <c r="FJ19" s="125"/>
      <c r="FK19" s="125"/>
      <c r="FL19" s="125"/>
      <c r="FM19" s="125"/>
      <c r="FN19" s="125"/>
      <c r="FO19" s="125"/>
      <c r="FP19" s="125"/>
      <c r="FQ19" s="125"/>
      <c r="FR19" s="125"/>
      <c r="FS19" s="125"/>
      <c r="FT19" s="125"/>
      <c r="FU19" s="125"/>
      <c r="FV19" s="125"/>
      <c r="FW19" s="125"/>
      <c r="FX19" s="125"/>
      <c r="FY19" s="125"/>
      <c r="FZ19" s="125"/>
      <c r="GA19" s="125"/>
      <c r="GB19" s="125"/>
      <c r="GC19" s="125"/>
      <c r="GD19" s="125"/>
      <c r="GE19" s="125"/>
      <c r="GF19" s="125"/>
      <c r="GG19" s="125"/>
      <c r="GH19" s="125"/>
      <c r="GI19" s="125"/>
      <c r="GJ19" s="125"/>
      <c r="GK19" s="125"/>
      <c r="GL19" s="125"/>
      <c r="GM19" s="125"/>
      <c r="GN19" s="125"/>
      <c r="GO19" s="125"/>
      <c r="GP19" s="125"/>
      <c r="GQ19" s="125"/>
      <c r="GR19" s="125"/>
      <c r="GS19" s="125"/>
      <c r="GT19" s="125"/>
      <c r="GU19" s="125"/>
      <c r="GV19" s="125"/>
      <c r="GW19" s="125"/>
      <c r="GX19" s="125"/>
      <c r="GY19" s="125"/>
      <c r="GZ19" s="125"/>
      <c r="HA19" s="125"/>
      <c r="HB19" s="125"/>
      <c r="HC19" s="125"/>
      <c r="HD19" s="125"/>
      <c r="HE19" s="125"/>
      <c r="HF19" s="125"/>
      <c r="HG19" s="125"/>
      <c r="HH19" s="125"/>
      <c r="HI19" s="125"/>
      <c r="HJ19" s="125"/>
      <c r="HK19" s="125"/>
      <c r="HL19" s="125"/>
      <c r="HM19" s="125"/>
      <c r="HN19" s="125"/>
      <c r="HO19" s="125"/>
      <c r="HP19" s="125"/>
      <c r="HQ19" s="125"/>
      <c r="HR19" s="125"/>
      <c r="HS19" s="125"/>
      <c r="HT19" s="125"/>
      <c r="HU19" s="125"/>
      <c r="HV19" s="125"/>
      <c r="HW19" s="125"/>
      <c r="HX19" s="125"/>
      <c r="HY19" s="125"/>
      <c r="HZ19" s="125"/>
      <c r="IA19" s="125"/>
      <c r="IB19" s="125"/>
      <c r="IC19" s="125"/>
      <c r="ID19" s="125"/>
      <c r="IE19" s="125"/>
      <c r="IF19" s="125"/>
      <c r="IG19" s="125"/>
      <c r="IH19" s="125"/>
    </row>
    <row r="20" spans="1:242" ht="15" customHeight="1" x14ac:dyDescent="0.15">
      <c r="A20" s="499"/>
      <c r="B20" s="134" t="s">
        <v>127</v>
      </c>
      <c r="C20" s="135">
        <f>SUM(C17:C19)</f>
        <v>1.4129958936414613</v>
      </c>
      <c r="D20" s="139"/>
      <c r="E20" s="134" t="s">
        <v>127</v>
      </c>
      <c r="F20" s="135">
        <f>SUM(F13:F19)</f>
        <v>1.576902922595897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  <c r="HX20" s="125"/>
      <c r="HY20" s="125"/>
      <c r="HZ20" s="125"/>
      <c r="IA20" s="125"/>
      <c r="IB20" s="125"/>
      <c r="IC20" s="125"/>
      <c r="ID20" s="125"/>
      <c r="IE20" s="125"/>
      <c r="IF20" s="125"/>
      <c r="IG20" s="125"/>
      <c r="IH20" s="125"/>
    </row>
    <row r="21" spans="1:242" ht="15" customHeight="1" x14ac:dyDescent="0.15">
      <c r="A21" s="493" t="s">
        <v>140</v>
      </c>
      <c r="B21" s="133" t="s">
        <v>126</v>
      </c>
      <c r="C21" s="126">
        <f>C5</f>
        <v>0.4608972122978563</v>
      </c>
      <c r="D21" s="494" t="s">
        <v>142</v>
      </c>
      <c r="E21" s="136" t="s">
        <v>137</v>
      </c>
      <c r="F21" s="129">
        <f>F14</f>
        <v>4.3186303668115614E-2</v>
      </c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25"/>
      <c r="DW21" s="125"/>
      <c r="DX21" s="125"/>
      <c r="DY21" s="125"/>
      <c r="DZ21" s="125"/>
      <c r="EA21" s="125"/>
      <c r="EB21" s="125"/>
      <c r="EC21" s="125"/>
      <c r="ED21" s="125"/>
      <c r="EE21" s="125"/>
      <c r="EF21" s="125"/>
      <c r="EG21" s="125"/>
      <c r="EH21" s="125"/>
      <c r="EI21" s="125"/>
      <c r="EJ21" s="125"/>
      <c r="EK21" s="125"/>
      <c r="EL21" s="125"/>
      <c r="EM21" s="125"/>
      <c r="EN21" s="125"/>
      <c r="EO21" s="125"/>
      <c r="EP21" s="125"/>
      <c r="EQ21" s="125"/>
      <c r="ER21" s="125"/>
      <c r="ES21" s="125"/>
      <c r="ET21" s="125"/>
      <c r="EU21" s="125"/>
      <c r="EV21" s="125"/>
      <c r="EW21" s="125"/>
      <c r="EX21" s="125"/>
      <c r="EY21" s="125"/>
      <c r="EZ21" s="125"/>
      <c r="FA21" s="125"/>
      <c r="FB21" s="125"/>
      <c r="FC21" s="125"/>
      <c r="FD21" s="125"/>
      <c r="FE21" s="125"/>
      <c r="FF21" s="125"/>
      <c r="FG21" s="125"/>
      <c r="FH21" s="125"/>
      <c r="FI21" s="125"/>
      <c r="FJ21" s="125"/>
      <c r="FK21" s="125"/>
      <c r="FL21" s="125"/>
      <c r="FM21" s="125"/>
      <c r="FN21" s="125"/>
      <c r="FO21" s="125"/>
      <c r="FP21" s="125"/>
      <c r="FQ21" s="125"/>
      <c r="FR21" s="125"/>
      <c r="FS21" s="125"/>
      <c r="FT21" s="125"/>
      <c r="FU21" s="125"/>
      <c r="FV21" s="125"/>
      <c r="FW21" s="125"/>
      <c r="FX21" s="125"/>
      <c r="FY21" s="125"/>
      <c r="FZ21" s="125"/>
      <c r="GA21" s="125"/>
      <c r="GB21" s="125"/>
      <c r="GC21" s="125"/>
      <c r="GD21" s="125"/>
      <c r="GE21" s="125"/>
      <c r="GF21" s="125"/>
      <c r="GG21" s="125"/>
      <c r="GH21" s="125"/>
      <c r="GI21" s="125"/>
      <c r="GJ21" s="125"/>
      <c r="GK21" s="125"/>
      <c r="GL21" s="125"/>
      <c r="GM21" s="125"/>
      <c r="GN21" s="125"/>
      <c r="GO21" s="125"/>
      <c r="GP21" s="125"/>
      <c r="GQ21" s="125"/>
      <c r="GR21" s="125"/>
      <c r="GS21" s="125"/>
      <c r="GT21" s="125"/>
      <c r="GU21" s="125"/>
      <c r="GV21" s="125"/>
      <c r="GW21" s="125"/>
      <c r="GX21" s="125"/>
      <c r="GY21" s="125"/>
      <c r="GZ21" s="125"/>
      <c r="HA21" s="125"/>
      <c r="HB21" s="125"/>
      <c r="HC21" s="125"/>
      <c r="HD21" s="125"/>
      <c r="HE21" s="125"/>
      <c r="HF21" s="125"/>
      <c r="HG21" s="125"/>
      <c r="HH21" s="125"/>
      <c r="HI21" s="125"/>
      <c r="HJ21" s="125"/>
      <c r="HK21" s="125"/>
      <c r="HL21" s="125"/>
      <c r="HM21" s="125"/>
      <c r="HN21" s="125"/>
      <c r="HO21" s="125"/>
      <c r="HP21" s="125"/>
      <c r="HQ21" s="125"/>
      <c r="HR21" s="125"/>
      <c r="HS21" s="125"/>
      <c r="HT21" s="125"/>
      <c r="HU21" s="125"/>
      <c r="HV21" s="125"/>
      <c r="HW21" s="125"/>
      <c r="HX21" s="125"/>
      <c r="HY21" s="125"/>
      <c r="HZ21" s="125"/>
      <c r="IA21" s="125"/>
      <c r="IB21" s="125"/>
      <c r="IC21" s="125"/>
      <c r="ID21" s="125"/>
      <c r="IE21" s="125"/>
      <c r="IF21" s="125"/>
      <c r="IG21" s="125"/>
      <c r="IH21" s="125"/>
    </row>
    <row r="22" spans="1:242" ht="15" customHeight="1" x14ac:dyDescent="0.15">
      <c r="A22" s="493"/>
      <c r="B22" s="132" t="s">
        <v>121</v>
      </c>
      <c r="C22" s="126">
        <f>C8</f>
        <v>0.66938270009477041</v>
      </c>
      <c r="D22" s="495"/>
      <c r="E22" s="133" t="s">
        <v>139</v>
      </c>
      <c r="F22" s="129">
        <f>F19</f>
        <v>0.84070525432776633</v>
      </c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25"/>
      <c r="DW22" s="125"/>
      <c r="DX22" s="125"/>
      <c r="DY22" s="125"/>
      <c r="DZ22" s="125"/>
      <c r="EA22" s="125"/>
      <c r="EB22" s="125"/>
      <c r="EC22" s="125"/>
      <c r="ED22" s="125"/>
      <c r="EE22" s="125"/>
      <c r="EF22" s="125"/>
      <c r="EG22" s="125"/>
      <c r="EH22" s="125"/>
      <c r="EI22" s="125"/>
      <c r="EJ22" s="125"/>
      <c r="EK22" s="125"/>
      <c r="EL22" s="125"/>
      <c r="EM22" s="125"/>
      <c r="EN22" s="125"/>
      <c r="EO22" s="125"/>
      <c r="EP22" s="125"/>
      <c r="EQ22" s="125"/>
      <c r="ER22" s="125"/>
      <c r="ES22" s="125"/>
      <c r="ET22" s="125"/>
      <c r="EU22" s="125"/>
      <c r="EV22" s="125"/>
      <c r="EW22" s="125"/>
      <c r="EX22" s="125"/>
      <c r="EY22" s="125"/>
      <c r="EZ22" s="125"/>
      <c r="FA22" s="125"/>
      <c r="FB22" s="125"/>
      <c r="FC22" s="125"/>
      <c r="FD22" s="125"/>
      <c r="FE22" s="125"/>
      <c r="FF22" s="125"/>
      <c r="FG22" s="125"/>
      <c r="FH22" s="125"/>
      <c r="FI22" s="125"/>
      <c r="FJ22" s="125"/>
      <c r="FK22" s="125"/>
      <c r="FL22" s="125"/>
      <c r="FM22" s="125"/>
      <c r="FN22" s="125"/>
      <c r="FO22" s="125"/>
      <c r="FP22" s="125"/>
      <c r="FQ22" s="125"/>
      <c r="FR22" s="125"/>
      <c r="FS22" s="125"/>
      <c r="FT22" s="125"/>
      <c r="FU22" s="125"/>
      <c r="FV22" s="125"/>
      <c r="FW22" s="125"/>
      <c r="FX22" s="125"/>
      <c r="FY22" s="125"/>
      <c r="FZ22" s="125"/>
      <c r="GA22" s="125"/>
      <c r="GB22" s="125"/>
      <c r="GC22" s="125"/>
      <c r="GD22" s="125"/>
      <c r="GE22" s="125"/>
      <c r="GF22" s="125"/>
      <c r="GG22" s="125"/>
      <c r="GH22" s="125"/>
      <c r="GI22" s="125"/>
      <c r="GJ22" s="125"/>
      <c r="GK22" s="125"/>
      <c r="GL22" s="125"/>
      <c r="GM22" s="125"/>
      <c r="GN22" s="125"/>
      <c r="GO22" s="125"/>
      <c r="GP22" s="125"/>
      <c r="GQ22" s="125"/>
      <c r="GR22" s="125"/>
      <c r="GS22" s="125"/>
      <c r="GT22" s="125"/>
      <c r="GU22" s="125"/>
      <c r="GV22" s="125"/>
      <c r="GW22" s="125"/>
      <c r="GX22" s="125"/>
      <c r="GY22" s="125"/>
      <c r="GZ22" s="125"/>
      <c r="HA22" s="125"/>
      <c r="HB22" s="125"/>
      <c r="HC22" s="125"/>
      <c r="HD22" s="125"/>
      <c r="HE22" s="125"/>
      <c r="HF22" s="125"/>
      <c r="HG22" s="125"/>
      <c r="HH22" s="125"/>
      <c r="HI22" s="125"/>
      <c r="HJ22" s="125"/>
      <c r="HK22" s="125"/>
      <c r="HL22" s="125"/>
      <c r="HM22" s="125"/>
      <c r="HN22" s="125"/>
      <c r="HO22" s="125"/>
      <c r="HP22" s="125"/>
      <c r="HQ22" s="125"/>
      <c r="HR22" s="125"/>
      <c r="HS22" s="125"/>
      <c r="HT22" s="125"/>
      <c r="HU22" s="125"/>
      <c r="HV22" s="125"/>
      <c r="HW22" s="125"/>
      <c r="HX22" s="125"/>
      <c r="HY22" s="125"/>
      <c r="HZ22" s="125"/>
      <c r="IA22" s="125"/>
      <c r="IB22" s="125"/>
      <c r="IC22" s="125"/>
      <c r="ID22" s="125"/>
      <c r="IE22" s="125"/>
      <c r="IF22" s="125"/>
      <c r="IG22" s="125"/>
      <c r="IH22" s="125"/>
    </row>
    <row r="23" spans="1:242" ht="15" customHeight="1" x14ac:dyDescent="0.15">
      <c r="A23" s="493"/>
      <c r="B23" s="132" t="s">
        <v>141</v>
      </c>
      <c r="C23" s="126">
        <f>C7</f>
        <v>0.24958817954682516</v>
      </c>
      <c r="D23" s="495"/>
      <c r="E23" s="133" t="s">
        <v>143</v>
      </c>
      <c r="F23" s="129">
        <f>F17</f>
        <v>0.23969419659879507</v>
      </c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25"/>
      <c r="DW23" s="125"/>
      <c r="DX23" s="125"/>
      <c r="DY23" s="125"/>
      <c r="DZ23" s="125"/>
      <c r="EA23" s="125"/>
      <c r="EB23" s="125"/>
      <c r="EC23" s="125"/>
      <c r="ED23" s="125"/>
      <c r="EE23" s="125"/>
      <c r="EF23" s="125"/>
      <c r="EG23" s="125"/>
      <c r="EH23" s="125"/>
      <c r="EI23" s="125"/>
      <c r="EJ23" s="125"/>
      <c r="EK23" s="125"/>
      <c r="EL23" s="125"/>
      <c r="EM23" s="125"/>
      <c r="EN23" s="125"/>
      <c r="EO23" s="125"/>
      <c r="EP23" s="125"/>
      <c r="EQ23" s="125"/>
      <c r="ER23" s="125"/>
      <c r="ES23" s="125"/>
      <c r="ET23" s="125"/>
      <c r="EU23" s="125"/>
      <c r="EV23" s="125"/>
      <c r="EW23" s="125"/>
      <c r="EX23" s="125"/>
      <c r="EY23" s="125"/>
      <c r="EZ23" s="125"/>
      <c r="FA23" s="125"/>
      <c r="FB23" s="125"/>
      <c r="FC23" s="125"/>
      <c r="FD23" s="125"/>
      <c r="FE23" s="125"/>
      <c r="FF23" s="125"/>
      <c r="FG23" s="125"/>
      <c r="FH23" s="125"/>
      <c r="FI23" s="125"/>
      <c r="FJ23" s="125"/>
      <c r="FK23" s="125"/>
      <c r="FL23" s="125"/>
      <c r="FM23" s="125"/>
      <c r="FN23" s="125"/>
      <c r="FO23" s="125"/>
      <c r="FP23" s="125"/>
      <c r="FQ23" s="125"/>
      <c r="FR23" s="125"/>
      <c r="FS23" s="125"/>
      <c r="FT23" s="125"/>
      <c r="FU23" s="125"/>
      <c r="FV23" s="125"/>
      <c r="FW23" s="125"/>
      <c r="FX23" s="125"/>
      <c r="FY23" s="125"/>
      <c r="FZ23" s="125"/>
      <c r="GA23" s="125"/>
      <c r="GB23" s="125"/>
      <c r="GC23" s="125"/>
      <c r="GD23" s="125"/>
      <c r="GE23" s="125"/>
      <c r="GF23" s="125"/>
      <c r="GG23" s="125"/>
      <c r="GH23" s="125"/>
      <c r="GI23" s="125"/>
      <c r="GJ23" s="125"/>
      <c r="GK23" s="125"/>
      <c r="GL23" s="125"/>
      <c r="GM23" s="125"/>
      <c r="GN23" s="125"/>
      <c r="GO23" s="125"/>
      <c r="GP23" s="125"/>
      <c r="GQ23" s="125"/>
      <c r="GR23" s="125"/>
      <c r="GS23" s="125"/>
      <c r="GT23" s="125"/>
      <c r="GU23" s="125"/>
      <c r="GV23" s="125"/>
      <c r="GW23" s="125"/>
      <c r="GX23" s="125"/>
      <c r="GY23" s="125"/>
      <c r="GZ23" s="125"/>
      <c r="HA23" s="125"/>
      <c r="HB23" s="125"/>
      <c r="HC23" s="125"/>
      <c r="HD23" s="125"/>
      <c r="HE23" s="125"/>
      <c r="HF23" s="125"/>
      <c r="HG23" s="125"/>
      <c r="HH23" s="125"/>
      <c r="HI23" s="125"/>
      <c r="HJ23" s="125"/>
      <c r="HK23" s="125"/>
      <c r="HL23" s="125"/>
      <c r="HM23" s="125"/>
      <c r="HN23" s="125"/>
      <c r="HO23" s="125"/>
      <c r="HP23" s="125"/>
      <c r="HQ23" s="125"/>
      <c r="HR23" s="125"/>
      <c r="HS23" s="125"/>
      <c r="HT23" s="125"/>
      <c r="HU23" s="125"/>
      <c r="HV23" s="125"/>
      <c r="HW23" s="125"/>
      <c r="HX23" s="125"/>
      <c r="HY23" s="125"/>
      <c r="HZ23" s="125"/>
      <c r="IA23" s="125"/>
      <c r="IB23" s="125"/>
      <c r="IC23" s="125"/>
      <c r="ID23" s="125"/>
      <c r="IE23" s="125"/>
      <c r="IF23" s="125"/>
      <c r="IG23" s="125"/>
      <c r="IH23" s="125"/>
    </row>
    <row r="24" spans="1:242" ht="15" customHeight="1" x14ac:dyDescent="0.15">
      <c r="A24" s="493"/>
      <c r="B24" s="134" t="s">
        <v>127</v>
      </c>
      <c r="C24" s="135">
        <f>SUM(C21:C23)</f>
        <v>1.3798680919394517</v>
      </c>
      <c r="D24" s="495"/>
      <c r="E24" s="133" t="s">
        <v>144</v>
      </c>
      <c r="F24" s="129">
        <f>F18</f>
        <v>0.22578372607336231</v>
      </c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  <c r="DW24" s="125"/>
      <c r="DX24" s="125"/>
      <c r="DY24" s="125"/>
      <c r="DZ24" s="125"/>
      <c r="EA24" s="125"/>
      <c r="EB24" s="125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25"/>
      <c r="ER24" s="125"/>
      <c r="ES24" s="125"/>
      <c r="ET24" s="125"/>
      <c r="EU24" s="125"/>
      <c r="EV24" s="125"/>
      <c r="EW24" s="125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25"/>
      <c r="FM24" s="125"/>
      <c r="FN24" s="125"/>
      <c r="FO24" s="125"/>
      <c r="FP24" s="125"/>
      <c r="FQ24" s="125"/>
      <c r="FR24" s="125"/>
      <c r="FS24" s="125"/>
      <c r="FT24" s="125"/>
      <c r="FU24" s="125"/>
      <c r="FV24" s="125"/>
      <c r="FW24" s="125"/>
      <c r="FX24" s="125"/>
      <c r="FY24" s="125"/>
      <c r="FZ24" s="125"/>
      <c r="GA24" s="125"/>
      <c r="GB24" s="125"/>
      <c r="GC24" s="125"/>
      <c r="GD24" s="125"/>
      <c r="GE24" s="125"/>
      <c r="GF24" s="125"/>
      <c r="GG24" s="125"/>
      <c r="GH24" s="125"/>
      <c r="GI24" s="125"/>
      <c r="GJ24" s="125"/>
      <c r="GK24" s="125"/>
      <c r="GL24" s="125"/>
      <c r="GM24" s="125"/>
      <c r="GN24" s="125"/>
      <c r="GO24" s="125"/>
      <c r="GP24" s="125"/>
      <c r="GQ24" s="125"/>
      <c r="GR24" s="125"/>
      <c r="GS24" s="125"/>
      <c r="GT24" s="125"/>
      <c r="GU24" s="125"/>
      <c r="GV24" s="125"/>
      <c r="GW24" s="125"/>
      <c r="GX24" s="125"/>
      <c r="GY24" s="125"/>
      <c r="GZ24" s="125"/>
      <c r="HA24" s="125"/>
      <c r="HB24" s="125"/>
      <c r="HC24" s="125"/>
      <c r="HD24" s="125"/>
      <c r="HE24" s="125"/>
      <c r="HF24" s="125"/>
      <c r="HG24" s="125"/>
      <c r="HH24" s="125"/>
      <c r="HI24" s="125"/>
      <c r="HJ24" s="125"/>
      <c r="HK24" s="125"/>
      <c r="HL24" s="125"/>
      <c r="HM24" s="125"/>
      <c r="HN24" s="125"/>
      <c r="HO24" s="125"/>
      <c r="HP24" s="125"/>
      <c r="HQ24" s="125"/>
      <c r="HR24" s="125"/>
      <c r="HS24" s="125"/>
      <c r="HT24" s="125"/>
      <c r="HU24" s="125"/>
      <c r="HV24" s="125"/>
      <c r="HW24" s="125"/>
      <c r="HX24" s="125"/>
      <c r="HY24" s="125"/>
      <c r="HZ24" s="125"/>
      <c r="IA24" s="125"/>
      <c r="IB24" s="125"/>
      <c r="IC24" s="125"/>
      <c r="ID24" s="125"/>
      <c r="IE24" s="125"/>
      <c r="IF24" s="125"/>
      <c r="IG24" s="125"/>
      <c r="IH24" s="125"/>
    </row>
    <row r="25" spans="1:242" ht="15" customHeight="1" x14ac:dyDescent="0.15">
      <c r="A25" s="136"/>
      <c r="B25" s="136"/>
      <c r="C25" s="136"/>
      <c r="D25" s="495"/>
      <c r="E25" s="137" t="s">
        <v>135</v>
      </c>
      <c r="F25" s="129">
        <f>F13</f>
        <v>0.12395210859452452</v>
      </c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25"/>
      <c r="DC25" s="125"/>
      <c r="DD25" s="125"/>
      <c r="DE25" s="125"/>
      <c r="DF25" s="125"/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25"/>
      <c r="DW25" s="125"/>
      <c r="DX25" s="125"/>
      <c r="DY25" s="125"/>
      <c r="DZ25" s="125"/>
      <c r="EA25" s="125"/>
      <c r="EB25" s="125"/>
      <c r="EC25" s="125"/>
      <c r="ED25" s="125"/>
      <c r="EE25" s="125"/>
      <c r="EF25" s="125"/>
      <c r="EG25" s="125"/>
      <c r="EH25" s="125"/>
      <c r="EI25" s="125"/>
      <c r="EJ25" s="125"/>
      <c r="EK25" s="125"/>
      <c r="EL25" s="125"/>
      <c r="EM25" s="125"/>
      <c r="EN25" s="125"/>
      <c r="EO25" s="125"/>
      <c r="EP25" s="125"/>
      <c r="EQ25" s="125"/>
      <c r="ER25" s="125"/>
      <c r="ES25" s="125"/>
      <c r="ET25" s="125"/>
      <c r="EU25" s="125"/>
      <c r="EV25" s="125"/>
      <c r="EW25" s="125"/>
      <c r="EX25" s="125"/>
      <c r="EY25" s="125"/>
      <c r="EZ25" s="125"/>
      <c r="FA25" s="125"/>
      <c r="FB25" s="125"/>
      <c r="FC25" s="125"/>
      <c r="FD25" s="125"/>
      <c r="FE25" s="125"/>
      <c r="FF25" s="125"/>
      <c r="FG25" s="125"/>
      <c r="FH25" s="125"/>
      <c r="FI25" s="125"/>
      <c r="FJ25" s="125"/>
      <c r="FK25" s="125"/>
      <c r="FL25" s="125"/>
      <c r="FM25" s="125"/>
      <c r="FN25" s="125"/>
      <c r="FO25" s="125"/>
      <c r="FP25" s="125"/>
      <c r="FQ25" s="125"/>
      <c r="FR25" s="125"/>
      <c r="FS25" s="125"/>
      <c r="FT25" s="125"/>
      <c r="FU25" s="125"/>
      <c r="FV25" s="125"/>
      <c r="FW25" s="125"/>
      <c r="FX25" s="125"/>
      <c r="FY25" s="125"/>
      <c r="FZ25" s="125"/>
      <c r="GA25" s="125"/>
      <c r="GB25" s="125"/>
      <c r="GC25" s="125"/>
      <c r="GD25" s="125"/>
      <c r="GE25" s="125"/>
      <c r="GF25" s="125"/>
      <c r="GG25" s="125"/>
      <c r="GH25" s="125"/>
      <c r="GI25" s="125"/>
      <c r="GJ25" s="125"/>
      <c r="GK25" s="125"/>
      <c r="GL25" s="125"/>
      <c r="GM25" s="125"/>
      <c r="GN25" s="125"/>
      <c r="GO25" s="125"/>
      <c r="GP25" s="125"/>
      <c r="GQ25" s="125"/>
      <c r="GR25" s="125"/>
      <c r="GS25" s="125"/>
      <c r="GT25" s="125"/>
      <c r="GU25" s="125"/>
      <c r="GV25" s="125"/>
      <c r="GW25" s="125"/>
      <c r="GX25" s="125"/>
      <c r="GY25" s="125"/>
      <c r="GZ25" s="125"/>
      <c r="HA25" s="125"/>
      <c r="HB25" s="125"/>
      <c r="HC25" s="125"/>
      <c r="HD25" s="125"/>
      <c r="HE25" s="125"/>
      <c r="HF25" s="125"/>
      <c r="HG25" s="125"/>
      <c r="HH25" s="125"/>
      <c r="HI25" s="125"/>
      <c r="HJ25" s="125"/>
      <c r="HK25" s="125"/>
      <c r="HL25" s="125"/>
      <c r="HM25" s="125"/>
      <c r="HN25" s="125"/>
      <c r="HO25" s="125"/>
      <c r="HP25" s="125"/>
      <c r="HQ25" s="125"/>
      <c r="HR25" s="125"/>
      <c r="HS25" s="125"/>
      <c r="HT25" s="125"/>
      <c r="HU25" s="125"/>
      <c r="HV25" s="125"/>
      <c r="HW25" s="125"/>
      <c r="HX25" s="125"/>
    </row>
    <row r="26" spans="1:242" ht="15" customHeight="1" x14ac:dyDescent="0.15">
      <c r="A26" s="136"/>
      <c r="B26" s="136"/>
      <c r="C26" s="136"/>
      <c r="D26" s="496"/>
      <c r="E26" s="134" t="s">
        <v>127</v>
      </c>
      <c r="F26" s="138">
        <f>SUM(F21:F25)</f>
        <v>1.473321589262564</v>
      </c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25"/>
      <c r="ER26" s="125"/>
      <c r="ES26" s="125"/>
      <c r="ET26" s="125"/>
      <c r="EU26" s="125"/>
      <c r="EV26" s="125"/>
      <c r="EW26" s="125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25"/>
      <c r="FM26" s="125"/>
      <c r="FN26" s="125"/>
      <c r="FO26" s="125"/>
      <c r="FP26" s="125"/>
      <c r="FQ26" s="125"/>
      <c r="FR26" s="125"/>
      <c r="FS26" s="125"/>
      <c r="FT26" s="125"/>
      <c r="FU26" s="125"/>
      <c r="FV26" s="125"/>
      <c r="FW26" s="125"/>
      <c r="FX26" s="125"/>
      <c r="FY26" s="125"/>
      <c r="FZ26" s="125"/>
      <c r="GA26" s="125"/>
      <c r="GB26" s="125"/>
      <c r="GC26" s="125"/>
      <c r="GD26" s="125"/>
      <c r="GE26" s="125"/>
      <c r="GF26" s="125"/>
      <c r="GG26" s="125"/>
      <c r="GH26" s="125"/>
      <c r="GI26" s="125"/>
      <c r="GJ26" s="125"/>
      <c r="GK26" s="125"/>
      <c r="GL26" s="125"/>
      <c r="GM26" s="125"/>
      <c r="GN26" s="125"/>
      <c r="GO26" s="125"/>
      <c r="GP26" s="125"/>
      <c r="GQ26" s="125"/>
      <c r="GR26" s="125"/>
      <c r="GS26" s="125"/>
      <c r="GT26" s="125"/>
      <c r="GU26" s="125"/>
      <c r="GV26" s="125"/>
      <c r="GW26" s="125"/>
      <c r="GX26" s="125"/>
      <c r="GY26" s="125"/>
      <c r="GZ26" s="125"/>
      <c r="HA26" s="125"/>
      <c r="HB26" s="125"/>
      <c r="HC26" s="125"/>
      <c r="HD26" s="125"/>
      <c r="HE26" s="125"/>
      <c r="HF26" s="125"/>
      <c r="HG26" s="125"/>
      <c r="HH26" s="125"/>
      <c r="HI26" s="125"/>
      <c r="HJ26" s="125"/>
      <c r="HK26" s="125"/>
      <c r="HL26" s="125"/>
      <c r="HM26" s="125"/>
      <c r="HN26" s="125"/>
      <c r="HO26" s="125"/>
      <c r="HP26" s="125"/>
      <c r="HQ26" s="125"/>
      <c r="HR26" s="125"/>
      <c r="HS26" s="125"/>
      <c r="HT26" s="125"/>
      <c r="HU26" s="125"/>
      <c r="HV26" s="125"/>
      <c r="HW26" s="125"/>
      <c r="HX26" s="125"/>
    </row>
    <row r="27" spans="1:242" ht="15" customHeight="1" x14ac:dyDescent="0.15"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P27" s="125"/>
      <c r="CQ27" s="125"/>
      <c r="CR27" s="125"/>
      <c r="CS27" s="125"/>
      <c r="CT27" s="125"/>
      <c r="CU27" s="125"/>
      <c r="CV27" s="125"/>
      <c r="CW27" s="125"/>
      <c r="CX27" s="125"/>
      <c r="CY27" s="125"/>
      <c r="CZ27" s="125"/>
      <c r="DA27" s="125"/>
      <c r="DB27" s="125"/>
      <c r="DC27" s="125"/>
      <c r="DD27" s="125"/>
      <c r="DE27" s="125"/>
      <c r="DF27" s="125"/>
      <c r="DG27" s="125"/>
      <c r="DH27" s="125"/>
      <c r="DI27" s="125"/>
      <c r="DJ27" s="125"/>
      <c r="DK27" s="125"/>
      <c r="DL27" s="125"/>
      <c r="DM27" s="125"/>
      <c r="DN27" s="125"/>
      <c r="DO27" s="125"/>
      <c r="DP27" s="125"/>
      <c r="DQ27" s="125"/>
      <c r="DR27" s="125"/>
      <c r="DS27" s="125"/>
      <c r="DT27" s="125"/>
      <c r="DU27" s="125"/>
      <c r="DV27" s="125"/>
      <c r="DW27" s="125"/>
      <c r="DX27" s="125"/>
      <c r="DY27" s="125"/>
      <c r="DZ27" s="125"/>
      <c r="EA27" s="125"/>
      <c r="EB27" s="125"/>
      <c r="EC27" s="125"/>
      <c r="ED27" s="125"/>
      <c r="EE27" s="125"/>
      <c r="EF27" s="125"/>
      <c r="EG27" s="125"/>
      <c r="EH27" s="125"/>
      <c r="EI27" s="125"/>
      <c r="EJ27" s="125"/>
      <c r="EK27" s="125"/>
      <c r="EL27" s="125"/>
      <c r="EM27" s="125"/>
      <c r="EN27" s="125"/>
      <c r="EO27" s="125"/>
      <c r="EP27" s="125"/>
      <c r="EQ27" s="125"/>
      <c r="ER27" s="125"/>
      <c r="ES27" s="125"/>
      <c r="ET27" s="125"/>
      <c r="EU27" s="125"/>
      <c r="EV27" s="125"/>
      <c r="EW27" s="125"/>
      <c r="EX27" s="125"/>
      <c r="EY27" s="125"/>
      <c r="EZ27" s="125"/>
      <c r="FA27" s="125"/>
      <c r="FB27" s="125"/>
      <c r="FC27" s="125"/>
      <c r="FD27" s="125"/>
      <c r="FE27" s="125"/>
      <c r="FF27" s="125"/>
      <c r="FG27" s="125"/>
      <c r="FH27" s="125"/>
      <c r="FI27" s="125"/>
      <c r="FJ27" s="125"/>
      <c r="FK27" s="125"/>
      <c r="FL27" s="125"/>
      <c r="FM27" s="125"/>
      <c r="FN27" s="125"/>
      <c r="FO27" s="125"/>
      <c r="FP27" s="125"/>
      <c r="FQ27" s="125"/>
      <c r="FR27" s="125"/>
      <c r="FS27" s="125"/>
      <c r="FT27" s="125"/>
      <c r="FU27" s="125"/>
      <c r="FV27" s="125"/>
      <c r="FW27" s="125"/>
      <c r="FX27" s="125"/>
      <c r="FY27" s="125"/>
      <c r="FZ27" s="125"/>
      <c r="GA27" s="125"/>
      <c r="GB27" s="125"/>
      <c r="GC27" s="125"/>
      <c r="GD27" s="125"/>
      <c r="GE27" s="125"/>
      <c r="GF27" s="125"/>
      <c r="GG27" s="125"/>
      <c r="GH27" s="125"/>
      <c r="GI27" s="125"/>
      <c r="GJ27" s="125"/>
      <c r="GK27" s="125"/>
      <c r="GL27" s="125"/>
      <c r="GM27" s="125"/>
      <c r="GN27" s="125"/>
      <c r="GO27" s="125"/>
      <c r="GP27" s="125"/>
      <c r="GQ27" s="125"/>
      <c r="GR27" s="125"/>
      <c r="GS27" s="125"/>
      <c r="GT27" s="125"/>
      <c r="GU27" s="125"/>
      <c r="GV27" s="125"/>
      <c r="GW27" s="125"/>
      <c r="GX27" s="125"/>
      <c r="GY27" s="125"/>
      <c r="GZ27" s="125"/>
      <c r="HA27" s="125"/>
      <c r="HB27" s="125"/>
      <c r="HC27" s="125"/>
      <c r="HD27" s="125"/>
      <c r="HE27" s="125"/>
      <c r="HF27" s="125"/>
      <c r="HG27" s="125"/>
      <c r="HH27" s="125"/>
      <c r="HI27" s="125"/>
      <c r="HJ27" s="125"/>
      <c r="HK27" s="125"/>
      <c r="HL27" s="125"/>
      <c r="HM27" s="125"/>
      <c r="HN27" s="125"/>
      <c r="HO27" s="125"/>
      <c r="HP27" s="125"/>
      <c r="HQ27" s="125"/>
      <c r="HR27" s="125"/>
      <c r="HS27" s="125"/>
      <c r="HT27" s="125"/>
      <c r="HU27" s="125"/>
      <c r="HV27" s="125"/>
      <c r="HW27" s="125"/>
      <c r="HX27" s="125"/>
    </row>
    <row r="28" spans="1:242" ht="15" customHeight="1" x14ac:dyDescent="0.15"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25"/>
      <c r="DB28" s="125"/>
      <c r="DC28" s="125"/>
      <c r="DD28" s="125"/>
      <c r="DE28" s="125"/>
      <c r="DF28" s="125"/>
      <c r="DG28" s="125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  <c r="EC28" s="125"/>
      <c r="ED28" s="125"/>
      <c r="EE28" s="125"/>
      <c r="EF28" s="125"/>
      <c r="EG28" s="125"/>
      <c r="EH28" s="125"/>
      <c r="EI28" s="125"/>
      <c r="EJ28" s="125"/>
      <c r="EK28" s="125"/>
      <c r="EL28" s="125"/>
      <c r="EM28" s="125"/>
      <c r="EN28" s="125"/>
      <c r="EO28" s="125"/>
      <c r="EP28" s="125"/>
      <c r="EQ28" s="125"/>
      <c r="ER28" s="125"/>
      <c r="ES28" s="125"/>
      <c r="ET28" s="125"/>
      <c r="EU28" s="125"/>
      <c r="EV28" s="125"/>
      <c r="EW28" s="125"/>
      <c r="EX28" s="125"/>
      <c r="EY28" s="125"/>
      <c r="EZ28" s="125"/>
      <c r="FA28" s="125"/>
      <c r="FB28" s="125"/>
      <c r="FC28" s="125"/>
      <c r="FD28" s="125"/>
      <c r="FE28" s="125"/>
      <c r="FF28" s="125"/>
      <c r="FG28" s="125"/>
      <c r="FH28" s="125"/>
      <c r="FI28" s="125"/>
      <c r="FJ28" s="125"/>
      <c r="FK28" s="125"/>
      <c r="FL28" s="125"/>
      <c r="FM28" s="125"/>
      <c r="FN28" s="125"/>
      <c r="FO28" s="125"/>
      <c r="FP28" s="125"/>
      <c r="FQ28" s="125"/>
      <c r="FR28" s="125"/>
      <c r="FS28" s="125"/>
      <c r="FT28" s="125"/>
      <c r="FU28" s="125"/>
      <c r="FV28" s="125"/>
      <c r="FW28" s="125"/>
      <c r="FX28" s="125"/>
      <c r="FY28" s="125"/>
      <c r="FZ28" s="125"/>
      <c r="GA28" s="125"/>
      <c r="GB28" s="125"/>
      <c r="GC28" s="125"/>
      <c r="GD28" s="125"/>
      <c r="GE28" s="125"/>
      <c r="GF28" s="125"/>
      <c r="GG28" s="125"/>
      <c r="GH28" s="125"/>
      <c r="GI28" s="125"/>
      <c r="GJ28" s="125"/>
      <c r="GK28" s="125"/>
      <c r="GL28" s="125"/>
      <c r="GM28" s="125"/>
      <c r="GN28" s="125"/>
      <c r="GO28" s="125"/>
      <c r="GP28" s="125"/>
      <c r="GQ28" s="125"/>
      <c r="GR28" s="125"/>
      <c r="GS28" s="125"/>
      <c r="GT28" s="125"/>
      <c r="GU28" s="125"/>
      <c r="GV28" s="125"/>
      <c r="GW28" s="125"/>
      <c r="GX28" s="125"/>
      <c r="GY28" s="125"/>
      <c r="GZ28" s="125"/>
      <c r="HA28" s="125"/>
      <c r="HB28" s="125"/>
      <c r="HC28" s="125"/>
      <c r="HD28" s="125"/>
      <c r="HE28" s="125"/>
      <c r="HF28" s="125"/>
      <c r="HG28" s="125"/>
      <c r="HH28" s="125"/>
      <c r="HI28" s="125"/>
      <c r="HJ28" s="125"/>
      <c r="HK28" s="125"/>
      <c r="HL28" s="125"/>
      <c r="HM28" s="125"/>
      <c r="HN28" s="125"/>
      <c r="HO28" s="125"/>
      <c r="HP28" s="125"/>
      <c r="HQ28" s="125"/>
      <c r="HR28" s="125"/>
      <c r="HS28" s="125"/>
      <c r="HT28" s="125"/>
      <c r="HU28" s="125"/>
      <c r="HV28" s="125"/>
      <c r="HW28" s="125"/>
      <c r="HX28" s="125"/>
    </row>
    <row r="29" spans="1:242" ht="15" customHeight="1" x14ac:dyDescent="0.15"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5"/>
      <c r="DD29" s="125"/>
      <c r="DE29" s="125"/>
      <c r="DF29" s="125"/>
      <c r="DG29" s="125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  <c r="DT29" s="125"/>
      <c r="DU29" s="125"/>
      <c r="DV29" s="125"/>
      <c r="DW29" s="125"/>
      <c r="DX29" s="125"/>
      <c r="DY29" s="125"/>
      <c r="DZ29" s="125"/>
      <c r="EA29" s="125"/>
      <c r="EB29" s="125"/>
      <c r="EC29" s="125"/>
      <c r="ED29" s="125"/>
      <c r="EE29" s="125"/>
      <c r="EF29" s="125"/>
      <c r="EG29" s="125"/>
      <c r="EH29" s="125"/>
      <c r="EI29" s="125"/>
      <c r="EJ29" s="125"/>
      <c r="EK29" s="125"/>
      <c r="EL29" s="125"/>
      <c r="EM29" s="125"/>
      <c r="EN29" s="125"/>
      <c r="EO29" s="125"/>
      <c r="EP29" s="125"/>
      <c r="EQ29" s="125"/>
      <c r="ER29" s="125"/>
      <c r="ES29" s="125"/>
      <c r="ET29" s="125"/>
      <c r="EU29" s="125"/>
      <c r="EV29" s="125"/>
      <c r="EW29" s="125"/>
      <c r="EX29" s="125"/>
      <c r="EY29" s="125"/>
      <c r="EZ29" s="125"/>
      <c r="FA29" s="125"/>
      <c r="FB29" s="125"/>
      <c r="FC29" s="125"/>
      <c r="FD29" s="125"/>
      <c r="FE29" s="125"/>
      <c r="FF29" s="125"/>
      <c r="FG29" s="125"/>
      <c r="FH29" s="125"/>
      <c r="FI29" s="125"/>
      <c r="FJ29" s="125"/>
      <c r="FK29" s="125"/>
      <c r="FL29" s="125"/>
      <c r="FM29" s="125"/>
      <c r="FN29" s="125"/>
      <c r="FO29" s="125"/>
      <c r="FP29" s="125"/>
      <c r="FQ29" s="125"/>
      <c r="FR29" s="125"/>
      <c r="FS29" s="125"/>
      <c r="FT29" s="125"/>
      <c r="FU29" s="125"/>
      <c r="FV29" s="125"/>
      <c r="FW29" s="125"/>
      <c r="FX29" s="125"/>
      <c r="FY29" s="125"/>
      <c r="FZ29" s="125"/>
      <c r="GA29" s="125"/>
      <c r="GB29" s="125"/>
      <c r="GC29" s="125"/>
      <c r="GD29" s="125"/>
      <c r="GE29" s="125"/>
      <c r="GF29" s="125"/>
      <c r="GG29" s="125"/>
      <c r="GH29" s="125"/>
      <c r="GI29" s="125"/>
      <c r="GJ29" s="125"/>
      <c r="GK29" s="125"/>
      <c r="GL29" s="125"/>
      <c r="GM29" s="125"/>
      <c r="GN29" s="125"/>
      <c r="GO29" s="125"/>
      <c r="GP29" s="125"/>
      <c r="GQ29" s="125"/>
      <c r="GR29" s="125"/>
      <c r="GS29" s="125"/>
      <c r="GT29" s="125"/>
      <c r="GU29" s="125"/>
      <c r="GV29" s="125"/>
      <c r="GW29" s="125"/>
      <c r="GX29" s="125"/>
      <c r="GY29" s="125"/>
      <c r="GZ29" s="125"/>
      <c r="HA29" s="125"/>
      <c r="HB29" s="125"/>
      <c r="HC29" s="125"/>
      <c r="HD29" s="125"/>
      <c r="HE29" s="125"/>
      <c r="HF29" s="125"/>
      <c r="HG29" s="125"/>
      <c r="HH29" s="125"/>
      <c r="HI29" s="125"/>
      <c r="HJ29" s="125"/>
      <c r="HK29" s="125"/>
      <c r="HL29" s="125"/>
      <c r="HM29" s="125"/>
      <c r="HN29" s="125"/>
      <c r="HO29" s="125"/>
      <c r="HP29" s="125"/>
      <c r="HQ29" s="125"/>
      <c r="HR29" s="125"/>
      <c r="HS29" s="125"/>
      <c r="HT29" s="125"/>
      <c r="HU29" s="125"/>
      <c r="HV29" s="125"/>
      <c r="HW29" s="125"/>
      <c r="HX29" s="125"/>
    </row>
    <row r="30" spans="1:242" ht="15" customHeight="1" x14ac:dyDescent="0.15"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Q30" s="125"/>
      <c r="CR30" s="125"/>
      <c r="CS30" s="125"/>
      <c r="CT30" s="125"/>
      <c r="CU30" s="125"/>
      <c r="CV30" s="125"/>
      <c r="CW30" s="125"/>
      <c r="CX30" s="125"/>
      <c r="CY30" s="125"/>
      <c r="CZ30" s="125"/>
      <c r="DA30" s="125"/>
      <c r="DB30" s="125"/>
      <c r="DC30" s="125"/>
      <c r="DD30" s="125"/>
      <c r="DE30" s="125"/>
      <c r="DF30" s="125"/>
      <c r="DG30" s="125"/>
      <c r="DH30" s="125"/>
      <c r="DI30" s="125"/>
      <c r="DJ30" s="125"/>
      <c r="DK30" s="125"/>
      <c r="DL30" s="125"/>
      <c r="DM30" s="125"/>
      <c r="DN30" s="125"/>
      <c r="DO30" s="125"/>
      <c r="DP30" s="125"/>
      <c r="DQ30" s="125"/>
      <c r="DR30" s="125"/>
      <c r="DS30" s="125"/>
      <c r="DT30" s="125"/>
      <c r="DU30" s="125"/>
      <c r="DV30" s="125"/>
      <c r="DW30" s="125"/>
      <c r="DX30" s="125"/>
      <c r="DY30" s="125"/>
      <c r="DZ30" s="125"/>
      <c r="EA30" s="125"/>
      <c r="EB30" s="125"/>
      <c r="EC30" s="125"/>
      <c r="ED30" s="125"/>
      <c r="EE30" s="125"/>
      <c r="EF30" s="125"/>
      <c r="EG30" s="125"/>
      <c r="EH30" s="125"/>
      <c r="EI30" s="125"/>
      <c r="EJ30" s="125"/>
      <c r="EK30" s="125"/>
      <c r="EL30" s="125"/>
      <c r="EM30" s="125"/>
      <c r="EN30" s="125"/>
      <c r="EO30" s="125"/>
      <c r="EP30" s="125"/>
      <c r="EQ30" s="125"/>
      <c r="ER30" s="125"/>
      <c r="ES30" s="125"/>
      <c r="ET30" s="125"/>
      <c r="EU30" s="125"/>
      <c r="EV30" s="125"/>
      <c r="EW30" s="125"/>
      <c r="EX30" s="125"/>
      <c r="EY30" s="125"/>
      <c r="EZ30" s="125"/>
      <c r="FA30" s="125"/>
      <c r="FB30" s="125"/>
      <c r="FC30" s="125"/>
      <c r="FD30" s="125"/>
      <c r="FE30" s="125"/>
      <c r="FF30" s="125"/>
      <c r="FG30" s="125"/>
      <c r="FH30" s="125"/>
      <c r="FI30" s="125"/>
      <c r="FJ30" s="125"/>
      <c r="FK30" s="125"/>
      <c r="FL30" s="125"/>
      <c r="FM30" s="125"/>
      <c r="FN30" s="125"/>
      <c r="FO30" s="125"/>
      <c r="FP30" s="125"/>
      <c r="FQ30" s="125"/>
      <c r="FR30" s="125"/>
      <c r="FS30" s="125"/>
      <c r="FT30" s="125"/>
      <c r="FU30" s="125"/>
      <c r="FV30" s="125"/>
      <c r="FW30" s="125"/>
      <c r="FX30" s="125"/>
      <c r="FY30" s="125"/>
      <c r="FZ30" s="125"/>
      <c r="GA30" s="125"/>
      <c r="GB30" s="125"/>
      <c r="GC30" s="125"/>
      <c r="GD30" s="125"/>
      <c r="GE30" s="125"/>
      <c r="GF30" s="125"/>
      <c r="GG30" s="125"/>
      <c r="GH30" s="125"/>
      <c r="GI30" s="125"/>
      <c r="GJ30" s="125"/>
      <c r="GK30" s="125"/>
      <c r="GL30" s="125"/>
      <c r="GM30" s="125"/>
      <c r="GN30" s="125"/>
      <c r="GO30" s="125"/>
      <c r="GP30" s="125"/>
      <c r="GQ30" s="125"/>
      <c r="GR30" s="125"/>
      <c r="GS30" s="125"/>
      <c r="GT30" s="125"/>
      <c r="GU30" s="125"/>
      <c r="GV30" s="125"/>
      <c r="GW30" s="125"/>
      <c r="GX30" s="125"/>
      <c r="GY30" s="125"/>
      <c r="GZ30" s="125"/>
      <c r="HA30" s="125"/>
      <c r="HB30" s="125"/>
      <c r="HC30" s="125"/>
      <c r="HD30" s="125"/>
      <c r="HE30" s="125"/>
      <c r="HF30" s="125"/>
      <c r="HG30" s="125"/>
      <c r="HH30" s="125"/>
      <c r="HI30" s="125"/>
      <c r="HJ30" s="125"/>
      <c r="HK30" s="125"/>
      <c r="HL30" s="125"/>
      <c r="HM30" s="125"/>
      <c r="HN30" s="125"/>
      <c r="HO30" s="125"/>
      <c r="HP30" s="125"/>
      <c r="HQ30" s="125"/>
      <c r="HR30" s="125"/>
      <c r="HS30" s="125"/>
      <c r="HT30" s="125"/>
      <c r="HU30" s="125"/>
      <c r="HV30" s="125"/>
      <c r="HW30" s="125"/>
      <c r="HX30" s="125"/>
    </row>
    <row r="31" spans="1:242" ht="15" customHeight="1" x14ac:dyDescent="0.15">
      <c r="F31" s="123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5"/>
      <c r="DD31" s="125"/>
      <c r="DE31" s="125"/>
      <c r="DF31" s="125"/>
      <c r="DG31" s="125"/>
      <c r="DH31" s="125"/>
      <c r="DI31" s="125"/>
      <c r="DJ31" s="125"/>
      <c r="DK31" s="125"/>
      <c r="DL31" s="125"/>
      <c r="DM31" s="125"/>
      <c r="DN31" s="125"/>
      <c r="DO31" s="125"/>
      <c r="DP31" s="125"/>
      <c r="DQ31" s="125"/>
      <c r="DR31" s="125"/>
      <c r="DS31" s="125"/>
      <c r="DT31" s="125"/>
      <c r="DU31" s="125"/>
      <c r="DV31" s="125"/>
      <c r="DW31" s="125"/>
      <c r="DX31" s="125"/>
      <c r="DY31" s="125"/>
      <c r="DZ31" s="125"/>
      <c r="EA31" s="125"/>
      <c r="EB31" s="125"/>
      <c r="EC31" s="125"/>
      <c r="ED31" s="125"/>
      <c r="EE31" s="125"/>
      <c r="EF31" s="125"/>
      <c r="EG31" s="125"/>
      <c r="EH31" s="125"/>
      <c r="EI31" s="125"/>
      <c r="EJ31" s="125"/>
      <c r="EK31" s="125"/>
      <c r="EL31" s="125"/>
      <c r="EM31" s="125"/>
      <c r="EN31" s="125"/>
      <c r="EO31" s="125"/>
      <c r="EP31" s="125"/>
      <c r="EQ31" s="125"/>
      <c r="ER31" s="125"/>
      <c r="ES31" s="125"/>
      <c r="ET31" s="125"/>
      <c r="EU31" s="125"/>
      <c r="EV31" s="125"/>
      <c r="EW31" s="125"/>
      <c r="EX31" s="125"/>
      <c r="EY31" s="125"/>
      <c r="EZ31" s="125"/>
      <c r="FA31" s="125"/>
      <c r="FB31" s="125"/>
      <c r="FC31" s="125"/>
      <c r="FD31" s="125"/>
      <c r="FE31" s="125"/>
      <c r="FF31" s="125"/>
      <c r="FG31" s="125"/>
      <c r="FH31" s="125"/>
      <c r="FI31" s="125"/>
      <c r="FJ31" s="125"/>
      <c r="FK31" s="125"/>
      <c r="FL31" s="125"/>
      <c r="FM31" s="125"/>
      <c r="FN31" s="125"/>
      <c r="FO31" s="125"/>
      <c r="FP31" s="125"/>
      <c r="FQ31" s="125"/>
      <c r="FR31" s="125"/>
      <c r="FS31" s="125"/>
      <c r="FT31" s="125"/>
      <c r="FU31" s="125"/>
      <c r="FV31" s="125"/>
      <c r="FW31" s="125"/>
      <c r="FX31" s="125"/>
      <c r="FY31" s="125"/>
      <c r="FZ31" s="125"/>
      <c r="GA31" s="125"/>
      <c r="GB31" s="125"/>
      <c r="GC31" s="125"/>
      <c r="GD31" s="125"/>
      <c r="GE31" s="125"/>
      <c r="GF31" s="125"/>
      <c r="GG31" s="125"/>
      <c r="GH31" s="125"/>
      <c r="GI31" s="125"/>
      <c r="GJ31" s="125"/>
      <c r="GK31" s="125"/>
      <c r="GL31" s="125"/>
      <c r="GM31" s="125"/>
      <c r="GN31" s="125"/>
      <c r="GO31" s="125"/>
      <c r="GP31" s="125"/>
      <c r="GQ31" s="125"/>
      <c r="GR31" s="125"/>
      <c r="GS31" s="125"/>
      <c r="GT31" s="125"/>
      <c r="GU31" s="125"/>
      <c r="GV31" s="125"/>
      <c r="GW31" s="125"/>
      <c r="GX31" s="125"/>
      <c r="GY31" s="125"/>
      <c r="GZ31" s="125"/>
      <c r="HA31" s="125"/>
      <c r="HB31" s="125"/>
      <c r="HC31" s="125"/>
      <c r="HD31" s="125"/>
      <c r="HE31" s="125"/>
      <c r="HF31" s="125"/>
      <c r="HG31" s="125"/>
      <c r="HH31" s="125"/>
      <c r="HI31" s="125"/>
      <c r="HJ31" s="125"/>
      <c r="HK31" s="125"/>
      <c r="HL31" s="125"/>
      <c r="HM31" s="125"/>
      <c r="HN31" s="125"/>
      <c r="HO31" s="125"/>
      <c r="HP31" s="125"/>
      <c r="HQ31" s="125"/>
      <c r="HR31" s="125"/>
      <c r="HS31" s="125"/>
      <c r="HT31" s="125"/>
      <c r="HU31" s="125"/>
      <c r="HV31" s="125"/>
      <c r="HW31" s="125"/>
      <c r="HX31" s="125"/>
    </row>
    <row r="32" spans="1:242" ht="15" customHeight="1" x14ac:dyDescent="0.15">
      <c r="F32" s="123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25"/>
      <c r="CG32" s="125"/>
      <c r="CH32" s="125"/>
      <c r="CI32" s="125"/>
      <c r="CJ32" s="125"/>
      <c r="CK32" s="125"/>
      <c r="CL32" s="125"/>
      <c r="CM32" s="125"/>
      <c r="CN32" s="125"/>
      <c r="CO32" s="125"/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25"/>
      <c r="DB32" s="125"/>
      <c r="DC32" s="125"/>
      <c r="DD32" s="125"/>
      <c r="DE32" s="125"/>
      <c r="DF32" s="125"/>
      <c r="DG32" s="125"/>
      <c r="DH32" s="125"/>
      <c r="DI32" s="125"/>
      <c r="DJ32" s="125"/>
      <c r="DK32" s="125"/>
      <c r="DL32" s="125"/>
      <c r="DM32" s="125"/>
      <c r="DN32" s="125"/>
      <c r="DO32" s="125"/>
      <c r="DP32" s="125"/>
      <c r="DQ32" s="125"/>
      <c r="DR32" s="125"/>
      <c r="DS32" s="125"/>
      <c r="DT32" s="125"/>
      <c r="DU32" s="125"/>
      <c r="DV32" s="125"/>
      <c r="DW32" s="125"/>
      <c r="DX32" s="125"/>
      <c r="DY32" s="125"/>
      <c r="DZ32" s="125"/>
      <c r="EA32" s="125"/>
      <c r="EB32" s="125"/>
      <c r="EC32" s="125"/>
      <c r="ED32" s="125"/>
      <c r="EE32" s="125"/>
      <c r="EF32" s="125"/>
      <c r="EG32" s="125"/>
      <c r="EH32" s="125"/>
      <c r="EI32" s="125"/>
      <c r="EJ32" s="125"/>
      <c r="EK32" s="125"/>
      <c r="EL32" s="125"/>
      <c r="EM32" s="125"/>
      <c r="EN32" s="125"/>
      <c r="EO32" s="125"/>
      <c r="EP32" s="125"/>
      <c r="EQ32" s="125"/>
      <c r="ER32" s="125"/>
      <c r="ES32" s="125"/>
      <c r="ET32" s="125"/>
      <c r="EU32" s="125"/>
      <c r="EV32" s="125"/>
      <c r="EW32" s="125"/>
      <c r="EX32" s="125"/>
      <c r="EY32" s="125"/>
      <c r="EZ32" s="125"/>
      <c r="FA32" s="125"/>
      <c r="FB32" s="125"/>
      <c r="FC32" s="125"/>
      <c r="FD32" s="125"/>
      <c r="FE32" s="125"/>
      <c r="FF32" s="125"/>
      <c r="FG32" s="125"/>
      <c r="FH32" s="125"/>
      <c r="FI32" s="125"/>
      <c r="FJ32" s="125"/>
      <c r="FK32" s="125"/>
      <c r="FL32" s="125"/>
      <c r="FM32" s="125"/>
      <c r="FN32" s="125"/>
      <c r="FO32" s="125"/>
      <c r="FP32" s="125"/>
      <c r="FQ32" s="125"/>
      <c r="FR32" s="125"/>
      <c r="FS32" s="125"/>
      <c r="FT32" s="125"/>
      <c r="FU32" s="125"/>
      <c r="FV32" s="125"/>
      <c r="FW32" s="125"/>
      <c r="FX32" s="125"/>
      <c r="FY32" s="125"/>
      <c r="FZ32" s="125"/>
      <c r="GA32" s="125"/>
      <c r="GB32" s="125"/>
      <c r="GC32" s="125"/>
      <c r="GD32" s="125"/>
      <c r="GE32" s="125"/>
      <c r="GF32" s="125"/>
      <c r="GG32" s="125"/>
      <c r="GH32" s="125"/>
      <c r="GI32" s="125"/>
      <c r="GJ32" s="125"/>
      <c r="GK32" s="125"/>
      <c r="GL32" s="125"/>
      <c r="GM32" s="125"/>
      <c r="GN32" s="125"/>
      <c r="GO32" s="125"/>
      <c r="GP32" s="125"/>
      <c r="GQ32" s="125"/>
      <c r="GR32" s="125"/>
      <c r="GS32" s="125"/>
      <c r="GT32" s="125"/>
      <c r="GU32" s="125"/>
      <c r="GV32" s="125"/>
      <c r="GW32" s="125"/>
      <c r="GX32" s="125"/>
      <c r="GY32" s="125"/>
      <c r="GZ32" s="125"/>
      <c r="HA32" s="125"/>
      <c r="HB32" s="125"/>
      <c r="HC32" s="125"/>
      <c r="HD32" s="125"/>
      <c r="HE32" s="125"/>
      <c r="HF32" s="125"/>
      <c r="HG32" s="125"/>
      <c r="HH32" s="125"/>
      <c r="HI32" s="125"/>
      <c r="HJ32" s="125"/>
      <c r="HK32" s="125"/>
      <c r="HL32" s="125"/>
      <c r="HM32" s="125"/>
      <c r="HN32" s="125"/>
      <c r="HO32" s="125"/>
      <c r="HP32" s="125"/>
      <c r="HQ32" s="125"/>
      <c r="HR32" s="125"/>
      <c r="HS32" s="125"/>
      <c r="HT32" s="125"/>
      <c r="HU32" s="125"/>
      <c r="HV32" s="125"/>
      <c r="HW32" s="125"/>
      <c r="HX32" s="125"/>
    </row>
    <row r="33" spans="4:232" ht="15" customHeight="1" x14ac:dyDescent="0.15">
      <c r="D33" s="128"/>
      <c r="E33" s="128"/>
      <c r="F33" s="123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25"/>
      <c r="DB33" s="125"/>
      <c r="DC33" s="125"/>
      <c r="DD33" s="125"/>
      <c r="DE33" s="125"/>
      <c r="DF33" s="125"/>
      <c r="DG33" s="125"/>
      <c r="DH33" s="125"/>
      <c r="DI33" s="125"/>
      <c r="DJ33" s="125"/>
      <c r="DK33" s="125"/>
      <c r="DL33" s="125"/>
      <c r="DM33" s="125"/>
      <c r="DN33" s="125"/>
      <c r="DO33" s="125"/>
      <c r="DP33" s="125"/>
      <c r="DQ33" s="125"/>
      <c r="DR33" s="125"/>
      <c r="DS33" s="125"/>
      <c r="DT33" s="125"/>
      <c r="DU33" s="125"/>
      <c r="DV33" s="125"/>
      <c r="DW33" s="125"/>
      <c r="DX33" s="125"/>
      <c r="DY33" s="125"/>
      <c r="DZ33" s="125"/>
      <c r="EA33" s="125"/>
      <c r="EB33" s="125"/>
      <c r="EC33" s="125"/>
      <c r="ED33" s="125"/>
      <c r="EE33" s="125"/>
      <c r="EF33" s="125"/>
      <c r="EG33" s="125"/>
      <c r="EH33" s="125"/>
      <c r="EI33" s="125"/>
      <c r="EJ33" s="125"/>
      <c r="EK33" s="125"/>
      <c r="EL33" s="125"/>
      <c r="EM33" s="125"/>
      <c r="EN33" s="125"/>
      <c r="EO33" s="125"/>
      <c r="EP33" s="125"/>
      <c r="EQ33" s="125"/>
      <c r="ER33" s="125"/>
      <c r="ES33" s="125"/>
      <c r="ET33" s="125"/>
      <c r="EU33" s="125"/>
      <c r="EV33" s="125"/>
      <c r="EW33" s="125"/>
      <c r="EX33" s="125"/>
      <c r="EY33" s="125"/>
      <c r="EZ33" s="125"/>
      <c r="FA33" s="125"/>
      <c r="FB33" s="125"/>
      <c r="FC33" s="125"/>
      <c r="FD33" s="125"/>
      <c r="FE33" s="125"/>
      <c r="FF33" s="125"/>
      <c r="FG33" s="125"/>
      <c r="FH33" s="125"/>
      <c r="FI33" s="125"/>
      <c r="FJ33" s="125"/>
      <c r="FK33" s="125"/>
      <c r="FL33" s="125"/>
      <c r="FM33" s="125"/>
      <c r="FN33" s="125"/>
      <c r="FO33" s="125"/>
      <c r="FP33" s="125"/>
      <c r="FQ33" s="125"/>
      <c r="FR33" s="125"/>
      <c r="FS33" s="125"/>
      <c r="FT33" s="125"/>
      <c r="FU33" s="125"/>
      <c r="FV33" s="125"/>
      <c r="FW33" s="125"/>
      <c r="FX33" s="125"/>
      <c r="FY33" s="125"/>
      <c r="FZ33" s="125"/>
      <c r="GA33" s="125"/>
      <c r="GB33" s="125"/>
      <c r="GC33" s="125"/>
      <c r="GD33" s="125"/>
      <c r="GE33" s="125"/>
      <c r="GF33" s="125"/>
      <c r="GG33" s="125"/>
      <c r="GH33" s="125"/>
      <c r="GI33" s="125"/>
      <c r="GJ33" s="125"/>
      <c r="GK33" s="125"/>
      <c r="GL33" s="125"/>
      <c r="GM33" s="125"/>
      <c r="GN33" s="125"/>
      <c r="GO33" s="125"/>
      <c r="GP33" s="125"/>
      <c r="GQ33" s="125"/>
      <c r="GR33" s="125"/>
      <c r="GS33" s="125"/>
      <c r="GT33" s="125"/>
      <c r="GU33" s="125"/>
      <c r="GV33" s="125"/>
      <c r="GW33" s="125"/>
      <c r="GX33" s="125"/>
      <c r="GY33" s="125"/>
      <c r="GZ33" s="125"/>
      <c r="HA33" s="125"/>
      <c r="HB33" s="125"/>
      <c r="HC33" s="125"/>
      <c r="HD33" s="125"/>
      <c r="HE33" s="125"/>
      <c r="HF33" s="125"/>
      <c r="HG33" s="125"/>
      <c r="HH33" s="125"/>
      <c r="HI33" s="125"/>
      <c r="HJ33" s="125"/>
      <c r="HK33" s="125"/>
      <c r="HL33" s="125"/>
      <c r="HM33" s="125"/>
      <c r="HN33" s="125"/>
      <c r="HO33" s="125"/>
      <c r="HP33" s="125"/>
      <c r="HQ33" s="125"/>
      <c r="HR33" s="125"/>
      <c r="HS33" s="125"/>
      <c r="HT33" s="125"/>
      <c r="HU33" s="125"/>
      <c r="HV33" s="125"/>
      <c r="HW33" s="125"/>
      <c r="HX33" s="125"/>
    </row>
    <row r="34" spans="4:232" ht="15" customHeight="1" x14ac:dyDescent="0.15"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25"/>
      <c r="DB34" s="125"/>
      <c r="DC34" s="125"/>
      <c r="DD34" s="125"/>
      <c r="DE34" s="125"/>
      <c r="DF34" s="125"/>
      <c r="DG34" s="125"/>
      <c r="DH34" s="125"/>
      <c r="DI34" s="125"/>
      <c r="DJ34" s="125"/>
      <c r="DK34" s="125"/>
      <c r="DL34" s="125"/>
      <c r="DM34" s="125"/>
      <c r="DN34" s="125"/>
      <c r="DO34" s="125"/>
      <c r="DP34" s="125"/>
      <c r="DQ34" s="125"/>
      <c r="DR34" s="125"/>
      <c r="DS34" s="125"/>
      <c r="DT34" s="125"/>
      <c r="DU34" s="125"/>
      <c r="DV34" s="125"/>
      <c r="DW34" s="125"/>
      <c r="DX34" s="125"/>
      <c r="DY34" s="125"/>
      <c r="DZ34" s="125"/>
      <c r="EA34" s="125"/>
      <c r="EB34" s="125"/>
      <c r="EC34" s="125"/>
      <c r="ED34" s="125"/>
      <c r="EE34" s="125"/>
      <c r="EF34" s="125"/>
      <c r="EG34" s="125"/>
      <c r="EH34" s="125"/>
      <c r="EI34" s="125"/>
      <c r="EJ34" s="125"/>
      <c r="EK34" s="125"/>
      <c r="EL34" s="125"/>
      <c r="EM34" s="125"/>
      <c r="EN34" s="125"/>
      <c r="EO34" s="125"/>
      <c r="EP34" s="125"/>
      <c r="EQ34" s="125"/>
      <c r="ER34" s="125"/>
      <c r="ES34" s="125"/>
      <c r="ET34" s="125"/>
      <c r="EU34" s="125"/>
      <c r="EV34" s="125"/>
      <c r="EW34" s="125"/>
      <c r="EX34" s="125"/>
      <c r="EY34" s="125"/>
      <c r="EZ34" s="125"/>
      <c r="FA34" s="125"/>
      <c r="FB34" s="125"/>
      <c r="FC34" s="125"/>
      <c r="FD34" s="125"/>
      <c r="FE34" s="125"/>
      <c r="FF34" s="125"/>
      <c r="FG34" s="125"/>
      <c r="FH34" s="125"/>
      <c r="FI34" s="125"/>
      <c r="FJ34" s="125"/>
      <c r="FK34" s="125"/>
      <c r="FL34" s="125"/>
      <c r="FM34" s="125"/>
      <c r="FN34" s="125"/>
      <c r="FO34" s="125"/>
      <c r="FP34" s="125"/>
      <c r="FQ34" s="125"/>
      <c r="FR34" s="125"/>
      <c r="FS34" s="125"/>
      <c r="FT34" s="125"/>
      <c r="FU34" s="125"/>
      <c r="FV34" s="125"/>
      <c r="FW34" s="125"/>
      <c r="FX34" s="125"/>
      <c r="FY34" s="125"/>
      <c r="FZ34" s="125"/>
      <c r="GA34" s="125"/>
      <c r="GB34" s="125"/>
      <c r="GC34" s="125"/>
      <c r="GD34" s="125"/>
      <c r="GE34" s="125"/>
      <c r="GF34" s="125"/>
      <c r="GG34" s="125"/>
      <c r="GH34" s="125"/>
      <c r="GI34" s="125"/>
      <c r="GJ34" s="125"/>
      <c r="GK34" s="125"/>
      <c r="GL34" s="125"/>
      <c r="GM34" s="125"/>
      <c r="GN34" s="125"/>
      <c r="GO34" s="125"/>
      <c r="GP34" s="125"/>
      <c r="GQ34" s="125"/>
      <c r="GR34" s="125"/>
      <c r="GS34" s="125"/>
      <c r="GT34" s="125"/>
      <c r="GU34" s="125"/>
      <c r="GV34" s="125"/>
      <c r="GW34" s="125"/>
      <c r="GX34" s="125"/>
      <c r="GY34" s="125"/>
      <c r="GZ34" s="125"/>
      <c r="HA34" s="125"/>
      <c r="HB34" s="125"/>
      <c r="HC34" s="125"/>
      <c r="HD34" s="125"/>
      <c r="HE34" s="125"/>
      <c r="HF34" s="125"/>
      <c r="HG34" s="125"/>
      <c r="HH34" s="125"/>
      <c r="HI34" s="125"/>
      <c r="HJ34" s="125"/>
      <c r="HK34" s="125"/>
      <c r="HL34" s="125"/>
      <c r="HM34" s="125"/>
      <c r="HN34" s="125"/>
      <c r="HO34" s="125"/>
      <c r="HP34" s="125"/>
      <c r="HQ34" s="125"/>
      <c r="HR34" s="125"/>
      <c r="HS34" s="125"/>
      <c r="HT34" s="125"/>
      <c r="HU34" s="125"/>
      <c r="HV34" s="125"/>
      <c r="HW34" s="125"/>
      <c r="HX34" s="125"/>
    </row>
    <row r="35" spans="4:232" ht="15" customHeight="1" x14ac:dyDescent="0.15"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  <c r="CP35" s="125"/>
      <c r="CQ35" s="125"/>
      <c r="CR35" s="125"/>
      <c r="CS35" s="125"/>
      <c r="CT35" s="125"/>
      <c r="CU35" s="125"/>
      <c r="CV35" s="125"/>
      <c r="CW35" s="125"/>
      <c r="CX35" s="125"/>
      <c r="CY35" s="125"/>
      <c r="CZ35" s="125"/>
      <c r="DA35" s="125"/>
      <c r="DB35" s="125"/>
      <c r="DC35" s="125"/>
      <c r="DD35" s="125"/>
      <c r="DE35" s="125"/>
      <c r="DF35" s="125"/>
      <c r="DG35" s="125"/>
      <c r="DH35" s="125"/>
      <c r="DI35" s="125"/>
      <c r="DJ35" s="125"/>
      <c r="DK35" s="125"/>
      <c r="DL35" s="125"/>
      <c r="DM35" s="125"/>
      <c r="DN35" s="125"/>
      <c r="DO35" s="125"/>
      <c r="DP35" s="125"/>
      <c r="DQ35" s="125"/>
      <c r="DR35" s="125"/>
      <c r="DS35" s="125"/>
      <c r="DT35" s="125"/>
      <c r="DU35" s="125"/>
      <c r="DV35" s="125"/>
      <c r="DW35" s="125"/>
      <c r="DX35" s="125"/>
      <c r="DY35" s="125"/>
      <c r="DZ35" s="125"/>
      <c r="EA35" s="125"/>
      <c r="EB35" s="125"/>
      <c r="EC35" s="125"/>
      <c r="ED35" s="125"/>
      <c r="EE35" s="125"/>
      <c r="EF35" s="125"/>
      <c r="EG35" s="125"/>
      <c r="EH35" s="125"/>
      <c r="EI35" s="125"/>
      <c r="EJ35" s="125"/>
      <c r="EK35" s="125"/>
      <c r="EL35" s="125"/>
      <c r="EM35" s="125"/>
      <c r="EN35" s="125"/>
      <c r="EO35" s="125"/>
      <c r="EP35" s="125"/>
      <c r="EQ35" s="125"/>
      <c r="ER35" s="125"/>
      <c r="ES35" s="125"/>
      <c r="ET35" s="125"/>
      <c r="EU35" s="125"/>
      <c r="EV35" s="125"/>
      <c r="EW35" s="125"/>
      <c r="EX35" s="125"/>
      <c r="EY35" s="125"/>
      <c r="EZ35" s="125"/>
      <c r="FA35" s="125"/>
      <c r="FB35" s="125"/>
      <c r="FC35" s="125"/>
      <c r="FD35" s="125"/>
      <c r="FE35" s="125"/>
      <c r="FF35" s="125"/>
      <c r="FG35" s="125"/>
      <c r="FH35" s="125"/>
      <c r="FI35" s="125"/>
      <c r="FJ35" s="125"/>
      <c r="FK35" s="125"/>
      <c r="FL35" s="125"/>
      <c r="FM35" s="125"/>
      <c r="FN35" s="125"/>
      <c r="FO35" s="125"/>
      <c r="FP35" s="125"/>
      <c r="FQ35" s="125"/>
      <c r="FR35" s="125"/>
      <c r="FS35" s="125"/>
      <c r="FT35" s="125"/>
      <c r="FU35" s="125"/>
      <c r="FV35" s="125"/>
      <c r="FW35" s="125"/>
      <c r="FX35" s="125"/>
      <c r="FY35" s="125"/>
      <c r="FZ35" s="125"/>
      <c r="GA35" s="125"/>
      <c r="GB35" s="125"/>
      <c r="GC35" s="125"/>
      <c r="GD35" s="125"/>
      <c r="GE35" s="125"/>
      <c r="GF35" s="125"/>
      <c r="GG35" s="125"/>
      <c r="GH35" s="125"/>
      <c r="GI35" s="125"/>
      <c r="GJ35" s="125"/>
      <c r="GK35" s="125"/>
      <c r="GL35" s="125"/>
      <c r="GM35" s="125"/>
      <c r="GN35" s="125"/>
      <c r="GO35" s="125"/>
      <c r="GP35" s="125"/>
      <c r="GQ35" s="125"/>
      <c r="GR35" s="125"/>
      <c r="GS35" s="125"/>
      <c r="GT35" s="125"/>
      <c r="GU35" s="125"/>
      <c r="GV35" s="125"/>
      <c r="GW35" s="125"/>
      <c r="GX35" s="125"/>
      <c r="GY35" s="125"/>
      <c r="GZ35" s="125"/>
      <c r="HA35" s="125"/>
      <c r="HB35" s="125"/>
      <c r="HC35" s="125"/>
      <c r="HD35" s="125"/>
      <c r="HE35" s="125"/>
      <c r="HF35" s="125"/>
      <c r="HG35" s="125"/>
      <c r="HH35" s="125"/>
      <c r="HI35" s="125"/>
      <c r="HJ35" s="125"/>
      <c r="HK35" s="125"/>
      <c r="HL35" s="125"/>
      <c r="HM35" s="125"/>
      <c r="HN35" s="125"/>
      <c r="HO35" s="125"/>
      <c r="HP35" s="125"/>
      <c r="HQ35" s="125"/>
      <c r="HR35" s="125"/>
      <c r="HS35" s="125"/>
      <c r="HT35" s="125"/>
      <c r="HU35" s="125"/>
      <c r="HV35" s="125"/>
    </row>
    <row r="36" spans="4:232" ht="15" customHeight="1" x14ac:dyDescent="0.15"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25"/>
      <c r="DD36" s="125"/>
      <c r="DE36" s="125"/>
      <c r="DF36" s="125"/>
      <c r="DG36" s="125"/>
      <c r="DH36" s="125"/>
      <c r="DI36" s="125"/>
      <c r="DJ36" s="125"/>
      <c r="DK36" s="125"/>
      <c r="DL36" s="125"/>
      <c r="DM36" s="125"/>
      <c r="DN36" s="125"/>
      <c r="DO36" s="125"/>
      <c r="DP36" s="125"/>
      <c r="DQ36" s="125"/>
      <c r="DR36" s="125"/>
      <c r="DS36" s="125"/>
      <c r="DT36" s="125"/>
      <c r="DU36" s="125"/>
      <c r="DV36" s="125"/>
      <c r="DW36" s="125"/>
      <c r="DX36" s="125"/>
      <c r="DY36" s="125"/>
      <c r="DZ36" s="125"/>
      <c r="EA36" s="125"/>
      <c r="EB36" s="125"/>
      <c r="EC36" s="125"/>
      <c r="ED36" s="125"/>
      <c r="EE36" s="125"/>
      <c r="EF36" s="125"/>
      <c r="EG36" s="125"/>
      <c r="EH36" s="125"/>
      <c r="EI36" s="125"/>
      <c r="EJ36" s="125"/>
      <c r="EK36" s="125"/>
      <c r="EL36" s="125"/>
      <c r="EM36" s="125"/>
      <c r="EN36" s="125"/>
      <c r="EO36" s="125"/>
      <c r="EP36" s="125"/>
      <c r="EQ36" s="125"/>
      <c r="ER36" s="125"/>
      <c r="ES36" s="125"/>
      <c r="ET36" s="125"/>
      <c r="EU36" s="125"/>
      <c r="EV36" s="125"/>
      <c r="EW36" s="125"/>
      <c r="EX36" s="125"/>
      <c r="EY36" s="125"/>
      <c r="EZ36" s="125"/>
      <c r="FA36" s="125"/>
      <c r="FB36" s="125"/>
      <c r="FC36" s="125"/>
      <c r="FD36" s="125"/>
      <c r="FE36" s="125"/>
      <c r="FF36" s="125"/>
      <c r="FG36" s="125"/>
      <c r="FH36" s="125"/>
      <c r="FI36" s="125"/>
      <c r="FJ36" s="125"/>
      <c r="FK36" s="125"/>
      <c r="FL36" s="125"/>
      <c r="FM36" s="125"/>
      <c r="FN36" s="125"/>
      <c r="FO36" s="125"/>
      <c r="FP36" s="125"/>
      <c r="FQ36" s="125"/>
      <c r="FR36" s="125"/>
      <c r="FS36" s="125"/>
      <c r="FT36" s="125"/>
      <c r="FU36" s="125"/>
      <c r="FV36" s="125"/>
      <c r="FW36" s="125"/>
      <c r="FX36" s="125"/>
      <c r="FY36" s="125"/>
      <c r="FZ36" s="125"/>
      <c r="GA36" s="125"/>
      <c r="GB36" s="125"/>
      <c r="GC36" s="125"/>
      <c r="GD36" s="125"/>
      <c r="GE36" s="125"/>
      <c r="GF36" s="125"/>
      <c r="GG36" s="125"/>
      <c r="GH36" s="125"/>
      <c r="GI36" s="125"/>
      <c r="GJ36" s="125"/>
      <c r="GK36" s="125"/>
      <c r="GL36" s="125"/>
      <c r="GM36" s="125"/>
      <c r="GN36" s="125"/>
      <c r="GO36" s="125"/>
      <c r="GP36" s="125"/>
      <c r="GQ36" s="125"/>
      <c r="GR36" s="125"/>
      <c r="GS36" s="125"/>
      <c r="GT36" s="125"/>
      <c r="GU36" s="125"/>
      <c r="GV36" s="125"/>
      <c r="GW36" s="125"/>
      <c r="GX36" s="125"/>
      <c r="GY36" s="125"/>
      <c r="GZ36" s="125"/>
      <c r="HA36" s="125"/>
      <c r="HB36" s="125"/>
      <c r="HC36" s="125"/>
      <c r="HD36" s="125"/>
      <c r="HE36" s="125"/>
      <c r="HF36" s="125"/>
      <c r="HG36" s="125"/>
      <c r="HH36" s="125"/>
      <c r="HI36" s="125"/>
      <c r="HJ36" s="125"/>
      <c r="HK36" s="125"/>
      <c r="HL36" s="125"/>
      <c r="HM36" s="125"/>
      <c r="HN36" s="125"/>
      <c r="HO36" s="125"/>
      <c r="HP36" s="125"/>
      <c r="HQ36" s="125"/>
      <c r="HR36" s="125"/>
      <c r="HS36" s="125"/>
      <c r="HT36" s="125"/>
      <c r="HU36" s="125"/>
      <c r="HV36" s="125"/>
    </row>
    <row r="37" spans="4:232" ht="15" customHeight="1" x14ac:dyDescent="0.15"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3"/>
      <c r="CD37" s="123"/>
      <c r="CE37" s="123"/>
      <c r="CF37" s="123"/>
      <c r="CG37" s="123"/>
      <c r="CH37" s="123"/>
      <c r="CI37" s="123"/>
      <c r="CJ37" s="123"/>
      <c r="CK37" s="123"/>
      <c r="CL37" s="123"/>
      <c r="CM37" s="123"/>
      <c r="CN37" s="123"/>
      <c r="CO37" s="123"/>
      <c r="CP37" s="123"/>
      <c r="CQ37" s="123"/>
      <c r="CR37" s="123"/>
      <c r="CS37" s="123"/>
      <c r="CT37" s="123"/>
      <c r="CU37" s="123"/>
      <c r="CV37" s="123"/>
      <c r="CW37" s="123"/>
      <c r="CX37" s="123"/>
      <c r="CY37" s="123"/>
      <c r="CZ37" s="123"/>
      <c r="DA37" s="123"/>
      <c r="DB37" s="123"/>
      <c r="DC37" s="123"/>
      <c r="DD37" s="123"/>
      <c r="DE37" s="123"/>
      <c r="DF37" s="123"/>
      <c r="DG37" s="123"/>
      <c r="DH37" s="123"/>
      <c r="DI37" s="123"/>
      <c r="DJ37" s="123"/>
      <c r="DK37" s="123"/>
      <c r="DL37" s="123"/>
      <c r="DM37" s="123"/>
      <c r="DN37" s="123"/>
      <c r="DO37" s="123"/>
      <c r="DP37" s="123"/>
      <c r="DQ37" s="123"/>
      <c r="DR37" s="123"/>
      <c r="DS37" s="123"/>
      <c r="DT37" s="123"/>
      <c r="DU37" s="123"/>
      <c r="DV37" s="123"/>
      <c r="DW37" s="123"/>
      <c r="DX37" s="123"/>
      <c r="DY37" s="123"/>
      <c r="DZ37" s="123"/>
      <c r="EA37" s="123"/>
      <c r="EB37" s="123"/>
      <c r="EC37" s="123"/>
      <c r="ED37" s="123"/>
      <c r="EE37" s="123"/>
      <c r="EF37" s="123"/>
      <c r="EG37" s="123"/>
      <c r="EH37" s="123"/>
      <c r="EI37" s="123"/>
      <c r="EJ37" s="123"/>
      <c r="EK37" s="123"/>
      <c r="EL37" s="123"/>
      <c r="EM37" s="123"/>
      <c r="EN37" s="123"/>
      <c r="EO37" s="123"/>
      <c r="EP37" s="123"/>
      <c r="EQ37" s="123"/>
      <c r="ER37" s="123"/>
      <c r="ES37" s="123"/>
      <c r="ET37" s="123"/>
      <c r="EU37" s="123"/>
      <c r="EV37" s="123"/>
      <c r="EW37" s="123"/>
      <c r="EX37" s="123"/>
      <c r="EY37" s="123"/>
      <c r="EZ37" s="123"/>
      <c r="FA37" s="123"/>
      <c r="FB37" s="123"/>
      <c r="FC37" s="123"/>
      <c r="FD37" s="123"/>
      <c r="FE37" s="123"/>
      <c r="FF37" s="123"/>
      <c r="FG37" s="123"/>
      <c r="FH37" s="123"/>
      <c r="FI37" s="123"/>
      <c r="FJ37" s="123"/>
      <c r="FK37" s="123"/>
      <c r="FL37" s="123"/>
      <c r="FM37" s="123"/>
      <c r="FN37" s="123"/>
      <c r="FO37" s="123"/>
      <c r="FP37" s="123"/>
      <c r="FQ37" s="123"/>
      <c r="FR37" s="123"/>
      <c r="FS37" s="123"/>
      <c r="FT37" s="123"/>
      <c r="FU37" s="123"/>
      <c r="FV37" s="123"/>
      <c r="FW37" s="123"/>
      <c r="FX37" s="123"/>
      <c r="FY37" s="123"/>
      <c r="FZ37" s="123"/>
      <c r="GA37" s="123"/>
      <c r="GB37" s="123"/>
      <c r="GC37" s="123"/>
      <c r="GD37" s="123"/>
      <c r="GE37" s="123"/>
      <c r="GF37" s="123"/>
      <c r="GG37" s="123"/>
      <c r="GH37" s="123"/>
      <c r="GI37" s="123"/>
      <c r="GJ37" s="123"/>
      <c r="GK37" s="123"/>
      <c r="GL37" s="123"/>
      <c r="GM37" s="123"/>
      <c r="GN37" s="123"/>
      <c r="GO37" s="123"/>
      <c r="GP37" s="123"/>
      <c r="GQ37" s="123"/>
      <c r="GR37" s="123"/>
      <c r="GS37" s="123"/>
      <c r="GT37" s="123"/>
      <c r="GU37" s="123"/>
      <c r="GV37" s="123"/>
      <c r="GW37" s="123"/>
      <c r="GX37" s="123"/>
      <c r="GY37" s="123"/>
      <c r="GZ37" s="123"/>
      <c r="HA37" s="123"/>
      <c r="HB37" s="123"/>
      <c r="HC37" s="123"/>
      <c r="HD37" s="123"/>
      <c r="HE37" s="123"/>
      <c r="HF37" s="123"/>
      <c r="HG37" s="123"/>
      <c r="HH37" s="123"/>
      <c r="HI37" s="123"/>
      <c r="HJ37" s="123"/>
      <c r="HK37" s="123"/>
      <c r="HL37" s="123"/>
      <c r="HM37" s="123"/>
      <c r="HN37" s="123"/>
      <c r="HO37" s="123"/>
      <c r="HP37" s="123"/>
      <c r="HQ37" s="123"/>
      <c r="HR37" s="123"/>
      <c r="HS37" s="123"/>
      <c r="HT37" s="123"/>
      <c r="HU37" s="123"/>
      <c r="HV37" s="123"/>
    </row>
    <row r="38" spans="4:232" ht="15" customHeight="1" x14ac:dyDescent="0.15"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  <c r="DI38" s="123"/>
      <c r="DJ38" s="123"/>
      <c r="DK38" s="123"/>
      <c r="DL38" s="123"/>
      <c r="DM38" s="123"/>
      <c r="DN38" s="123"/>
      <c r="DO38" s="123"/>
      <c r="DP38" s="123"/>
      <c r="DQ38" s="123"/>
      <c r="DR38" s="123"/>
      <c r="DS38" s="123"/>
      <c r="DT38" s="123"/>
      <c r="DU38" s="123"/>
      <c r="DV38" s="123"/>
      <c r="DW38" s="123"/>
      <c r="DX38" s="123"/>
      <c r="DY38" s="123"/>
      <c r="DZ38" s="123"/>
      <c r="EA38" s="123"/>
      <c r="EB38" s="123"/>
      <c r="EC38" s="123"/>
      <c r="ED38" s="123"/>
      <c r="EE38" s="123"/>
      <c r="EF38" s="123"/>
      <c r="EG38" s="123"/>
      <c r="EH38" s="123"/>
      <c r="EI38" s="123"/>
      <c r="EJ38" s="123"/>
      <c r="EK38" s="123"/>
      <c r="EL38" s="123"/>
      <c r="EM38" s="123"/>
      <c r="EN38" s="123"/>
      <c r="EO38" s="123"/>
      <c r="EP38" s="123"/>
      <c r="EQ38" s="123"/>
      <c r="ER38" s="123"/>
      <c r="ES38" s="123"/>
      <c r="ET38" s="123"/>
      <c r="EU38" s="123"/>
      <c r="EV38" s="123"/>
      <c r="EW38" s="123"/>
      <c r="EX38" s="123"/>
      <c r="EY38" s="123"/>
      <c r="EZ38" s="123"/>
      <c r="FA38" s="123"/>
      <c r="FB38" s="123"/>
      <c r="FC38" s="123"/>
      <c r="FD38" s="123"/>
      <c r="FE38" s="123"/>
      <c r="FF38" s="123"/>
      <c r="FG38" s="123"/>
      <c r="FH38" s="123"/>
      <c r="FI38" s="123"/>
      <c r="FJ38" s="123"/>
      <c r="FK38" s="123"/>
      <c r="FL38" s="123"/>
      <c r="FM38" s="123"/>
      <c r="FN38" s="123"/>
      <c r="FO38" s="123"/>
      <c r="FP38" s="123"/>
      <c r="FQ38" s="123"/>
      <c r="FR38" s="123"/>
      <c r="FS38" s="123"/>
      <c r="FT38" s="123"/>
      <c r="FU38" s="123"/>
      <c r="FV38" s="123"/>
      <c r="FW38" s="123"/>
      <c r="FX38" s="123"/>
      <c r="FY38" s="123"/>
      <c r="FZ38" s="123"/>
      <c r="GA38" s="123"/>
      <c r="GB38" s="123"/>
      <c r="GC38" s="123"/>
      <c r="GD38" s="123"/>
      <c r="GE38" s="123"/>
      <c r="GF38" s="123"/>
      <c r="GG38" s="123"/>
      <c r="GH38" s="123"/>
      <c r="GI38" s="123"/>
      <c r="GJ38" s="123"/>
      <c r="GK38" s="123"/>
      <c r="GL38" s="123"/>
      <c r="GM38" s="123"/>
      <c r="GN38" s="123"/>
      <c r="GO38" s="123"/>
      <c r="GP38" s="123"/>
      <c r="GQ38" s="123"/>
      <c r="GR38" s="123"/>
      <c r="GS38" s="123"/>
      <c r="GT38" s="123"/>
      <c r="GU38" s="123"/>
      <c r="GV38" s="123"/>
      <c r="GW38" s="123"/>
      <c r="GX38" s="123"/>
      <c r="GY38" s="123"/>
      <c r="GZ38" s="123"/>
      <c r="HA38" s="123"/>
      <c r="HB38" s="123"/>
      <c r="HC38" s="123"/>
      <c r="HD38" s="123"/>
      <c r="HE38" s="123"/>
      <c r="HF38" s="123"/>
      <c r="HG38" s="123"/>
      <c r="HH38" s="123"/>
      <c r="HI38" s="123"/>
      <c r="HJ38" s="123"/>
      <c r="HK38" s="123"/>
      <c r="HL38" s="123"/>
      <c r="HM38" s="123"/>
      <c r="HN38" s="123"/>
      <c r="HO38" s="123"/>
      <c r="HP38" s="123"/>
      <c r="HQ38" s="123"/>
      <c r="HR38" s="123"/>
      <c r="HS38" s="123"/>
      <c r="HT38" s="123"/>
      <c r="HU38" s="123"/>
      <c r="HV38" s="123"/>
      <c r="HW38" s="123"/>
      <c r="HX38" s="123"/>
    </row>
    <row r="39" spans="4:232" ht="15" customHeight="1" x14ac:dyDescent="0.15"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23"/>
      <c r="CQ39" s="123"/>
      <c r="CR39" s="123"/>
      <c r="CS39" s="123"/>
      <c r="CT39" s="123"/>
      <c r="CU39" s="123"/>
      <c r="CV39" s="123"/>
      <c r="CW39" s="123"/>
      <c r="CX39" s="123"/>
      <c r="CY39" s="123"/>
      <c r="CZ39" s="123"/>
      <c r="DA39" s="123"/>
      <c r="DB39" s="123"/>
      <c r="DC39" s="123"/>
      <c r="DD39" s="123"/>
      <c r="DE39" s="123"/>
      <c r="DF39" s="123"/>
      <c r="DG39" s="123"/>
      <c r="DH39" s="123"/>
      <c r="DI39" s="123"/>
      <c r="DJ39" s="123"/>
      <c r="DK39" s="123"/>
      <c r="DL39" s="123"/>
      <c r="DM39" s="123"/>
      <c r="DN39" s="123"/>
      <c r="DO39" s="123"/>
      <c r="DP39" s="123"/>
      <c r="DQ39" s="123"/>
      <c r="DR39" s="123"/>
      <c r="DS39" s="123"/>
      <c r="DT39" s="123"/>
      <c r="DU39" s="123"/>
      <c r="DV39" s="123"/>
      <c r="DW39" s="123"/>
      <c r="DX39" s="123"/>
      <c r="DY39" s="123"/>
      <c r="DZ39" s="123"/>
      <c r="EA39" s="123"/>
      <c r="EB39" s="123"/>
      <c r="EC39" s="123"/>
      <c r="ED39" s="123"/>
      <c r="EE39" s="123"/>
      <c r="EF39" s="123"/>
      <c r="EG39" s="123"/>
      <c r="EH39" s="123"/>
      <c r="EI39" s="123"/>
      <c r="EJ39" s="123"/>
      <c r="EK39" s="123"/>
      <c r="EL39" s="123"/>
      <c r="EM39" s="123"/>
      <c r="EN39" s="123"/>
      <c r="EO39" s="123"/>
      <c r="EP39" s="123"/>
      <c r="EQ39" s="123"/>
      <c r="ER39" s="123"/>
      <c r="ES39" s="123"/>
      <c r="ET39" s="123"/>
      <c r="EU39" s="123"/>
      <c r="EV39" s="123"/>
      <c r="EW39" s="123"/>
      <c r="EX39" s="123"/>
      <c r="EY39" s="123"/>
      <c r="EZ39" s="123"/>
      <c r="FA39" s="123"/>
      <c r="FB39" s="123"/>
      <c r="FC39" s="123"/>
      <c r="FD39" s="123"/>
      <c r="FE39" s="123"/>
      <c r="FF39" s="123"/>
      <c r="FG39" s="123"/>
      <c r="FH39" s="123"/>
      <c r="FI39" s="123"/>
      <c r="FJ39" s="123"/>
      <c r="FK39" s="123"/>
      <c r="FL39" s="123"/>
      <c r="FM39" s="123"/>
      <c r="FN39" s="123"/>
      <c r="FO39" s="123"/>
      <c r="FP39" s="123"/>
      <c r="FQ39" s="123"/>
      <c r="FR39" s="123"/>
      <c r="FS39" s="123"/>
      <c r="FT39" s="123"/>
      <c r="FU39" s="123"/>
      <c r="FV39" s="123"/>
      <c r="FW39" s="123"/>
      <c r="FX39" s="123"/>
      <c r="FY39" s="123"/>
      <c r="FZ39" s="123"/>
      <c r="GA39" s="123"/>
      <c r="GB39" s="123"/>
      <c r="GC39" s="123"/>
      <c r="GD39" s="123"/>
      <c r="GE39" s="123"/>
      <c r="GF39" s="123"/>
      <c r="GG39" s="123"/>
      <c r="GH39" s="123"/>
      <c r="GI39" s="123"/>
      <c r="GJ39" s="123"/>
      <c r="GK39" s="123"/>
      <c r="GL39" s="123"/>
      <c r="GM39" s="123"/>
      <c r="GN39" s="123"/>
      <c r="GO39" s="123"/>
      <c r="GP39" s="123"/>
      <c r="GQ39" s="123"/>
      <c r="GR39" s="123"/>
      <c r="GS39" s="123"/>
      <c r="GT39" s="123"/>
      <c r="GU39" s="123"/>
      <c r="GV39" s="123"/>
      <c r="GW39" s="123"/>
      <c r="GX39" s="123"/>
      <c r="GY39" s="123"/>
      <c r="GZ39" s="123"/>
      <c r="HA39" s="123"/>
      <c r="HB39" s="123"/>
      <c r="HC39" s="123"/>
      <c r="HD39" s="123"/>
      <c r="HE39" s="123"/>
      <c r="HF39" s="123"/>
      <c r="HG39" s="123"/>
      <c r="HH39" s="123"/>
      <c r="HI39" s="123"/>
      <c r="HJ39" s="123"/>
      <c r="HK39" s="123"/>
      <c r="HL39" s="123"/>
      <c r="HM39" s="123"/>
      <c r="HN39" s="123"/>
      <c r="HO39" s="123"/>
      <c r="HP39" s="123"/>
      <c r="HQ39" s="123"/>
      <c r="HR39" s="123"/>
      <c r="HS39" s="123"/>
      <c r="HT39" s="123"/>
      <c r="HU39" s="123"/>
      <c r="HV39" s="123"/>
      <c r="HW39" s="123"/>
      <c r="HX39" s="123"/>
    </row>
    <row r="40" spans="4:232" ht="15" customHeight="1" x14ac:dyDescent="0.15"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3"/>
      <c r="CD40" s="123"/>
      <c r="CE40" s="123"/>
      <c r="CF40" s="123"/>
      <c r="CG40" s="123"/>
      <c r="CH40" s="123"/>
      <c r="CI40" s="123"/>
      <c r="CJ40" s="123"/>
      <c r="CK40" s="123"/>
      <c r="CL40" s="123"/>
      <c r="CM40" s="123"/>
      <c r="CN40" s="123"/>
      <c r="CO40" s="123"/>
      <c r="CP40" s="123"/>
      <c r="CQ40" s="123"/>
      <c r="CR40" s="123"/>
      <c r="CS40" s="123"/>
      <c r="CT40" s="123"/>
      <c r="CU40" s="123"/>
      <c r="CV40" s="123"/>
      <c r="CW40" s="123"/>
      <c r="CX40" s="123"/>
      <c r="CY40" s="123"/>
      <c r="CZ40" s="123"/>
      <c r="DA40" s="123"/>
      <c r="DB40" s="123"/>
      <c r="DC40" s="123"/>
      <c r="DD40" s="123"/>
      <c r="DE40" s="123"/>
      <c r="DF40" s="123"/>
      <c r="DG40" s="123"/>
      <c r="DH40" s="123"/>
      <c r="DI40" s="123"/>
      <c r="DJ40" s="123"/>
      <c r="DK40" s="123"/>
      <c r="DL40" s="123"/>
      <c r="DM40" s="123"/>
      <c r="DN40" s="123"/>
      <c r="DO40" s="123"/>
      <c r="DP40" s="123"/>
      <c r="DQ40" s="123"/>
      <c r="DR40" s="123"/>
      <c r="DS40" s="123"/>
      <c r="DT40" s="123"/>
      <c r="DU40" s="123"/>
      <c r="DV40" s="123"/>
      <c r="DW40" s="123"/>
      <c r="DX40" s="123"/>
      <c r="DY40" s="123"/>
      <c r="DZ40" s="123"/>
      <c r="EA40" s="123"/>
      <c r="EB40" s="123"/>
      <c r="EC40" s="123"/>
      <c r="ED40" s="123"/>
      <c r="EE40" s="123"/>
      <c r="EF40" s="123"/>
      <c r="EG40" s="123"/>
      <c r="EH40" s="123"/>
      <c r="EI40" s="123"/>
      <c r="EJ40" s="123"/>
      <c r="EK40" s="123"/>
      <c r="EL40" s="123"/>
      <c r="EM40" s="123"/>
      <c r="EN40" s="123"/>
      <c r="EO40" s="123"/>
      <c r="EP40" s="123"/>
      <c r="EQ40" s="123"/>
      <c r="ER40" s="123"/>
      <c r="ES40" s="123"/>
      <c r="ET40" s="123"/>
      <c r="EU40" s="123"/>
      <c r="EV40" s="123"/>
      <c r="EW40" s="123"/>
      <c r="EX40" s="123"/>
      <c r="EY40" s="123"/>
      <c r="EZ40" s="123"/>
      <c r="FA40" s="123"/>
      <c r="FB40" s="123"/>
      <c r="FC40" s="123"/>
      <c r="FD40" s="123"/>
      <c r="FE40" s="123"/>
      <c r="FF40" s="123"/>
      <c r="FG40" s="123"/>
      <c r="FH40" s="123"/>
      <c r="FI40" s="123"/>
      <c r="FJ40" s="123"/>
      <c r="FK40" s="123"/>
      <c r="FL40" s="123"/>
      <c r="FM40" s="123"/>
      <c r="FN40" s="123"/>
      <c r="FO40" s="123"/>
      <c r="FP40" s="123"/>
      <c r="FQ40" s="123"/>
      <c r="FR40" s="123"/>
      <c r="FS40" s="123"/>
      <c r="FT40" s="123"/>
      <c r="FU40" s="123"/>
      <c r="FV40" s="123"/>
      <c r="FW40" s="123"/>
      <c r="FX40" s="123"/>
      <c r="FY40" s="123"/>
      <c r="FZ40" s="123"/>
      <c r="GA40" s="123"/>
      <c r="GB40" s="123"/>
      <c r="GC40" s="123"/>
      <c r="GD40" s="123"/>
      <c r="GE40" s="123"/>
      <c r="GF40" s="123"/>
      <c r="GG40" s="123"/>
      <c r="GH40" s="123"/>
      <c r="GI40" s="123"/>
      <c r="GJ40" s="123"/>
      <c r="GK40" s="123"/>
      <c r="GL40" s="123"/>
      <c r="GM40" s="123"/>
      <c r="GN40" s="123"/>
      <c r="GO40" s="123"/>
      <c r="GP40" s="123"/>
      <c r="GQ40" s="123"/>
      <c r="GR40" s="123"/>
      <c r="GS40" s="123"/>
      <c r="GT40" s="123"/>
      <c r="GU40" s="123"/>
      <c r="GV40" s="123"/>
      <c r="GW40" s="123"/>
      <c r="GX40" s="123"/>
      <c r="GY40" s="123"/>
      <c r="GZ40" s="123"/>
      <c r="HA40" s="123"/>
      <c r="HB40" s="123"/>
      <c r="HC40" s="123"/>
      <c r="HD40" s="123"/>
      <c r="HE40" s="123"/>
      <c r="HF40" s="123"/>
      <c r="HG40" s="123"/>
      <c r="HH40" s="123"/>
      <c r="HI40" s="123"/>
      <c r="HJ40" s="123"/>
      <c r="HK40" s="123"/>
      <c r="HL40" s="123"/>
      <c r="HM40" s="123"/>
      <c r="HN40" s="123"/>
      <c r="HO40" s="123"/>
      <c r="HP40" s="123"/>
      <c r="HQ40" s="123"/>
      <c r="HR40" s="123"/>
      <c r="HS40" s="123"/>
      <c r="HT40" s="123"/>
      <c r="HU40" s="123"/>
      <c r="HV40" s="123"/>
      <c r="HW40" s="123"/>
      <c r="HX40" s="123"/>
    </row>
    <row r="41" spans="4:232" ht="15" customHeight="1" x14ac:dyDescent="0.15"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3"/>
      <c r="CU41" s="123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23"/>
      <c r="DG41" s="123"/>
      <c r="DH41" s="123"/>
      <c r="DI41" s="123"/>
      <c r="DJ41" s="123"/>
      <c r="DK41" s="123"/>
      <c r="DL41" s="123"/>
      <c r="DM41" s="123"/>
      <c r="DN41" s="123"/>
      <c r="DO41" s="123"/>
      <c r="DP41" s="123"/>
      <c r="DQ41" s="123"/>
      <c r="DR41" s="123"/>
      <c r="DS41" s="123"/>
      <c r="DT41" s="123"/>
      <c r="DU41" s="123"/>
      <c r="DV41" s="123"/>
      <c r="DW41" s="123"/>
      <c r="DX41" s="123"/>
      <c r="DY41" s="123"/>
      <c r="DZ41" s="123"/>
      <c r="EA41" s="123"/>
      <c r="EB41" s="123"/>
      <c r="EC41" s="123"/>
      <c r="ED41" s="123"/>
      <c r="EE41" s="123"/>
      <c r="EF41" s="123"/>
      <c r="EG41" s="123"/>
      <c r="EH41" s="123"/>
      <c r="EI41" s="123"/>
      <c r="EJ41" s="123"/>
      <c r="EK41" s="123"/>
      <c r="EL41" s="123"/>
      <c r="EM41" s="123"/>
      <c r="EN41" s="123"/>
      <c r="EO41" s="123"/>
      <c r="EP41" s="123"/>
      <c r="EQ41" s="123"/>
      <c r="ER41" s="123"/>
      <c r="ES41" s="123"/>
      <c r="ET41" s="123"/>
      <c r="EU41" s="123"/>
      <c r="EV41" s="123"/>
      <c r="EW41" s="123"/>
      <c r="EX41" s="123"/>
      <c r="EY41" s="123"/>
      <c r="EZ41" s="123"/>
      <c r="FA41" s="123"/>
      <c r="FB41" s="123"/>
      <c r="FC41" s="123"/>
      <c r="FD41" s="123"/>
      <c r="FE41" s="123"/>
      <c r="FF41" s="123"/>
      <c r="FG41" s="123"/>
      <c r="FH41" s="123"/>
      <c r="FI41" s="123"/>
      <c r="FJ41" s="123"/>
      <c r="FK41" s="123"/>
      <c r="FL41" s="123"/>
      <c r="FM41" s="123"/>
      <c r="FN41" s="123"/>
      <c r="FO41" s="123"/>
      <c r="FP41" s="123"/>
      <c r="FQ41" s="123"/>
      <c r="FR41" s="123"/>
      <c r="FS41" s="123"/>
      <c r="FT41" s="123"/>
      <c r="FU41" s="123"/>
      <c r="FV41" s="123"/>
      <c r="FW41" s="123"/>
      <c r="FX41" s="123"/>
      <c r="FY41" s="123"/>
      <c r="FZ41" s="123"/>
      <c r="GA41" s="123"/>
      <c r="GB41" s="123"/>
      <c r="GC41" s="123"/>
      <c r="GD41" s="123"/>
      <c r="GE41" s="123"/>
      <c r="GF41" s="123"/>
      <c r="GG41" s="123"/>
      <c r="GH41" s="123"/>
      <c r="GI41" s="123"/>
      <c r="GJ41" s="123"/>
      <c r="GK41" s="123"/>
      <c r="GL41" s="123"/>
      <c r="GM41" s="123"/>
      <c r="GN41" s="123"/>
      <c r="GO41" s="123"/>
      <c r="GP41" s="123"/>
      <c r="GQ41" s="123"/>
      <c r="GR41" s="123"/>
      <c r="GS41" s="123"/>
      <c r="GT41" s="123"/>
      <c r="GU41" s="123"/>
      <c r="GV41" s="123"/>
      <c r="GW41" s="123"/>
      <c r="GX41" s="123"/>
      <c r="GY41" s="123"/>
      <c r="GZ41" s="123"/>
      <c r="HA41" s="123"/>
      <c r="HB41" s="123"/>
      <c r="HC41" s="123"/>
      <c r="HD41" s="123"/>
      <c r="HE41" s="123"/>
      <c r="HF41" s="123"/>
      <c r="HG41" s="123"/>
      <c r="HH41" s="123"/>
      <c r="HI41" s="123"/>
      <c r="HJ41" s="123"/>
      <c r="HK41" s="123"/>
      <c r="HL41" s="123"/>
      <c r="HM41" s="123"/>
      <c r="HN41" s="123"/>
      <c r="HO41" s="123"/>
      <c r="HP41" s="123"/>
      <c r="HQ41" s="123"/>
      <c r="HR41" s="123"/>
      <c r="HS41" s="123"/>
      <c r="HT41" s="123"/>
      <c r="HU41" s="123"/>
      <c r="HV41" s="123"/>
      <c r="HW41" s="123"/>
      <c r="HX41" s="123"/>
    </row>
    <row r="42" spans="4:232" ht="15" customHeight="1" x14ac:dyDescent="0.15"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123"/>
      <c r="EH42" s="123"/>
      <c r="EI42" s="123"/>
      <c r="EJ42" s="123"/>
      <c r="EK42" s="123"/>
      <c r="EL42" s="123"/>
      <c r="EM42" s="123"/>
      <c r="EN42" s="123"/>
      <c r="EO42" s="123"/>
      <c r="EP42" s="123"/>
      <c r="EQ42" s="123"/>
      <c r="ER42" s="123"/>
      <c r="ES42" s="123"/>
      <c r="ET42" s="123"/>
      <c r="EU42" s="123"/>
      <c r="EV42" s="123"/>
      <c r="EW42" s="123"/>
      <c r="EX42" s="123"/>
      <c r="EY42" s="123"/>
      <c r="EZ42" s="123"/>
      <c r="FA42" s="123"/>
      <c r="FB42" s="123"/>
      <c r="FC42" s="123"/>
      <c r="FD42" s="123"/>
      <c r="FE42" s="123"/>
      <c r="FF42" s="123"/>
      <c r="FG42" s="123"/>
      <c r="FH42" s="123"/>
      <c r="FI42" s="123"/>
      <c r="FJ42" s="123"/>
      <c r="FK42" s="123"/>
      <c r="FL42" s="123"/>
      <c r="FM42" s="123"/>
      <c r="FN42" s="123"/>
      <c r="FO42" s="123"/>
      <c r="FP42" s="123"/>
      <c r="FQ42" s="123"/>
      <c r="FR42" s="123"/>
      <c r="FS42" s="123"/>
      <c r="FT42" s="123"/>
      <c r="FU42" s="123"/>
      <c r="FV42" s="123"/>
      <c r="FW42" s="123"/>
      <c r="FX42" s="123"/>
      <c r="FY42" s="123"/>
      <c r="FZ42" s="123"/>
      <c r="GA42" s="123"/>
      <c r="GB42" s="123"/>
      <c r="GC42" s="123"/>
      <c r="GD42" s="123"/>
      <c r="GE42" s="123"/>
      <c r="GF42" s="123"/>
      <c r="GG42" s="123"/>
      <c r="GH42" s="123"/>
      <c r="GI42" s="123"/>
      <c r="GJ42" s="123"/>
      <c r="GK42" s="123"/>
      <c r="GL42" s="123"/>
      <c r="GM42" s="123"/>
      <c r="GN42" s="123"/>
      <c r="GO42" s="123"/>
      <c r="GP42" s="123"/>
      <c r="GQ42" s="123"/>
      <c r="GR42" s="123"/>
      <c r="GS42" s="123"/>
      <c r="GT42" s="123"/>
      <c r="GU42" s="123"/>
      <c r="GV42" s="123"/>
      <c r="GW42" s="123"/>
      <c r="GX42" s="123"/>
      <c r="GY42" s="123"/>
      <c r="GZ42" s="123"/>
      <c r="HA42" s="123"/>
      <c r="HB42" s="123"/>
      <c r="HC42" s="123"/>
      <c r="HD42" s="123"/>
      <c r="HE42" s="123"/>
      <c r="HF42" s="123"/>
      <c r="HG42" s="123"/>
      <c r="HH42" s="123"/>
      <c r="HI42" s="123"/>
      <c r="HJ42" s="123"/>
      <c r="HK42" s="123"/>
      <c r="HL42" s="123"/>
      <c r="HM42" s="123"/>
      <c r="HN42" s="123"/>
      <c r="HO42" s="123"/>
      <c r="HP42" s="123"/>
      <c r="HQ42" s="123"/>
      <c r="HR42" s="123"/>
      <c r="HS42" s="123"/>
      <c r="HT42" s="123"/>
      <c r="HU42" s="123"/>
      <c r="HV42" s="123"/>
      <c r="HW42" s="123"/>
      <c r="HX42" s="123"/>
    </row>
    <row r="43" spans="4:232" ht="15" customHeight="1" x14ac:dyDescent="0.15"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  <c r="CR43" s="123"/>
      <c r="CS43" s="123"/>
      <c r="CT43" s="123"/>
      <c r="CU43" s="123"/>
      <c r="CV43" s="123"/>
      <c r="CW43" s="123"/>
      <c r="CX43" s="123"/>
      <c r="CY43" s="123"/>
      <c r="CZ43" s="123"/>
      <c r="DA43" s="123"/>
      <c r="DB43" s="123"/>
      <c r="DC43" s="123"/>
      <c r="DD43" s="123"/>
      <c r="DE43" s="123"/>
      <c r="DF43" s="123"/>
      <c r="DG43" s="123"/>
      <c r="DH43" s="123"/>
      <c r="DI43" s="123"/>
      <c r="DJ43" s="123"/>
      <c r="DK43" s="123"/>
      <c r="DL43" s="123"/>
      <c r="DM43" s="123"/>
      <c r="DN43" s="123"/>
      <c r="DO43" s="123"/>
      <c r="DP43" s="123"/>
      <c r="DQ43" s="123"/>
      <c r="DR43" s="123"/>
      <c r="DS43" s="123"/>
      <c r="DT43" s="123"/>
      <c r="DU43" s="123"/>
      <c r="DV43" s="123"/>
      <c r="DW43" s="123"/>
      <c r="DX43" s="123"/>
      <c r="DY43" s="123"/>
      <c r="DZ43" s="123"/>
      <c r="EA43" s="123"/>
      <c r="EB43" s="123"/>
      <c r="EC43" s="123"/>
      <c r="ED43" s="123"/>
      <c r="EE43" s="123"/>
      <c r="EF43" s="123"/>
      <c r="EG43" s="123"/>
      <c r="EH43" s="123"/>
      <c r="EI43" s="123"/>
      <c r="EJ43" s="123"/>
      <c r="EK43" s="123"/>
      <c r="EL43" s="123"/>
      <c r="EM43" s="123"/>
      <c r="EN43" s="123"/>
      <c r="EO43" s="123"/>
      <c r="EP43" s="123"/>
      <c r="EQ43" s="123"/>
      <c r="ER43" s="123"/>
      <c r="ES43" s="123"/>
      <c r="ET43" s="123"/>
      <c r="EU43" s="123"/>
      <c r="EV43" s="123"/>
      <c r="EW43" s="123"/>
      <c r="EX43" s="123"/>
      <c r="EY43" s="123"/>
      <c r="EZ43" s="123"/>
      <c r="FA43" s="123"/>
      <c r="FB43" s="123"/>
      <c r="FC43" s="123"/>
      <c r="FD43" s="123"/>
      <c r="FE43" s="123"/>
      <c r="FF43" s="123"/>
      <c r="FG43" s="123"/>
      <c r="FH43" s="123"/>
      <c r="FI43" s="123"/>
      <c r="FJ43" s="123"/>
      <c r="FK43" s="123"/>
      <c r="FL43" s="123"/>
      <c r="FM43" s="123"/>
      <c r="FN43" s="123"/>
      <c r="FO43" s="123"/>
      <c r="FP43" s="123"/>
      <c r="FQ43" s="123"/>
      <c r="FR43" s="123"/>
      <c r="FS43" s="123"/>
      <c r="FT43" s="123"/>
      <c r="FU43" s="123"/>
      <c r="FV43" s="123"/>
      <c r="FW43" s="123"/>
      <c r="FX43" s="123"/>
      <c r="FY43" s="123"/>
      <c r="FZ43" s="123"/>
      <c r="GA43" s="123"/>
      <c r="GB43" s="123"/>
      <c r="GC43" s="123"/>
      <c r="GD43" s="123"/>
      <c r="GE43" s="123"/>
      <c r="GF43" s="123"/>
      <c r="GG43" s="123"/>
      <c r="GH43" s="123"/>
      <c r="GI43" s="123"/>
      <c r="GJ43" s="123"/>
      <c r="GK43" s="123"/>
      <c r="GL43" s="123"/>
      <c r="GM43" s="123"/>
      <c r="GN43" s="123"/>
      <c r="GO43" s="123"/>
      <c r="GP43" s="123"/>
      <c r="GQ43" s="123"/>
      <c r="GR43" s="123"/>
      <c r="GS43" s="123"/>
      <c r="GT43" s="123"/>
      <c r="GU43" s="123"/>
      <c r="GV43" s="123"/>
      <c r="GW43" s="123"/>
      <c r="GX43" s="123"/>
      <c r="GY43" s="123"/>
      <c r="GZ43" s="123"/>
      <c r="HA43" s="123"/>
      <c r="HB43" s="123"/>
      <c r="HC43" s="123"/>
      <c r="HD43" s="123"/>
      <c r="HE43" s="123"/>
      <c r="HF43" s="123"/>
      <c r="HG43" s="123"/>
      <c r="HH43" s="123"/>
      <c r="HI43" s="123"/>
      <c r="HJ43" s="123"/>
      <c r="HK43" s="123"/>
      <c r="HL43" s="123"/>
      <c r="HM43" s="123"/>
      <c r="HN43" s="123"/>
      <c r="HO43" s="123"/>
      <c r="HP43" s="123"/>
      <c r="HQ43" s="123"/>
      <c r="HR43" s="123"/>
      <c r="HS43" s="123"/>
      <c r="HT43" s="123"/>
      <c r="HU43" s="123"/>
      <c r="HV43" s="123"/>
      <c r="HW43" s="123"/>
      <c r="HX43" s="123"/>
    </row>
    <row r="44" spans="4:232" ht="15" customHeight="1" x14ac:dyDescent="0.15"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/>
      <c r="CN44" s="123"/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/>
      <c r="DC44" s="123"/>
      <c r="DD44" s="123"/>
      <c r="DE44" s="123"/>
      <c r="DF44" s="123"/>
      <c r="DG44" s="123"/>
      <c r="DH44" s="123"/>
      <c r="DI44" s="123"/>
      <c r="DJ44" s="123"/>
      <c r="DK44" s="123"/>
      <c r="DL44" s="123"/>
      <c r="DM44" s="123"/>
      <c r="DN44" s="123"/>
      <c r="DO44" s="123"/>
      <c r="DP44" s="123"/>
      <c r="DQ44" s="123"/>
      <c r="DR44" s="123"/>
      <c r="DS44" s="123"/>
      <c r="DT44" s="123"/>
      <c r="DU44" s="123"/>
      <c r="DV44" s="123"/>
      <c r="DW44" s="123"/>
      <c r="DX44" s="123"/>
      <c r="DY44" s="123"/>
      <c r="DZ44" s="123"/>
      <c r="EA44" s="123"/>
      <c r="EB44" s="123"/>
      <c r="EC44" s="123"/>
      <c r="ED44" s="123"/>
      <c r="EE44" s="123"/>
      <c r="EF44" s="123"/>
      <c r="EG44" s="123"/>
      <c r="EH44" s="123"/>
      <c r="EI44" s="123"/>
      <c r="EJ44" s="123"/>
      <c r="EK44" s="123"/>
      <c r="EL44" s="123"/>
      <c r="EM44" s="123"/>
      <c r="EN44" s="123"/>
      <c r="EO44" s="123"/>
      <c r="EP44" s="123"/>
      <c r="EQ44" s="123"/>
      <c r="ER44" s="123"/>
      <c r="ES44" s="123"/>
      <c r="ET44" s="123"/>
      <c r="EU44" s="123"/>
      <c r="EV44" s="123"/>
      <c r="EW44" s="123"/>
      <c r="EX44" s="123"/>
      <c r="EY44" s="123"/>
      <c r="EZ44" s="123"/>
      <c r="FA44" s="123"/>
      <c r="FB44" s="123"/>
      <c r="FC44" s="123"/>
      <c r="FD44" s="123"/>
      <c r="FE44" s="123"/>
      <c r="FF44" s="123"/>
      <c r="FG44" s="123"/>
      <c r="FH44" s="123"/>
      <c r="FI44" s="123"/>
      <c r="FJ44" s="123"/>
      <c r="FK44" s="123"/>
      <c r="FL44" s="123"/>
      <c r="FM44" s="123"/>
      <c r="FN44" s="123"/>
      <c r="FO44" s="123"/>
      <c r="FP44" s="123"/>
      <c r="FQ44" s="123"/>
      <c r="FR44" s="123"/>
      <c r="FS44" s="123"/>
      <c r="FT44" s="123"/>
      <c r="FU44" s="123"/>
      <c r="FV44" s="123"/>
      <c r="FW44" s="123"/>
      <c r="FX44" s="123"/>
      <c r="FY44" s="123"/>
      <c r="FZ44" s="123"/>
      <c r="GA44" s="123"/>
      <c r="GB44" s="123"/>
      <c r="GC44" s="123"/>
      <c r="GD44" s="123"/>
      <c r="GE44" s="123"/>
      <c r="GF44" s="123"/>
      <c r="GG44" s="123"/>
      <c r="GH44" s="123"/>
      <c r="GI44" s="123"/>
      <c r="GJ44" s="123"/>
      <c r="GK44" s="123"/>
      <c r="GL44" s="123"/>
      <c r="GM44" s="123"/>
      <c r="GN44" s="123"/>
      <c r="GO44" s="123"/>
      <c r="GP44" s="123"/>
      <c r="GQ44" s="123"/>
      <c r="GR44" s="123"/>
      <c r="GS44" s="123"/>
      <c r="GT44" s="123"/>
      <c r="GU44" s="123"/>
      <c r="GV44" s="123"/>
      <c r="GW44" s="123"/>
      <c r="GX44" s="123"/>
      <c r="GY44" s="123"/>
      <c r="GZ44" s="123"/>
      <c r="HA44" s="123"/>
      <c r="HB44" s="123"/>
      <c r="HC44" s="123"/>
      <c r="HD44" s="123"/>
      <c r="HE44" s="123"/>
      <c r="HF44" s="123"/>
      <c r="HG44" s="123"/>
      <c r="HH44" s="123"/>
      <c r="HI44" s="123"/>
      <c r="HJ44" s="123"/>
      <c r="HK44" s="123"/>
      <c r="HL44" s="123"/>
      <c r="HM44" s="123"/>
      <c r="HN44" s="123"/>
      <c r="HO44" s="123"/>
      <c r="HP44" s="123"/>
      <c r="HQ44" s="123"/>
      <c r="HR44" s="123"/>
      <c r="HS44" s="123"/>
      <c r="HT44" s="123"/>
      <c r="HU44" s="123"/>
      <c r="HV44" s="123"/>
      <c r="HW44" s="123"/>
      <c r="HX44" s="123"/>
    </row>
    <row r="45" spans="4:232" ht="15" customHeight="1" x14ac:dyDescent="0.15"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3"/>
      <c r="CV45" s="123"/>
      <c r="CW45" s="123"/>
      <c r="CX45" s="123"/>
      <c r="CY45" s="123"/>
      <c r="CZ45" s="123"/>
      <c r="DA45" s="123"/>
      <c r="DB45" s="123"/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123"/>
      <c r="DP45" s="123"/>
      <c r="DQ45" s="123"/>
      <c r="DR45" s="123"/>
      <c r="DS45" s="123"/>
      <c r="DT45" s="123"/>
      <c r="DU45" s="123"/>
      <c r="DV45" s="123"/>
      <c r="DW45" s="123"/>
      <c r="DX45" s="123"/>
      <c r="DY45" s="123"/>
      <c r="DZ45" s="123"/>
      <c r="EA45" s="123"/>
      <c r="EB45" s="123"/>
      <c r="EC45" s="123"/>
      <c r="ED45" s="123"/>
      <c r="EE45" s="123"/>
      <c r="EF45" s="123"/>
      <c r="EG45" s="123"/>
      <c r="EH45" s="123"/>
      <c r="EI45" s="123"/>
      <c r="EJ45" s="123"/>
      <c r="EK45" s="123"/>
      <c r="EL45" s="123"/>
      <c r="EM45" s="123"/>
      <c r="EN45" s="123"/>
      <c r="EO45" s="123"/>
      <c r="EP45" s="123"/>
      <c r="EQ45" s="123"/>
      <c r="ER45" s="123"/>
      <c r="ES45" s="123"/>
      <c r="ET45" s="123"/>
      <c r="EU45" s="123"/>
      <c r="EV45" s="123"/>
      <c r="EW45" s="123"/>
      <c r="EX45" s="123"/>
      <c r="EY45" s="123"/>
      <c r="EZ45" s="123"/>
      <c r="FA45" s="123"/>
      <c r="FB45" s="123"/>
      <c r="FC45" s="123"/>
      <c r="FD45" s="123"/>
      <c r="FE45" s="123"/>
      <c r="FF45" s="123"/>
      <c r="FG45" s="123"/>
      <c r="FH45" s="123"/>
      <c r="FI45" s="123"/>
      <c r="FJ45" s="123"/>
      <c r="FK45" s="123"/>
      <c r="FL45" s="123"/>
      <c r="FM45" s="123"/>
      <c r="FN45" s="123"/>
      <c r="FO45" s="123"/>
      <c r="FP45" s="123"/>
      <c r="FQ45" s="123"/>
      <c r="FR45" s="123"/>
      <c r="FS45" s="123"/>
      <c r="FT45" s="123"/>
      <c r="FU45" s="123"/>
      <c r="FV45" s="123"/>
      <c r="FW45" s="123"/>
      <c r="FX45" s="123"/>
      <c r="FY45" s="123"/>
      <c r="FZ45" s="123"/>
      <c r="GA45" s="123"/>
      <c r="GB45" s="123"/>
      <c r="GC45" s="123"/>
      <c r="GD45" s="123"/>
      <c r="GE45" s="123"/>
      <c r="GF45" s="123"/>
      <c r="GG45" s="123"/>
      <c r="GH45" s="123"/>
      <c r="GI45" s="123"/>
      <c r="GJ45" s="123"/>
      <c r="GK45" s="123"/>
      <c r="GL45" s="123"/>
      <c r="GM45" s="123"/>
      <c r="GN45" s="123"/>
      <c r="GO45" s="123"/>
      <c r="GP45" s="123"/>
      <c r="GQ45" s="123"/>
      <c r="GR45" s="123"/>
      <c r="GS45" s="123"/>
      <c r="GT45" s="123"/>
      <c r="GU45" s="123"/>
      <c r="GV45" s="123"/>
      <c r="GW45" s="123"/>
      <c r="GX45" s="123"/>
      <c r="GY45" s="123"/>
      <c r="GZ45" s="123"/>
      <c r="HA45" s="123"/>
      <c r="HB45" s="123"/>
      <c r="HC45" s="123"/>
      <c r="HD45" s="123"/>
      <c r="HE45" s="123"/>
      <c r="HF45" s="123"/>
      <c r="HG45" s="123"/>
      <c r="HH45" s="123"/>
      <c r="HI45" s="123"/>
      <c r="HJ45" s="123"/>
      <c r="HK45" s="123"/>
      <c r="HL45" s="123"/>
      <c r="HM45" s="123"/>
      <c r="HN45" s="123"/>
      <c r="HO45" s="123"/>
      <c r="HP45" s="123"/>
      <c r="HQ45" s="123"/>
      <c r="HR45" s="123"/>
      <c r="HS45" s="123"/>
      <c r="HT45" s="123"/>
      <c r="HU45" s="123"/>
      <c r="HV45" s="123"/>
      <c r="HW45" s="123"/>
      <c r="HX45" s="123"/>
    </row>
    <row r="46" spans="4:232" ht="15" customHeight="1" x14ac:dyDescent="0.15"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123"/>
      <c r="DO46" s="123"/>
      <c r="DP46" s="123"/>
      <c r="DQ46" s="123"/>
      <c r="DR46" s="123"/>
      <c r="DS46" s="123"/>
      <c r="DT46" s="123"/>
      <c r="DU46" s="123"/>
      <c r="DV46" s="123"/>
      <c r="DW46" s="123"/>
      <c r="DX46" s="123"/>
      <c r="DY46" s="123"/>
      <c r="DZ46" s="123"/>
      <c r="EA46" s="123"/>
      <c r="EB46" s="123"/>
      <c r="EC46" s="123"/>
      <c r="ED46" s="123"/>
      <c r="EE46" s="123"/>
      <c r="EF46" s="123"/>
      <c r="EG46" s="123"/>
      <c r="EH46" s="123"/>
      <c r="EI46" s="123"/>
      <c r="EJ46" s="123"/>
      <c r="EK46" s="123"/>
      <c r="EL46" s="123"/>
      <c r="EM46" s="123"/>
      <c r="EN46" s="123"/>
      <c r="EO46" s="123"/>
      <c r="EP46" s="123"/>
      <c r="EQ46" s="123"/>
      <c r="ER46" s="123"/>
      <c r="ES46" s="123"/>
      <c r="ET46" s="123"/>
      <c r="EU46" s="123"/>
      <c r="EV46" s="123"/>
      <c r="EW46" s="123"/>
      <c r="EX46" s="123"/>
      <c r="EY46" s="123"/>
      <c r="EZ46" s="123"/>
      <c r="FA46" s="123"/>
      <c r="FB46" s="123"/>
      <c r="FC46" s="123"/>
      <c r="FD46" s="123"/>
      <c r="FE46" s="123"/>
      <c r="FF46" s="123"/>
      <c r="FG46" s="123"/>
      <c r="FH46" s="123"/>
      <c r="FI46" s="123"/>
      <c r="FJ46" s="123"/>
      <c r="FK46" s="123"/>
      <c r="FL46" s="123"/>
      <c r="FM46" s="123"/>
      <c r="FN46" s="123"/>
      <c r="FO46" s="123"/>
      <c r="FP46" s="123"/>
      <c r="FQ46" s="123"/>
      <c r="FR46" s="123"/>
      <c r="FS46" s="123"/>
      <c r="FT46" s="123"/>
      <c r="FU46" s="123"/>
      <c r="FV46" s="123"/>
      <c r="FW46" s="123"/>
      <c r="FX46" s="123"/>
      <c r="FY46" s="123"/>
      <c r="FZ46" s="123"/>
      <c r="GA46" s="123"/>
      <c r="GB46" s="123"/>
      <c r="GC46" s="123"/>
      <c r="GD46" s="123"/>
      <c r="GE46" s="123"/>
      <c r="GF46" s="123"/>
      <c r="GG46" s="123"/>
      <c r="GH46" s="123"/>
      <c r="GI46" s="123"/>
      <c r="GJ46" s="123"/>
      <c r="GK46" s="123"/>
      <c r="GL46" s="123"/>
      <c r="GM46" s="123"/>
      <c r="GN46" s="123"/>
      <c r="GO46" s="123"/>
      <c r="GP46" s="123"/>
      <c r="GQ46" s="123"/>
      <c r="GR46" s="123"/>
      <c r="GS46" s="123"/>
      <c r="GT46" s="123"/>
      <c r="GU46" s="123"/>
      <c r="GV46" s="123"/>
      <c r="GW46" s="123"/>
      <c r="GX46" s="123"/>
      <c r="GY46" s="123"/>
      <c r="GZ46" s="123"/>
      <c r="HA46" s="123"/>
      <c r="HB46" s="123"/>
      <c r="HC46" s="123"/>
      <c r="HD46" s="123"/>
      <c r="HE46" s="123"/>
      <c r="HF46" s="123"/>
      <c r="HG46" s="123"/>
      <c r="HH46" s="123"/>
      <c r="HI46" s="123"/>
      <c r="HJ46" s="123"/>
      <c r="HK46" s="123"/>
      <c r="HL46" s="123"/>
      <c r="HM46" s="123"/>
      <c r="HN46" s="123"/>
      <c r="HO46" s="123"/>
      <c r="HP46" s="123"/>
      <c r="HQ46" s="123"/>
      <c r="HR46" s="123"/>
      <c r="HS46" s="123"/>
      <c r="HT46" s="123"/>
      <c r="HU46" s="123"/>
      <c r="HV46" s="123"/>
      <c r="HW46" s="123"/>
    </row>
    <row r="47" spans="4:232" ht="15" customHeight="1" x14ac:dyDescent="0.15"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3"/>
      <c r="CX47" s="123"/>
      <c r="CY47" s="123"/>
      <c r="CZ47" s="123"/>
      <c r="DA47" s="123"/>
      <c r="DB47" s="123"/>
      <c r="DC47" s="123"/>
      <c r="DD47" s="123"/>
      <c r="DE47" s="123"/>
      <c r="DF47" s="123"/>
      <c r="DG47" s="123"/>
      <c r="DH47" s="123"/>
      <c r="DI47" s="123"/>
      <c r="DJ47" s="123"/>
      <c r="DK47" s="123"/>
      <c r="DL47" s="123"/>
      <c r="DM47" s="123"/>
      <c r="DN47" s="123"/>
      <c r="DO47" s="123"/>
      <c r="DP47" s="123"/>
      <c r="DQ47" s="123"/>
      <c r="DR47" s="123"/>
      <c r="DS47" s="123"/>
      <c r="DT47" s="123"/>
      <c r="DU47" s="123"/>
      <c r="DV47" s="123"/>
      <c r="DW47" s="123"/>
      <c r="DX47" s="123"/>
      <c r="DY47" s="123"/>
      <c r="DZ47" s="123"/>
      <c r="EA47" s="123"/>
      <c r="EB47" s="123"/>
      <c r="EC47" s="123"/>
      <c r="ED47" s="123"/>
      <c r="EE47" s="123"/>
      <c r="EF47" s="123"/>
      <c r="EG47" s="123"/>
      <c r="EH47" s="123"/>
      <c r="EI47" s="123"/>
      <c r="EJ47" s="123"/>
      <c r="EK47" s="123"/>
      <c r="EL47" s="123"/>
      <c r="EM47" s="123"/>
      <c r="EN47" s="123"/>
      <c r="EO47" s="123"/>
      <c r="EP47" s="123"/>
      <c r="EQ47" s="123"/>
      <c r="ER47" s="123"/>
      <c r="ES47" s="123"/>
      <c r="ET47" s="123"/>
      <c r="EU47" s="123"/>
      <c r="EV47" s="123"/>
      <c r="EW47" s="123"/>
      <c r="EX47" s="123"/>
      <c r="EY47" s="123"/>
      <c r="EZ47" s="123"/>
      <c r="FA47" s="123"/>
      <c r="FB47" s="123"/>
      <c r="FC47" s="123"/>
      <c r="FD47" s="123"/>
      <c r="FE47" s="123"/>
      <c r="FF47" s="123"/>
      <c r="FG47" s="123"/>
      <c r="FH47" s="123"/>
      <c r="FI47" s="123"/>
      <c r="FJ47" s="123"/>
      <c r="FK47" s="123"/>
      <c r="FL47" s="123"/>
      <c r="FM47" s="123"/>
      <c r="FN47" s="123"/>
      <c r="FO47" s="123"/>
      <c r="FP47" s="123"/>
      <c r="FQ47" s="123"/>
      <c r="FR47" s="123"/>
      <c r="FS47" s="123"/>
      <c r="FT47" s="123"/>
      <c r="FU47" s="123"/>
      <c r="FV47" s="123"/>
      <c r="FW47" s="123"/>
      <c r="FX47" s="123"/>
      <c r="FY47" s="123"/>
      <c r="FZ47" s="123"/>
      <c r="GA47" s="123"/>
      <c r="GB47" s="123"/>
      <c r="GC47" s="123"/>
      <c r="GD47" s="123"/>
      <c r="GE47" s="123"/>
      <c r="GF47" s="123"/>
      <c r="GG47" s="123"/>
      <c r="GH47" s="123"/>
      <c r="GI47" s="123"/>
      <c r="GJ47" s="123"/>
      <c r="GK47" s="123"/>
      <c r="GL47" s="123"/>
      <c r="GM47" s="123"/>
      <c r="GN47" s="123"/>
      <c r="GO47" s="123"/>
      <c r="GP47" s="123"/>
      <c r="GQ47" s="123"/>
      <c r="GR47" s="123"/>
      <c r="GS47" s="123"/>
      <c r="GT47" s="123"/>
      <c r="GU47" s="123"/>
      <c r="GV47" s="123"/>
      <c r="GW47" s="123"/>
      <c r="GX47" s="123"/>
      <c r="GY47" s="123"/>
      <c r="GZ47" s="123"/>
      <c r="HA47" s="123"/>
      <c r="HB47" s="123"/>
      <c r="HC47" s="123"/>
      <c r="HD47" s="123"/>
      <c r="HE47" s="123"/>
      <c r="HF47" s="123"/>
      <c r="HG47" s="123"/>
      <c r="HH47" s="123"/>
      <c r="HI47" s="123"/>
      <c r="HJ47" s="123"/>
      <c r="HK47" s="123"/>
      <c r="HL47" s="123"/>
      <c r="HM47" s="123"/>
      <c r="HN47" s="123"/>
    </row>
    <row r="48" spans="4:232" ht="15" customHeight="1" x14ac:dyDescent="0.15"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3"/>
      <c r="CY48" s="123"/>
      <c r="CZ48" s="123"/>
      <c r="DA48" s="123"/>
      <c r="DB48" s="123"/>
      <c r="DC48" s="123"/>
      <c r="DD48" s="123"/>
      <c r="DE48" s="123"/>
      <c r="DF48" s="123"/>
      <c r="DG48" s="123"/>
      <c r="DH48" s="123"/>
      <c r="DI48" s="123"/>
      <c r="DJ48" s="123"/>
      <c r="DK48" s="123"/>
      <c r="DL48" s="123"/>
      <c r="DM48" s="123"/>
      <c r="DN48" s="123"/>
      <c r="DO48" s="123"/>
      <c r="DP48" s="123"/>
      <c r="DQ48" s="123"/>
      <c r="DR48" s="123"/>
      <c r="DS48" s="123"/>
      <c r="DT48" s="123"/>
      <c r="DU48" s="123"/>
      <c r="DV48" s="123"/>
      <c r="DW48" s="123"/>
      <c r="DX48" s="123"/>
      <c r="DY48" s="123"/>
      <c r="DZ48" s="123"/>
      <c r="EA48" s="123"/>
      <c r="EB48" s="123"/>
      <c r="EC48" s="123"/>
      <c r="ED48" s="123"/>
      <c r="EE48" s="123"/>
      <c r="EF48" s="123"/>
      <c r="EG48" s="123"/>
      <c r="EH48" s="123"/>
      <c r="EI48" s="123"/>
      <c r="EJ48" s="123"/>
      <c r="EK48" s="123"/>
      <c r="EL48" s="123"/>
      <c r="EM48" s="123"/>
      <c r="EN48" s="123"/>
      <c r="EO48" s="123"/>
      <c r="EP48" s="123"/>
      <c r="EQ48" s="123"/>
      <c r="ER48" s="123"/>
      <c r="ES48" s="123"/>
      <c r="ET48" s="123"/>
      <c r="EU48" s="123"/>
      <c r="EV48" s="123"/>
      <c r="EW48" s="123"/>
      <c r="EX48" s="123"/>
      <c r="EY48" s="123"/>
      <c r="EZ48" s="123"/>
      <c r="FA48" s="123"/>
      <c r="FB48" s="123"/>
      <c r="FC48" s="123"/>
      <c r="FD48" s="123"/>
      <c r="FE48" s="123"/>
      <c r="FF48" s="123"/>
      <c r="FG48" s="123"/>
      <c r="FH48" s="123"/>
      <c r="FI48" s="123"/>
      <c r="FJ48" s="123"/>
      <c r="FK48" s="123"/>
      <c r="FL48" s="123"/>
      <c r="FM48" s="123"/>
      <c r="FN48" s="123"/>
      <c r="FO48" s="123"/>
      <c r="FP48" s="123"/>
      <c r="FQ48" s="123"/>
      <c r="FR48" s="123"/>
      <c r="FS48" s="123"/>
      <c r="FT48" s="123"/>
      <c r="FU48" s="123"/>
      <c r="FV48" s="123"/>
      <c r="FW48" s="123"/>
      <c r="FX48" s="123"/>
      <c r="FY48" s="123"/>
      <c r="FZ48" s="123"/>
      <c r="GA48" s="123"/>
      <c r="GB48" s="123"/>
      <c r="GC48" s="123"/>
      <c r="GD48" s="123"/>
      <c r="GE48" s="123"/>
      <c r="GF48" s="123"/>
      <c r="GG48" s="123"/>
      <c r="GH48" s="123"/>
      <c r="GI48" s="123"/>
      <c r="GJ48" s="123"/>
      <c r="GK48" s="123"/>
      <c r="GL48" s="123"/>
      <c r="GM48" s="123"/>
      <c r="GN48" s="123"/>
      <c r="GO48" s="123"/>
      <c r="GP48" s="123"/>
      <c r="GQ48" s="123"/>
      <c r="GR48" s="123"/>
      <c r="GS48" s="123"/>
      <c r="GT48" s="123"/>
      <c r="GU48" s="123"/>
      <c r="GV48" s="123"/>
      <c r="GW48" s="123"/>
      <c r="GX48" s="123"/>
      <c r="GY48" s="123"/>
      <c r="GZ48" s="123"/>
      <c r="HA48" s="123"/>
      <c r="HB48" s="123"/>
      <c r="HC48" s="123"/>
      <c r="HD48" s="123"/>
      <c r="HE48" s="123"/>
      <c r="HF48" s="123"/>
      <c r="HG48" s="123"/>
      <c r="HH48" s="123"/>
      <c r="HI48" s="123"/>
      <c r="HJ48" s="123"/>
      <c r="HK48" s="123"/>
      <c r="HL48" s="123"/>
      <c r="HM48" s="123"/>
      <c r="HN48" s="123"/>
    </row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</sheetData>
  <mergeCells count="10">
    <mergeCell ref="A1:F1"/>
    <mergeCell ref="D3:D6"/>
    <mergeCell ref="D7:D12"/>
    <mergeCell ref="A13:A16"/>
    <mergeCell ref="A21:A24"/>
    <mergeCell ref="D21:D26"/>
    <mergeCell ref="A17:A20"/>
    <mergeCell ref="A7:A12"/>
    <mergeCell ref="A3:A6"/>
    <mergeCell ref="D13:D19"/>
  </mergeCells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F12" sqref="F12"/>
    </sheetView>
  </sheetViews>
  <sheetFormatPr defaultRowHeight="13.5" x14ac:dyDescent="0.15"/>
  <cols>
    <col min="1" max="1" width="7" bestFit="1" customWidth="1"/>
    <col min="2" max="2" width="8" bestFit="1" customWidth="1"/>
    <col min="3" max="3" width="9" bestFit="1" customWidth="1"/>
    <col min="4" max="4" width="13.625" bestFit="1" customWidth="1"/>
    <col min="5" max="5" width="13.625" customWidth="1"/>
    <col min="6" max="6" width="12.75" bestFit="1" customWidth="1"/>
    <col min="7" max="9" width="11.75" bestFit="1" customWidth="1"/>
    <col min="10" max="10" width="14.75" bestFit="1" customWidth="1"/>
    <col min="11" max="11" width="11.75" bestFit="1" customWidth="1"/>
    <col min="12" max="13" width="12.625" bestFit="1" customWidth="1"/>
    <col min="14" max="14" width="19" customWidth="1"/>
    <col min="15" max="15" width="7.625" customWidth="1"/>
    <col min="16" max="17" width="11.75" bestFit="1" customWidth="1"/>
    <col min="18" max="18" width="12.75" customWidth="1"/>
    <col min="19" max="19" width="18" customWidth="1"/>
    <col min="20" max="20" width="12.75" bestFit="1" customWidth="1"/>
    <col min="21" max="21" width="17" customWidth="1"/>
    <col min="23" max="23" width="12.125" customWidth="1"/>
    <col min="24" max="24" width="11.875" customWidth="1"/>
    <col min="25" max="25" width="12.875" customWidth="1"/>
  </cols>
  <sheetData>
    <row r="1" spans="1:25" ht="20.25" x14ac:dyDescent="0.15">
      <c r="A1" s="500" t="s">
        <v>260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</row>
    <row r="3" spans="1:25" s="301" customFormat="1" x14ac:dyDescent="0.15">
      <c r="A3" s="14" t="s">
        <v>182</v>
      </c>
      <c r="B3" s="14" t="s">
        <v>183</v>
      </c>
      <c r="C3" s="14" t="s">
        <v>6</v>
      </c>
      <c r="D3" s="14" t="s">
        <v>184</v>
      </c>
      <c r="E3" s="14" t="s">
        <v>185</v>
      </c>
      <c r="F3" s="14" t="s">
        <v>34</v>
      </c>
      <c r="G3" s="14" t="s">
        <v>195</v>
      </c>
      <c r="H3" s="14" t="s">
        <v>196</v>
      </c>
      <c r="I3" s="14" t="s">
        <v>197</v>
      </c>
      <c r="J3" s="14" t="s">
        <v>38</v>
      </c>
      <c r="K3" s="14" t="s">
        <v>198</v>
      </c>
      <c r="L3" s="14" t="s">
        <v>40</v>
      </c>
      <c r="M3" s="14" t="s">
        <v>199</v>
      </c>
      <c r="N3" s="300" t="s">
        <v>188</v>
      </c>
      <c r="P3" s="302" t="s">
        <v>189</v>
      </c>
      <c r="Q3" s="302" t="s">
        <v>190</v>
      </c>
      <c r="R3" s="302" t="s">
        <v>191</v>
      </c>
      <c r="S3" s="302" t="s">
        <v>192</v>
      </c>
      <c r="T3" s="302" t="s">
        <v>193</v>
      </c>
      <c r="U3" s="302" t="s">
        <v>194</v>
      </c>
      <c r="W3" s="302">
        <v>6602</v>
      </c>
      <c r="X3" s="302">
        <v>6603</v>
      </c>
      <c r="Y3" s="302" t="s">
        <v>127</v>
      </c>
    </row>
    <row r="4" spans="1:25" x14ac:dyDescent="0.15">
      <c r="A4" s="127" t="s">
        <v>44</v>
      </c>
      <c r="B4" s="127">
        <f>[1]明细表!F33</f>
        <v>422237</v>
      </c>
      <c r="C4" s="303">
        <f>D4/B4</f>
        <v>10.366357140657971</v>
      </c>
      <c r="D4" s="303">
        <f>[1]明细表!R33</f>
        <v>4377059.54</v>
      </c>
      <c r="E4" s="303">
        <f>[21]明细表!$O$33</f>
        <v>-403666.75</v>
      </c>
      <c r="F4" s="304">
        <f>U4-D4-G4-H4-I4-J4-K4</f>
        <v>693964.24000000069</v>
      </c>
      <c r="G4" s="304">
        <f>[1]明细表!T33</f>
        <v>82775.39</v>
      </c>
      <c r="H4" s="304">
        <f>[1]明细表!U33</f>
        <v>481782.91</v>
      </c>
      <c r="I4" s="304">
        <f>[1]明细表!V33</f>
        <v>562608.73</v>
      </c>
      <c r="J4" s="304">
        <f>[1]明细表!W33</f>
        <v>2422489.7800000003</v>
      </c>
      <c r="K4" s="304">
        <f>[1]明细表!X33</f>
        <v>697101.71</v>
      </c>
      <c r="L4" s="304">
        <v>658523.06000000006</v>
      </c>
      <c r="M4" s="304">
        <f>Y4</f>
        <v>855189.88</v>
      </c>
      <c r="N4" s="304">
        <f>SUM(F4:M4)</f>
        <v>6454435.7000000002</v>
      </c>
      <c r="P4" s="304">
        <v>466395.5</v>
      </c>
      <c r="Q4" s="304">
        <v>419727.45</v>
      </c>
      <c r="R4" s="304">
        <v>265934</v>
      </c>
      <c r="S4" s="304">
        <v>1270432.83</v>
      </c>
      <c r="T4" s="304">
        <f>SUM(P4:S4)</f>
        <v>2422489.7800000003</v>
      </c>
      <c r="U4" s="304">
        <v>9317782.3000000007</v>
      </c>
      <c r="W4" s="304">
        <v>830892.97</v>
      </c>
      <c r="X4" s="304">
        <v>24296.91</v>
      </c>
      <c r="Y4" s="304">
        <f>SUM(W4:X4)</f>
        <v>855189.88</v>
      </c>
    </row>
    <row r="5" spans="1:25" x14ac:dyDescent="0.15">
      <c r="A5" s="127" t="s">
        <v>45</v>
      </c>
      <c r="B5" s="127">
        <f>[2]明细表!F33</f>
        <v>464162</v>
      </c>
      <c r="C5" s="303">
        <f>[2]明细表!Q33</f>
        <v>10.516188615181768</v>
      </c>
      <c r="D5" s="303">
        <f>[2]明细表!R33</f>
        <v>4881215.1399999997</v>
      </c>
      <c r="E5" s="303">
        <f>[22]明细表!$O$33</f>
        <v>-398781.94</v>
      </c>
      <c r="F5" s="304">
        <f>U5-D5-G5-H5-I5-J5-K5</f>
        <v>161489.01000000141</v>
      </c>
      <c r="G5" s="304">
        <f>[2]明细表!T33</f>
        <v>104534.56</v>
      </c>
      <c r="H5" s="304">
        <f>[2]明细表!U33</f>
        <v>490478.46</v>
      </c>
      <c r="I5" s="304">
        <f>[2]明细表!V33</f>
        <v>323938.58</v>
      </c>
      <c r="J5" s="304">
        <f>[2]明细表!W33</f>
        <v>2546269.0099999998</v>
      </c>
      <c r="K5" s="304">
        <f>[2]明细表!X33</f>
        <v>697102.22</v>
      </c>
      <c r="L5" s="304">
        <v>1393084.4</v>
      </c>
      <c r="M5" s="304">
        <f>Y5</f>
        <v>963102.09</v>
      </c>
      <c r="N5" s="304">
        <f t="shared" ref="N5:N10" si="0">SUM(F5:M5)</f>
        <v>6679998.3300000001</v>
      </c>
      <c r="P5" s="304">
        <v>471149.36</v>
      </c>
      <c r="Q5" s="304">
        <v>489161.13</v>
      </c>
      <c r="R5" s="304">
        <v>235964</v>
      </c>
      <c r="S5" s="304">
        <v>1349994.52</v>
      </c>
      <c r="T5" s="304">
        <f t="shared" ref="T5:T15" si="1">SUM(P5:S5)</f>
        <v>2546269.0099999998</v>
      </c>
      <c r="U5" s="304">
        <v>9205026.9800000004</v>
      </c>
      <c r="W5" s="304">
        <v>948941.94</v>
      </c>
      <c r="X5" s="304">
        <v>14160.150000000001</v>
      </c>
      <c r="Y5" s="304">
        <f t="shared" ref="Y5:Y15" si="2">SUM(W5:X5)</f>
        <v>963102.09</v>
      </c>
    </row>
    <row r="6" spans="1:25" x14ac:dyDescent="0.15">
      <c r="A6" s="127" t="s">
        <v>46</v>
      </c>
      <c r="B6" s="127">
        <f>[3]明细表!F28</f>
        <v>387310</v>
      </c>
      <c r="C6" s="303">
        <f>[3]明细表!Q28</f>
        <v>10.612724071157471</v>
      </c>
      <c r="D6" s="303">
        <f>[3]明细表!R28</f>
        <v>4110414.16</v>
      </c>
      <c r="E6" s="303">
        <f>[23]明细表!$O$28</f>
        <v>-513523.81</v>
      </c>
      <c r="F6" s="304">
        <f>U6-D6-G6-H6-I6-J6-K6</f>
        <v>942583.25000000023</v>
      </c>
      <c r="G6" s="304">
        <f>[3]明细表!T28</f>
        <v>90419.07</v>
      </c>
      <c r="H6" s="304">
        <f>[3]明细表!U28</f>
        <v>454476.98</v>
      </c>
      <c r="I6" s="304">
        <f>[3]明细表!V28</f>
        <v>281611.25</v>
      </c>
      <c r="J6" s="304">
        <f>[3]明细表!W28</f>
        <v>2971835.8</v>
      </c>
      <c r="K6" s="304">
        <f>[3]明细表!X28</f>
        <v>697101.7</v>
      </c>
      <c r="L6" s="304">
        <v>1384642.73</v>
      </c>
      <c r="M6" s="304">
        <f>[3]明细表!Z28</f>
        <v>1319340.47</v>
      </c>
      <c r="N6" s="304">
        <f t="shared" si="0"/>
        <v>8142011.2499999991</v>
      </c>
      <c r="P6" s="304">
        <v>496746.85000000003</v>
      </c>
      <c r="Q6" s="304">
        <v>647294.74</v>
      </c>
      <c r="R6" s="304">
        <v>151064</v>
      </c>
      <c r="S6" s="304">
        <v>1616937.14</v>
      </c>
      <c r="T6" s="304">
        <f t="shared" si="1"/>
        <v>2912042.73</v>
      </c>
      <c r="U6" s="304">
        <v>9548442.2100000009</v>
      </c>
      <c r="W6" s="304">
        <v>1571355.34</v>
      </c>
      <c r="X6" s="304">
        <v>-252014.87</v>
      </c>
      <c r="Y6" s="304">
        <f t="shared" si="2"/>
        <v>1319340.4700000002</v>
      </c>
    </row>
    <row r="7" spans="1:25" x14ac:dyDescent="0.15">
      <c r="A7" s="127" t="s">
        <v>47</v>
      </c>
      <c r="B7" s="127">
        <f>[4]明细表!F28</f>
        <v>503231</v>
      </c>
      <c r="C7" s="303">
        <f>[4]明细表!Q28</f>
        <v>11.20614942243224</v>
      </c>
      <c r="D7" s="303">
        <f>[4]明细表!R28</f>
        <v>5639281.7799999984</v>
      </c>
      <c r="E7" s="303">
        <f>[24]明细表!$O$28</f>
        <v>-380300.48</v>
      </c>
      <c r="F7" s="304">
        <f>U7-D7-G7-H7-I7-J7-K7</f>
        <v>498893.51000000164</v>
      </c>
      <c r="G7" s="304">
        <f>[4]明细表!T28</f>
        <v>93251.04</v>
      </c>
      <c r="H7" s="304">
        <f>[4]明细表!U28</f>
        <v>471671.43</v>
      </c>
      <c r="I7" s="304">
        <f>[4]明细表!V28</f>
        <v>177294.74</v>
      </c>
      <c r="J7" s="304">
        <f>[4]明细表!W28</f>
        <v>2344701.91</v>
      </c>
      <c r="K7" s="304">
        <f>[4]明细表!X28</f>
        <v>695910.25</v>
      </c>
      <c r="L7" s="304">
        <f>[4]明细表!Y28</f>
        <v>1173277.3700000001</v>
      </c>
      <c r="M7" s="304">
        <f>Y7</f>
        <v>389121.86</v>
      </c>
      <c r="N7" s="304">
        <f t="shared" si="0"/>
        <v>5844122.1100000022</v>
      </c>
      <c r="P7" s="304">
        <v>493568.09</v>
      </c>
      <c r="Q7" s="304">
        <v>108991.97999999998</v>
      </c>
      <c r="R7" s="304">
        <v>170958</v>
      </c>
      <c r="S7" s="304">
        <v>1571183.84</v>
      </c>
      <c r="T7" s="304">
        <f t="shared" si="1"/>
        <v>2344701.91</v>
      </c>
      <c r="U7" s="304">
        <v>9921004.6600000001</v>
      </c>
      <c r="W7" s="304">
        <v>366278.70999999996</v>
      </c>
      <c r="X7" s="304">
        <v>22843.149999999998</v>
      </c>
      <c r="Y7" s="304">
        <f t="shared" si="2"/>
        <v>389121.86</v>
      </c>
    </row>
    <row r="8" spans="1:25" x14ac:dyDescent="0.15">
      <c r="A8" s="127" t="s">
        <v>48</v>
      </c>
      <c r="B8" s="127">
        <f>[5]明细表!G27</f>
        <v>526029</v>
      </c>
      <c r="C8" s="303">
        <f>[5]明细表!R27</f>
        <v>11.484767778962757</v>
      </c>
      <c r="D8" s="303">
        <f>[5]明细表!S27</f>
        <v>6041320.9100000001</v>
      </c>
      <c r="E8" s="303">
        <f>[25]明细表!$P$27</f>
        <v>-401965.11</v>
      </c>
      <c r="F8" s="304">
        <f>U8-K8-J8-I8-H8-D8-G8</f>
        <v>423789.8499999987</v>
      </c>
      <c r="G8" s="304">
        <v>100983.5</v>
      </c>
      <c r="H8" s="304">
        <v>511593.26</v>
      </c>
      <c r="I8" s="304">
        <v>230323.21</v>
      </c>
      <c r="J8" s="304">
        <f>T8</f>
        <v>2483477.17</v>
      </c>
      <c r="K8" s="304">
        <v>694688</v>
      </c>
      <c r="L8" s="304">
        <v>1772261.77</v>
      </c>
      <c r="M8" s="304">
        <f>Y8</f>
        <v>900937.03999999992</v>
      </c>
      <c r="N8" s="304">
        <f t="shared" si="0"/>
        <v>7118053.799999998</v>
      </c>
      <c r="P8" s="304">
        <v>465069.36</v>
      </c>
      <c r="Q8" s="304">
        <v>310678.71000000002</v>
      </c>
      <c r="R8" s="304">
        <v>181264</v>
      </c>
      <c r="S8" s="304">
        <v>1526465.1</v>
      </c>
      <c r="T8" s="304">
        <f t="shared" si="1"/>
        <v>2483477.17</v>
      </c>
      <c r="U8" s="304">
        <v>10486175.899999999</v>
      </c>
      <c r="W8" s="304">
        <v>879336.09</v>
      </c>
      <c r="X8" s="304">
        <v>21600.95</v>
      </c>
      <c r="Y8" s="304">
        <f t="shared" si="2"/>
        <v>900937.03999999992</v>
      </c>
    </row>
    <row r="9" spans="1:25" x14ac:dyDescent="0.15">
      <c r="A9" s="127" t="s">
        <v>49</v>
      </c>
      <c r="B9" s="127">
        <f>[6]明细表!G27</f>
        <v>493141</v>
      </c>
      <c r="C9" s="303">
        <f>[6]明细表!R27</f>
        <v>11.708606950142048</v>
      </c>
      <c r="D9" s="303">
        <f>[6]明细表!S27</f>
        <v>5773994.1399999997</v>
      </c>
      <c r="E9" s="303">
        <f>[6]明细表!P27</f>
        <v>-402723.19</v>
      </c>
      <c r="F9" s="304">
        <f>U9-D9-G9-H9-I9-J9-K9</f>
        <v>1115211.6599999983</v>
      </c>
      <c r="G9" s="304">
        <v>99287.86</v>
      </c>
      <c r="H9" s="304">
        <v>602029.57999999996</v>
      </c>
      <c r="I9" s="304">
        <v>188117.66</v>
      </c>
      <c r="J9" s="304">
        <f>T9</f>
        <v>2512364.0099999998</v>
      </c>
      <c r="K9" s="304">
        <v>727090.83</v>
      </c>
      <c r="L9" s="304">
        <v>1467160.2</v>
      </c>
      <c r="M9" s="304">
        <f>Y9</f>
        <v>712423.82999999984</v>
      </c>
      <c r="N9" s="304">
        <f t="shared" si="0"/>
        <v>7423685.629999998</v>
      </c>
      <c r="P9" s="304">
        <v>443373.28</v>
      </c>
      <c r="Q9" s="304">
        <v>315975.7</v>
      </c>
      <c r="R9" s="304">
        <v>203004</v>
      </c>
      <c r="S9" s="304">
        <v>1550011.03</v>
      </c>
      <c r="T9" s="304">
        <f t="shared" si="1"/>
        <v>2512364.0099999998</v>
      </c>
      <c r="U9" s="304">
        <v>11018095.739999998</v>
      </c>
      <c r="W9" s="304">
        <v>980048.44</v>
      </c>
      <c r="X9" s="304">
        <v>-267624.61000000004</v>
      </c>
      <c r="Y9" s="304">
        <f t="shared" si="2"/>
        <v>712423.82999999984</v>
      </c>
    </row>
    <row r="10" spans="1:25" x14ac:dyDescent="0.15">
      <c r="A10" s="127" t="s">
        <v>51</v>
      </c>
      <c r="B10" s="127">
        <f>[7]明细表!F28</f>
        <v>606569</v>
      </c>
      <c r="C10" s="303">
        <f>[7]明细表!Q28</f>
        <v>11.457315210635556</v>
      </c>
      <c r="D10" s="303">
        <f>[7]明细表!R28</f>
        <v>6949652.2299999986</v>
      </c>
      <c r="E10" s="303">
        <f>[7]明细表!O28</f>
        <v>-464507.88</v>
      </c>
      <c r="F10" s="304">
        <f>U10-D10-G10-H10-I10-J10-K10</f>
        <v>520656.46000000206</v>
      </c>
      <c r="G10" s="304">
        <v>97583.35</v>
      </c>
      <c r="H10" s="304">
        <v>705428.37</v>
      </c>
      <c r="I10" s="304">
        <v>216470.41</v>
      </c>
      <c r="J10" s="304">
        <f>T10</f>
        <v>2388721.6399999997</v>
      </c>
      <c r="K10" s="304">
        <f>[7]明细表!X28</f>
        <v>727090.2</v>
      </c>
      <c r="L10" s="304">
        <f>[7]明细表!Y28</f>
        <v>1642198.05</v>
      </c>
      <c r="M10" s="304">
        <f>Y10</f>
        <v>946765.23</v>
      </c>
      <c r="N10" s="304">
        <f t="shared" si="0"/>
        <v>7244913.7100000009</v>
      </c>
      <c r="P10" s="304">
        <v>359280.11</v>
      </c>
      <c r="Q10" s="304">
        <v>312407.34000000003</v>
      </c>
      <c r="R10" s="304">
        <v>207212</v>
      </c>
      <c r="S10" s="304">
        <v>1509822.19</v>
      </c>
      <c r="T10" s="304">
        <f t="shared" si="1"/>
        <v>2388721.6399999997</v>
      </c>
      <c r="U10" s="304">
        <v>11605602.66</v>
      </c>
      <c r="W10" s="304">
        <v>944439.16</v>
      </c>
      <c r="X10" s="304">
        <v>2326.0700000000002</v>
      </c>
      <c r="Y10" s="304">
        <f t="shared" si="2"/>
        <v>946765.23</v>
      </c>
    </row>
    <row r="11" spans="1:25" x14ac:dyDescent="0.15">
      <c r="A11" s="127" t="s">
        <v>52</v>
      </c>
      <c r="B11" s="127">
        <f>[8]明细表!G27</f>
        <v>697655</v>
      </c>
      <c r="C11" s="303">
        <f>[8]明细表!R27</f>
        <v>11.589688958009333</v>
      </c>
      <c r="D11" s="303">
        <f>[8]明细表!S27</f>
        <v>8085604.4500000011</v>
      </c>
      <c r="E11" s="303">
        <f>[8]明细表!P27</f>
        <v>-515143.55</v>
      </c>
      <c r="F11" s="304">
        <f>U11-D11-G11-H11-I11-J11-K11</f>
        <v>851565.37999999791</v>
      </c>
      <c r="G11" s="304">
        <v>128042.63</v>
      </c>
      <c r="H11" s="304">
        <v>762174.08</v>
      </c>
      <c r="I11" s="304">
        <v>194793.58</v>
      </c>
      <c r="J11" s="304">
        <f>T11</f>
        <v>2689422.36</v>
      </c>
      <c r="K11" s="304">
        <f>[8]明细表!Y27</f>
        <v>727090.9</v>
      </c>
      <c r="L11" s="304">
        <v>1260786.47</v>
      </c>
      <c r="M11" s="304">
        <v>1156816.94</v>
      </c>
      <c r="N11" s="304">
        <f>SUM(F11:M11)</f>
        <v>7770692.339999998</v>
      </c>
      <c r="P11" s="304">
        <v>502869.44</v>
      </c>
      <c r="Q11" s="304">
        <v>265783.46999999997</v>
      </c>
      <c r="R11" s="304">
        <v>223960</v>
      </c>
      <c r="S11" s="304">
        <v>1696809.45</v>
      </c>
      <c r="T11" s="304">
        <f t="shared" si="1"/>
        <v>2689422.36</v>
      </c>
      <c r="U11" s="304">
        <v>13438693.379999999</v>
      </c>
      <c r="W11" s="304"/>
      <c r="X11" s="304"/>
      <c r="Y11" s="304">
        <f t="shared" si="2"/>
        <v>0</v>
      </c>
    </row>
    <row r="12" spans="1:25" x14ac:dyDescent="0.15">
      <c r="A12" s="127" t="s">
        <v>53</v>
      </c>
      <c r="B12" s="127">
        <f>明细表!F28</f>
        <v>491005</v>
      </c>
      <c r="C12" s="303">
        <f>明细表!Q28</f>
        <v>11.310645410942863</v>
      </c>
      <c r="D12" s="303">
        <f>明细表!R28</f>
        <v>5553583.4500000002</v>
      </c>
      <c r="E12" s="303">
        <f>明细表!O28</f>
        <v>-710539.08</v>
      </c>
      <c r="F12" s="304">
        <f>U12-D12-G12-H12-I12-J12-K12</f>
        <v>8517505.4400000051</v>
      </c>
      <c r="G12" s="304">
        <v>83485.61</v>
      </c>
      <c r="H12" s="304">
        <v>646027.38</v>
      </c>
      <c r="I12" s="304">
        <v>174605.83</v>
      </c>
      <c r="J12" s="304">
        <f>T12</f>
        <v>2832608.96</v>
      </c>
      <c r="K12" s="304">
        <v>728214.18</v>
      </c>
      <c r="L12" s="304">
        <v>1443688.58</v>
      </c>
      <c r="M12" s="304">
        <v>1023376.01</v>
      </c>
      <c r="N12" s="304">
        <f>SUM(F12:M12)</f>
        <v>15449511.990000006</v>
      </c>
      <c r="P12" s="304">
        <v>563720.46</v>
      </c>
      <c r="Q12" s="304">
        <v>320539.42</v>
      </c>
      <c r="R12" s="304">
        <v>159204</v>
      </c>
      <c r="S12" s="304">
        <v>1789145.08</v>
      </c>
      <c r="T12" s="304">
        <f t="shared" si="1"/>
        <v>2832608.96</v>
      </c>
      <c r="U12" s="304">
        <v>18536030.850000005</v>
      </c>
      <c r="W12" s="304"/>
      <c r="X12" s="304"/>
      <c r="Y12" s="304">
        <f t="shared" si="2"/>
        <v>0</v>
      </c>
    </row>
    <row r="13" spans="1:25" x14ac:dyDescent="0.15">
      <c r="A13" s="127" t="s">
        <v>54</v>
      </c>
      <c r="B13" s="127"/>
      <c r="C13" s="303"/>
      <c r="D13" s="303"/>
      <c r="E13" s="303"/>
      <c r="F13" s="304"/>
      <c r="G13" s="304"/>
      <c r="H13" s="304"/>
      <c r="I13" s="304"/>
      <c r="J13" s="304"/>
      <c r="K13" s="304"/>
      <c r="L13" s="304"/>
      <c r="M13" s="304"/>
      <c r="N13" s="304">
        <f>SUM(F13:M13)</f>
        <v>0</v>
      </c>
      <c r="P13" s="304"/>
      <c r="Q13" s="304"/>
      <c r="R13" s="304"/>
      <c r="S13" s="304"/>
      <c r="T13" s="304">
        <f t="shared" si="1"/>
        <v>0</v>
      </c>
      <c r="U13" s="304"/>
      <c r="W13" s="304"/>
      <c r="X13" s="304"/>
      <c r="Y13" s="304">
        <f t="shared" si="2"/>
        <v>0</v>
      </c>
    </row>
    <row r="14" spans="1:25" x14ac:dyDescent="0.15">
      <c r="A14" s="127" t="s">
        <v>55</v>
      </c>
      <c r="B14" s="127"/>
      <c r="C14" s="303"/>
      <c r="D14" s="303"/>
      <c r="E14" s="303"/>
      <c r="F14" s="304"/>
      <c r="G14" s="304"/>
      <c r="H14" s="304"/>
      <c r="I14" s="304"/>
      <c r="J14" s="304"/>
      <c r="K14" s="304"/>
      <c r="L14" s="304"/>
      <c r="M14" s="304"/>
      <c r="N14" s="304">
        <f>SUM(F14:M14)</f>
        <v>0</v>
      </c>
      <c r="P14" s="304"/>
      <c r="Q14" s="304"/>
      <c r="R14" s="304"/>
      <c r="S14" s="304"/>
      <c r="T14" s="304">
        <f t="shared" si="1"/>
        <v>0</v>
      </c>
      <c r="U14" s="304"/>
      <c r="W14" s="304"/>
      <c r="X14" s="304"/>
      <c r="Y14" s="304">
        <f t="shared" si="2"/>
        <v>0</v>
      </c>
    </row>
    <row r="15" spans="1:25" x14ac:dyDescent="0.15">
      <c r="A15" s="127" t="s">
        <v>56</v>
      </c>
      <c r="B15" s="127"/>
      <c r="C15" s="303"/>
      <c r="D15" s="303"/>
      <c r="E15" s="303"/>
      <c r="F15" s="304"/>
      <c r="G15" s="304"/>
      <c r="H15" s="304"/>
      <c r="I15" s="304"/>
      <c r="J15" s="304"/>
      <c r="K15" s="304"/>
      <c r="L15" s="304"/>
      <c r="M15" s="304"/>
      <c r="N15" s="304">
        <f>SUM(F15:M15)</f>
        <v>0</v>
      </c>
      <c r="P15" s="304"/>
      <c r="Q15" s="304"/>
      <c r="R15" s="304"/>
      <c r="S15" s="304"/>
      <c r="T15" s="304">
        <f t="shared" si="1"/>
        <v>0</v>
      </c>
      <c r="U15" s="304"/>
      <c r="W15" s="304"/>
      <c r="X15" s="304"/>
      <c r="Y15" s="304">
        <f t="shared" si="2"/>
        <v>0</v>
      </c>
    </row>
    <row r="16" spans="1:25" x14ac:dyDescent="0.15">
      <c r="A16" s="127" t="s">
        <v>127</v>
      </c>
      <c r="B16" s="127">
        <f>SUM(B4:B15)</f>
        <v>4591339</v>
      </c>
      <c r="C16" s="303">
        <f>SUM(C4:C15)/9</f>
        <v>11.13916039534689</v>
      </c>
      <c r="D16" s="303">
        <f t="shared" ref="D16:J16" si="3">SUM(D4:D15)</f>
        <v>51412125.800000004</v>
      </c>
      <c r="E16" s="303">
        <f t="shared" si="3"/>
        <v>-4191151.7899999996</v>
      </c>
      <c r="F16" s="304">
        <f t="shared" si="3"/>
        <v>13725658.800000006</v>
      </c>
      <c r="G16" s="304">
        <f t="shared" si="3"/>
        <v>880363.01</v>
      </c>
      <c r="H16" s="304">
        <f t="shared" si="3"/>
        <v>5125662.45</v>
      </c>
      <c r="I16" s="304">
        <f t="shared" si="3"/>
        <v>2349763.9899999998</v>
      </c>
      <c r="J16" s="304">
        <f t="shared" si="3"/>
        <v>23191890.640000001</v>
      </c>
      <c r="K16" s="304">
        <f t="shared" ref="K16:N16" si="4">SUM(K4:K15)</f>
        <v>6391389.9900000002</v>
      </c>
      <c r="L16" s="305">
        <f t="shared" si="4"/>
        <v>12195622.630000001</v>
      </c>
      <c r="M16" s="305">
        <f>SUM(M4:M15)</f>
        <v>8267073.3499999996</v>
      </c>
      <c r="N16" s="304">
        <f t="shared" si="4"/>
        <v>72127424.859999999</v>
      </c>
      <c r="P16" s="304">
        <f>SUM(P4:P15)</f>
        <v>4262172.45</v>
      </c>
      <c r="Q16" s="304">
        <f>SUM(Q4:Q15)</f>
        <v>3190559.9399999995</v>
      </c>
      <c r="R16" s="304">
        <f>SUM(R4:R15)</f>
        <v>1798564</v>
      </c>
      <c r="S16" s="304">
        <f>SUM(S4:S15)</f>
        <v>13880801.179999998</v>
      </c>
      <c r="T16" s="304">
        <f>SUM(P16:S16)</f>
        <v>23132097.57</v>
      </c>
      <c r="U16" s="304">
        <f>SUM(U4:U15)</f>
        <v>103076854.68000001</v>
      </c>
      <c r="W16" s="304">
        <f>SUM(W4:W15)</f>
        <v>6521292.6500000004</v>
      </c>
      <c r="X16" s="304">
        <f>SUM(X4:X15)</f>
        <v>-434412.25000000006</v>
      </c>
      <c r="Y16" s="127">
        <f>SUM(Y4:Y15)</f>
        <v>6086880.4000000004</v>
      </c>
    </row>
    <row r="18" spans="4:12" x14ac:dyDescent="0.15">
      <c r="D18" s="306"/>
      <c r="E18" s="306"/>
      <c r="L18" s="306"/>
    </row>
    <row r="19" spans="4:12" x14ac:dyDescent="0.15">
      <c r="G19" s="306"/>
      <c r="J19" s="306"/>
    </row>
    <row r="20" spans="4:12" x14ac:dyDescent="0.15">
      <c r="J20" s="307"/>
    </row>
    <row r="21" spans="4:12" x14ac:dyDescent="0.15">
      <c r="L21" s="306"/>
    </row>
    <row r="23" spans="4:12" x14ac:dyDescent="0.15">
      <c r="J23" s="306"/>
    </row>
    <row r="25" spans="4:12" x14ac:dyDescent="0.15">
      <c r="D25" s="306"/>
      <c r="E25" s="306"/>
    </row>
    <row r="28" spans="4:12" x14ac:dyDescent="0.15">
      <c r="D28" s="306"/>
      <c r="E28" s="306"/>
    </row>
  </sheetData>
  <mergeCells count="1">
    <mergeCell ref="A1:N1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:AC15"/>
  <sheetViews>
    <sheetView workbookViewId="0">
      <selection activeCell="AC12" sqref="AC12"/>
    </sheetView>
  </sheetViews>
  <sheetFormatPr defaultRowHeight="13.5" x14ac:dyDescent="0.15"/>
  <cols>
    <col min="17" max="17" width="9.375" customWidth="1"/>
    <col min="24" max="24" width="9.625" bestFit="1" customWidth="1"/>
  </cols>
  <sheetData>
    <row r="1" spans="16:29" x14ac:dyDescent="0.15">
      <c r="P1" s="308" t="s">
        <v>200</v>
      </c>
      <c r="Q1" s="309">
        <v>42005</v>
      </c>
      <c r="R1" s="309">
        <v>42037</v>
      </c>
      <c r="S1" s="309">
        <v>42066</v>
      </c>
      <c r="T1" s="309">
        <v>42098</v>
      </c>
      <c r="U1" s="309">
        <v>42129</v>
      </c>
      <c r="V1" s="309">
        <v>42161</v>
      </c>
      <c r="W1" s="309">
        <v>42192</v>
      </c>
      <c r="X1" s="309">
        <v>42224</v>
      </c>
      <c r="Y1" s="309">
        <v>42256</v>
      </c>
      <c r="Z1" s="309">
        <v>42287</v>
      </c>
      <c r="AA1" s="309">
        <v>42319</v>
      </c>
      <c r="AB1" s="309">
        <v>42350</v>
      </c>
      <c r="AC1" s="127" t="s">
        <v>127</v>
      </c>
    </row>
    <row r="2" spans="16:29" x14ac:dyDescent="0.15">
      <c r="P2" s="310" t="s">
        <v>201</v>
      </c>
      <c r="Q2" s="311">
        <f>[26]明细表!Q33</f>
        <v>10.366357140657971</v>
      </c>
      <c r="R2" s="312">
        <f>[27]明细表!Q33</f>
        <v>10.516188615181768</v>
      </c>
      <c r="S2" s="312">
        <f>[28]明细表!Q28</f>
        <v>10.612724071157471</v>
      </c>
      <c r="T2" s="312">
        <f>[29]明细表!Q28</f>
        <v>11.20614942243224</v>
      </c>
      <c r="U2" s="312">
        <f>[30]明细表!R27</f>
        <v>11.484767778962757</v>
      </c>
      <c r="V2" s="312">
        <f>[31]明细表!R27</f>
        <v>11.708606950142048</v>
      </c>
      <c r="W2" s="312">
        <f>[7]明细表!Q28</f>
        <v>11.457315210635556</v>
      </c>
      <c r="X2" s="312">
        <f>[8]明细表!R27</f>
        <v>11.589688958009333</v>
      </c>
      <c r="Y2" s="312">
        <f>明细表!Q28</f>
        <v>11.310645410942863</v>
      </c>
      <c r="Z2" s="313"/>
      <c r="AA2" s="304"/>
      <c r="AB2" s="313"/>
      <c r="AC2" s="312"/>
    </row>
    <row r="3" spans="16:29" x14ac:dyDescent="0.15">
      <c r="P3" s="310" t="s">
        <v>34</v>
      </c>
      <c r="Q3" s="311">
        <f>[26]明细表!S3</f>
        <v>1.6435419918197616</v>
      </c>
      <c r="R3" s="313">
        <f>[27]明细表!S3</f>
        <v>0.34791518909346608</v>
      </c>
      <c r="S3" s="313">
        <f>[28]明细表!S3</f>
        <v>3.322252330174793</v>
      </c>
      <c r="T3" s="312">
        <f>[29]明细表!S3</f>
        <v>0.99138071780156956</v>
      </c>
      <c r="U3" s="312">
        <f>[30]明细表!T3</f>
        <v>0.80563970807692864</v>
      </c>
      <c r="V3" s="312">
        <f>[31]明细表!T3</f>
        <v>2.2614458339501242</v>
      </c>
      <c r="W3" s="312">
        <f>[7]明细表!S3</f>
        <v>0.85836312109587209</v>
      </c>
      <c r="X3" s="312">
        <f>[8]明细表!T3</f>
        <v>1.2206110183400074</v>
      </c>
      <c r="Y3" s="312">
        <f>明细表!S3</f>
        <v>17.347084938035266</v>
      </c>
      <c r="Z3" s="313"/>
      <c r="AA3" s="313"/>
      <c r="AB3" s="313"/>
      <c r="AC3" s="312"/>
    </row>
    <row r="4" spans="16:29" x14ac:dyDescent="0.15">
      <c r="P4" s="310" t="s">
        <v>202</v>
      </c>
      <c r="Q4" s="311">
        <f>[26]明细表!T3</f>
        <v>0.19604011491176757</v>
      </c>
      <c r="R4" s="312">
        <f>[27]明细表!T3</f>
        <v>0.22521137016817402</v>
      </c>
      <c r="S4" s="312">
        <f>[28]明细表!T3</f>
        <v>0.23345400325320803</v>
      </c>
      <c r="T4" s="312">
        <f>[29]明细表!T3</f>
        <v>0.18530464140722649</v>
      </c>
      <c r="U4" s="312">
        <f>[30]明细表!U3</f>
        <v>0.19197325622731826</v>
      </c>
      <c r="V4" s="312">
        <f>[31]明细表!U3</f>
        <v>0.20133767015924453</v>
      </c>
      <c r="W4" s="312">
        <f>[7]明细表!T3</f>
        <v>1.1629812436837359</v>
      </c>
      <c r="X4" s="312">
        <f>[8]明细表!U3</f>
        <v>0.18353287799843762</v>
      </c>
      <c r="Y4" s="312">
        <f>明细表!T3</f>
        <v>0.17003006079367827</v>
      </c>
      <c r="Z4" s="313"/>
      <c r="AA4" s="313"/>
      <c r="AB4" s="313"/>
      <c r="AC4" s="312"/>
    </row>
    <row r="5" spans="16:29" x14ac:dyDescent="0.15">
      <c r="P5" s="310" t="s">
        <v>196</v>
      </c>
      <c r="Q5" s="311">
        <f>[26]明细表!U3</f>
        <v>1.1410248509723211</v>
      </c>
      <c r="R5" s="312">
        <f>[27]明细表!U3</f>
        <v>1.0566967136473904</v>
      </c>
      <c r="S5" s="312">
        <f>[28]明细表!U3</f>
        <v>1.173419173272056</v>
      </c>
      <c r="T5" s="312">
        <f>[29]明细表!U3</f>
        <v>0.93728611711122722</v>
      </c>
      <c r="U5" s="312">
        <f>[30]明细表!V3</f>
        <v>0.97255714038579621</v>
      </c>
      <c r="V5" s="312">
        <f>[31]明细表!V3</f>
        <v>1.2208061791657963</v>
      </c>
      <c r="W5" s="312">
        <f>[7]明细表!U3</f>
        <v>1.1629812436837359</v>
      </c>
      <c r="X5" s="312">
        <f>[8]明细表!V3</f>
        <v>1.0924799220244963</v>
      </c>
      <c r="Y5" s="312">
        <f>明细表!U3</f>
        <v>1.3157246463885297</v>
      </c>
      <c r="Z5" s="313"/>
      <c r="AA5" s="313"/>
      <c r="AB5" s="313"/>
      <c r="AC5" s="312"/>
    </row>
    <row r="6" spans="16:29" x14ac:dyDescent="0.15">
      <c r="P6" s="310" t="s">
        <v>197</v>
      </c>
      <c r="Q6" s="311">
        <f>[26]明细表!V3</f>
        <v>1.3324477248559459</v>
      </c>
      <c r="R6" s="312">
        <f>[27]明细表!V3</f>
        <v>0.69789982807726614</v>
      </c>
      <c r="S6" s="312">
        <f>[28]明细表!V3</f>
        <v>0.72709522088249723</v>
      </c>
      <c r="T6" s="312">
        <f>[29]明细表!V3</f>
        <v>0.3523128344636956</v>
      </c>
      <c r="U6" s="312">
        <f>[30]明细表!W3</f>
        <v>0.43785268492801727</v>
      </c>
      <c r="V6" s="312">
        <f>[31]明细表!W3</f>
        <v>0.3814683021691565</v>
      </c>
      <c r="W6" s="312">
        <f>[7]明细表!V3</f>
        <v>0.35687681038760638</v>
      </c>
      <c r="X6" s="312">
        <f>[8]明细表!W3</f>
        <v>0.27921190273129265</v>
      </c>
      <c r="Y6" s="312">
        <f>明细表!V3</f>
        <v>0.35560906711744278</v>
      </c>
      <c r="Z6" s="304"/>
      <c r="AA6" s="313"/>
      <c r="AB6" s="313"/>
      <c r="AC6" s="312"/>
    </row>
    <row r="7" spans="16:29" x14ac:dyDescent="0.15">
      <c r="P7" s="310" t="s">
        <v>186</v>
      </c>
      <c r="Q7" s="311">
        <f>[26]明细表!W3</f>
        <v>5.7372749901121889</v>
      </c>
      <c r="R7" s="312">
        <f>[27]明细表!W3</f>
        <v>5.4857334508210487</v>
      </c>
      <c r="S7" s="312">
        <f>[28]明细表!W3</f>
        <v>7.6730159303916752</v>
      </c>
      <c r="T7" s="312">
        <f>[29]明细表!W3</f>
        <v>4.6592954527841091</v>
      </c>
      <c r="U7" s="312">
        <f>[30]明细表!X3</f>
        <v>4.7211791935425609</v>
      </c>
      <c r="V7" s="312">
        <f>[31]明细表!X3</f>
        <v>5.0946159617634708</v>
      </c>
      <c r="W7" s="312">
        <f>[7]明细表!W3</f>
        <v>3.9380872415174526</v>
      </c>
      <c r="X7" s="312">
        <f>[8]明细表!X3</f>
        <v>3.8549460119973338</v>
      </c>
      <c r="Y7" s="312">
        <f>明细表!W3</f>
        <v>5.7690022708526385</v>
      </c>
      <c r="Z7" s="313"/>
      <c r="AA7" s="313"/>
      <c r="AB7" s="313"/>
      <c r="AC7" s="312"/>
    </row>
    <row r="8" spans="16:29" x14ac:dyDescent="0.15">
      <c r="P8" s="310" t="s">
        <v>187</v>
      </c>
      <c r="Q8" s="311">
        <f>[26]明细表!X3</f>
        <v>1.6509725817491123</v>
      </c>
      <c r="R8" s="312">
        <f>[27]明细表!X3</f>
        <v>1.5018511209448424</v>
      </c>
      <c r="S8" s="312">
        <f>[28]明细表!X3</f>
        <v>1.799854638403346</v>
      </c>
      <c r="T8" s="312">
        <f>[29]明细表!X3</f>
        <v>1.3828843016427843</v>
      </c>
      <c r="U8" s="312">
        <f>[30]明细表!Y3</f>
        <v>1.320626809548523</v>
      </c>
      <c r="V8" s="312">
        <f>[31]明细表!Y3</f>
        <v>1.4744075832267038</v>
      </c>
      <c r="W8" s="312">
        <f>[7]明细表!X3</f>
        <v>1.198693306120161</v>
      </c>
      <c r="X8" s="312">
        <f>[8]明细表!Y3</f>
        <v>1.0421926310282303</v>
      </c>
      <c r="Y8" s="312">
        <f>明细表!X3</f>
        <v>1.4831094999032597</v>
      </c>
      <c r="Z8" s="313"/>
      <c r="AA8" s="313"/>
      <c r="AB8" s="313"/>
      <c r="AC8" s="312"/>
    </row>
    <row r="9" spans="16:29" x14ac:dyDescent="0.15">
      <c r="P9" s="310" t="s">
        <v>40</v>
      </c>
      <c r="Q9" s="311">
        <f>[26]明细表!Y3</f>
        <v>1.5227313333507011</v>
      </c>
      <c r="R9" s="312">
        <f>[27]明细表!Y3</f>
        <v>2.9677458516638588</v>
      </c>
      <c r="S9" s="312">
        <f>[28]明细表!Y3</f>
        <v>3.5706594975600936</v>
      </c>
      <c r="T9" s="312">
        <f>[29]明细表!Y3</f>
        <v>2.3314886602772882</v>
      </c>
      <c r="U9" s="312">
        <f>[30]明细表!Z3</f>
        <v>3.3691332036826869</v>
      </c>
      <c r="V9" s="312">
        <f>[31]明细表!Z3</f>
        <v>2.9751332783118825</v>
      </c>
      <c r="W9" s="312">
        <f>[7]明细表!Y3</f>
        <v>2.7073557171566631</v>
      </c>
      <c r="X9" s="312">
        <f>[8]明细表!Z3</f>
        <v>1.8071775734424609</v>
      </c>
      <c r="Y9" s="312">
        <f>明细表!Y3</f>
        <v>2.9402726652478082</v>
      </c>
      <c r="Z9" s="313"/>
      <c r="AA9" s="313"/>
      <c r="AB9" s="313"/>
      <c r="AC9" s="312"/>
    </row>
    <row r="10" spans="16:29" x14ac:dyDescent="0.15">
      <c r="P10" s="310" t="s">
        <v>203</v>
      </c>
      <c r="Q10" s="311">
        <f>[26]明细表!Z3</f>
        <v>2.0253863114790982</v>
      </c>
      <c r="R10" s="312">
        <f>[27]明细表!Z3</f>
        <v>2.0758242165450853</v>
      </c>
      <c r="S10" s="312">
        <f>[28]明细表!Z3</f>
        <v>3.40641984456895</v>
      </c>
      <c r="T10" s="312">
        <f>[29]明细表!Z3</f>
        <v>0.85836762512516596</v>
      </c>
      <c r="U10" s="312">
        <f>[30]明细表!AA3</f>
        <v>1.7127136336589805</v>
      </c>
      <c r="V10" s="312">
        <f>[31]明细表!AA3</f>
        <v>1.4446655824601886</v>
      </c>
      <c r="W10" s="312">
        <f>[7]明细表!Z3</f>
        <v>1.5608533077028335</v>
      </c>
      <c r="X10" s="312">
        <f>[8]明细表!AA3</f>
        <v>1.6581504325203718</v>
      </c>
      <c r="Y10" s="312">
        <f>明细表!Z3</f>
        <v>2.084247634952801</v>
      </c>
      <c r="Z10" s="313"/>
      <c r="AA10" s="313"/>
      <c r="AB10" s="313"/>
      <c r="AC10" s="312"/>
    </row>
    <row r="11" spans="16:29" x14ac:dyDescent="0.15">
      <c r="P11" s="310" t="s">
        <v>204</v>
      </c>
      <c r="Q11" s="311">
        <f t="shared" ref="Q11:AB11" si="0">SUM(Q2:Q10)</f>
        <v>25.61577703990887</v>
      </c>
      <c r="R11" s="312">
        <f t="shared" si="0"/>
        <v>24.875066356142902</v>
      </c>
      <c r="S11" s="312">
        <f t="shared" si="0"/>
        <v>32.518894709664089</v>
      </c>
      <c r="T11" s="312">
        <f t="shared" si="0"/>
        <v>22.904469773045303</v>
      </c>
      <c r="U11" s="312">
        <f t="shared" si="0"/>
        <v>25.016443409013565</v>
      </c>
      <c r="V11" s="312">
        <f t="shared" si="0"/>
        <v>26.762487341348617</v>
      </c>
      <c r="W11" s="312">
        <f t="shared" si="0"/>
        <v>24.403507201983615</v>
      </c>
      <c r="X11" s="312">
        <f>SUM(X2:X10)</f>
        <v>22.72799132809196</v>
      </c>
      <c r="Y11" s="312">
        <f t="shared" si="0"/>
        <v>42.775726194234288</v>
      </c>
      <c r="Z11" s="312">
        <f t="shared" si="0"/>
        <v>0</v>
      </c>
      <c r="AA11" s="312">
        <f t="shared" si="0"/>
        <v>0</v>
      </c>
      <c r="AB11" s="312">
        <f t="shared" si="0"/>
        <v>0</v>
      </c>
      <c r="AC11" s="312">
        <f>SUM(Q11:AB11)/9</f>
        <v>27.511151483714801</v>
      </c>
    </row>
    <row r="13" spans="16:29" x14ac:dyDescent="0.15">
      <c r="P13" s="314" t="s">
        <v>205</v>
      </c>
      <c r="Q13" s="127">
        <f>[26]明细表!F33</f>
        <v>422237</v>
      </c>
      <c r="R13" s="127">
        <f>[27]明细表!F33</f>
        <v>464162</v>
      </c>
      <c r="S13" s="127">
        <f>[28]明细表!F28</f>
        <v>387310</v>
      </c>
      <c r="T13" s="127">
        <f>[29]明细表!F28</f>
        <v>503231</v>
      </c>
      <c r="U13" s="127">
        <f>[30]明细表!G27</f>
        <v>526029</v>
      </c>
      <c r="V13" s="127">
        <f>[31]明细表!G27</f>
        <v>493141</v>
      </c>
      <c r="W13" s="127">
        <f>[7]明细表!F28</f>
        <v>606569</v>
      </c>
      <c r="X13" s="315">
        <f>[8]明细表!G27</f>
        <v>697655</v>
      </c>
      <c r="Y13" s="127">
        <f>明细表!F28</f>
        <v>491005</v>
      </c>
      <c r="Z13" s="127"/>
      <c r="AA13" s="127"/>
      <c r="AB13" s="316"/>
      <c r="AC13" s="316">
        <f>SUM(Q13:AB13)</f>
        <v>4591339</v>
      </c>
    </row>
    <row r="15" spans="16:29" x14ac:dyDescent="0.15">
      <c r="Q15" s="317">
        <f t="shared" ref="Q15:AB15" si="1">SUM(Q2:Q8)</f>
        <v>22.067659395079069</v>
      </c>
      <c r="R15" s="317">
        <f>SUM(R2:R8)</f>
        <v>19.831496287933955</v>
      </c>
      <c r="S15" s="317">
        <f t="shared" si="1"/>
        <v>25.541815367535044</v>
      </c>
      <c r="T15" s="317">
        <f t="shared" si="1"/>
        <v>19.71461348764285</v>
      </c>
      <c r="U15" s="317">
        <f t="shared" si="1"/>
        <v>19.934596571671896</v>
      </c>
      <c r="V15" s="317">
        <f>SUM(V2:V8)</f>
        <v>22.342688480576545</v>
      </c>
      <c r="W15" s="317">
        <f>SUM(W2:W8)</f>
        <v>20.13529817712412</v>
      </c>
      <c r="X15" s="317">
        <f>SUM(X2:X8)</f>
        <v>19.262663322129129</v>
      </c>
      <c r="Y15" s="317">
        <f t="shared" si="1"/>
        <v>37.751205894033674</v>
      </c>
      <c r="Z15" s="317">
        <f t="shared" si="1"/>
        <v>0</v>
      </c>
      <c r="AA15" s="317">
        <f t="shared" si="1"/>
        <v>0</v>
      </c>
      <c r="AB15" s="317">
        <f t="shared" si="1"/>
        <v>0</v>
      </c>
    </row>
  </sheetData>
  <phoneticPr fontId="2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topLeftCell="A181" workbookViewId="0">
      <selection activeCell="Q213" sqref="Q213"/>
    </sheetView>
  </sheetViews>
  <sheetFormatPr defaultColWidth="9.125" defaultRowHeight="13.5" x14ac:dyDescent="0.15"/>
  <cols>
    <col min="1" max="1" width="23.25" customWidth="1"/>
    <col min="2" max="2" width="12.625" bestFit="1" customWidth="1"/>
    <col min="3" max="3" width="9.25" bestFit="1" customWidth="1"/>
    <col min="4" max="4" width="10.875" bestFit="1" customWidth="1"/>
    <col min="5" max="5" width="14.75" bestFit="1" customWidth="1"/>
    <col min="6" max="9" width="9.25" bestFit="1" customWidth="1"/>
    <col min="10" max="10" width="14.75" customWidth="1"/>
    <col min="11" max="11" width="9.25" bestFit="1" customWidth="1"/>
    <col min="14" max="14" width="11.125" bestFit="1" customWidth="1"/>
    <col min="15" max="15" width="9.375" bestFit="1" customWidth="1"/>
    <col min="17" max="17" width="16.125" bestFit="1" customWidth="1"/>
    <col min="18" max="18" width="9.375" bestFit="1" customWidth="1"/>
    <col min="19" max="19" width="16.125" bestFit="1" customWidth="1"/>
    <col min="20" max="20" width="22.875" bestFit="1" customWidth="1"/>
    <col min="21" max="21" width="16.125" bestFit="1" customWidth="1"/>
  </cols>
  <sheetData>
    <row r="1" spans="1:19" ht="20.25" x14ac:dyDescent="0.25">
      <c r="A1" s="534" t="s">
        <v>206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</row>
    <row r="3" spans="1:19" x14ac:dyDescent="0.15">
      <c r="A3" s="526" t="s">
        <v>145</v>
      </c>
      <c r="B3" s="527" t="s">
        <v>182</v>
      </c>
      <c r="C3" s="528"/>
      <c r="D3" s="528"/>
      <c r="E3" s="528"/>
      <c r="F3" s="529"/>
      <c r="G3" s="530" t="s">
        <v>207</v>
      </c>
      <c r="H3" s="530"/>
      <c r="I3" s="530"/>
      <c r="J3" s="530"/>
      <c r="K3" s="527"/>
      <c r="L3" s="531" t="s">
        <v>208</v>
      </c>
      <c r="M3" s="532"/>
      <c r="N3" s="532"/>
      <c r="O3" s="533"/>
      <c r="P3" s="524" t="s">
        <v>209</v>
      </c>
      <c r="Q3" s="524" t="s">
        <v>210</v>
      </c>
      <c r="R3" s="524" t="s">
        <v>211</v>
      </c>
      <c r="S3" s="524" t="s">
        <v>212</v>
      </c>
    </row>
    <row r="4" spans="1:19" x14ac:dyDescent="0.15">
      <c r="A4" s="510"/>
      <c r="B4" s="449" t="s">
        <v>148</v>
      </c>
      <c r="C4" s="450"/>
      <c r="D4" s="450"/>
      <c r="E4" s="450"/>
      <c r="F4" s="451"/>
      <c r="G4" s="449" t="s">
        <v>148</v>
      </c>
      <c r="H4" s="450"/>
      <c r="I4" s="450"/>
      <c r="J4" s="450"/>
      <c r="K4" s="525"/>
      <c r="L4" s="508" t="s">
        <v>151</v>
      </c>
      <c r="M4" s="508" t="s">
        <v>153</v>
      </c>
      <c r="N4" s="508" t="s">
        <v>213</v>
      </c>
      <c r="O4" s="508" t="s">
        <v>214</v>
      </c>
      <c r="P4" s="502"/>
      <c r="Q4" s="502"/>
      <c r="R4" s="502"/>
      <c r="S4" s="502" t="s">
        <v>215</v>
      </c>
    </row>
    <row r="5" spans="1:19" x14ac:dyDescent="0.15">
      <c r="A5" s="511"/>
      <c r="B5" s="145" t="s">
        <v>151</v>
      </c>
      <c r="C5" s="141" t="s">
        <v>152</v>
      </c>
      <c r="D5" s="142" t="s">
        <v>153</v>
      </c>
      <c r="E5" s="143" t="s">
        <v>154</v>
      </c>
      <c r="F5" s="144" t="s">
        <v>155</v>
      </c>
      <c r="G5" s="145" t="s">
        <v>151</v>
      </c>
      <c r="H5" s="141" t="s">
        <v>152</v>
      </c>
      <c r="I5" s="142" t="s">
        <v>153</v>
      </c>
      <c r="J5" s="143" t="s">
        <v>154</v>
      </c>
      <c r="K5" s="318" t="s">
        <v>155</v>
      </c>
      <c r="L5" s="508"/>
      <c r="M5" s="508"/>
      <c r="N5" s="508"/>
      <c r="O5" s="508"/>
      <c r="P5" s="503"/>
      <c r="Q5" s="503" t="e">
        <f t="shared" ref="Q5:Q23" si="0">P5*B5</f>
        <v>#VALUE!</v>
      </c>
      <c r="R5" s="503" t="e">
        <f>B5-L5</f>
        <v>#VALUE!</v>
      </c>
      <c r="S5" s="503" t="e">
        <f>R5*N5</f>
        <v>#VALUE!</v>
      </c>
    </row>
    <row r="6" spans="1:19" x14ac:dyDescent="0.15">
      <c r="A6" s="146" t="s">
        <v>156</v>
      </c>
      <c r="B6" s="145"/>
      <c r="C6" s="141"/>
      <c r="D6" s="156"/>
      <c r="E6" s="319"/>
      <c r="F6" s="144"/>
      <c r="G6" s="145">
        <v>914</v>
      </c>
      <c r="H6" s="141">
        <v>2.1638564941736864E-3</v>
      </c>
      <c r="I6" s="156">
        <v>50.677648061278461</v>
      </c>
      <c r="J6" s="319">
        <v>46319.37032800851</v>
      </c>
      <c r="K6" s="144">
        <v>1.1104341120179042E-2</v>
      </c>
      <c r="L6" s="320">
        <f>B6-G6</f>
        <v>-914</v>
      </c>
      <c r="M6" s="303">
        <f>D6-I6</f>
        <v>-50.677648061278461</v>
      </c>
      <c r="N6" s="321">
        <f>L6/G6</f>
        <v>-1</v>
      </c>
      <c r="O6" s="321">
        <f>M6/I6</f>
        <v>-1</v>
      </c>
      <c r="P6" s="322">
        <f t="shared" ref="P6:P24" si="1">D6-I6</f>
        <v>-50.677648061278461</v>
      </c>
      <c r="Q6" s="322">
        <f t="shared" si="0"/>
        <v>0</v>
      </c>
      <c r="R6" s="323">
        <f t="shared" ref="R6:R24" si="2">B6-G6</f>
        <v>-914</v>
      </c>
      <c r="S6" s="322">
        <f t="shared" ref="S6:S23" si="3">R6*I6</f>
        <v>-46319.37032800851</v>
      </c>
    </row>
    <row r="7" spans="1:19" x14ac:dyDescent="0.15">
      <c r="A7" s="163" t="s">
        <v>157</v>
      </c>
      <c r="B7" s="166">
        <v>67046</v>
      </c>
      <c r="C7" s="164">
        <v>0.15878760032872533</v>
      </c>
      <c r="D7" s="156">
        <v>19.952034415630951</v>
      </c>
      <c r="E7" s="156">
        <v>1337704.0994303927</v>
      </c>
      <c r="F7" s="160">
        <v>0.30561706716705822</v>
      </c>
      <c r="G7" s="166">
        <v>56775</v>
      </c>
      <c r="H7" s="164">
        <v>0.13441242063097486</v>
      </c>
      <c r="I7" s="156">
        <v>18.141814304697853</v>
      </c>
      <c r="J7" s="156">
        <v>1030001.5071492206</v>
      </c>
      <c r="K7" s="160">
        <v>0.24692667470843035</v>
      </c>
      <c r="L7" s="320">
        <f t="shared" ref="L7:L25" si="4">B7-G7</f>
        <v>10271</v>
      </c>
      <c r="M7" s="303">
        <f t="shared" ref="M7:M25" si="5">D7-I7</f>
        <v>1.8102201109330984</v>
      </c>
      <c r="N7" s="321">
        <f t="shared" ref="N7:N25" si="6">L7/G7</f>
        <v>0.18090708938793484</v>
      </c>
      <c r="O7" s="321">
        <f t="shared" ref="O7:O25" si="7">M7/I7</f>
        <v>9.9781647002325391E-2</v>
      </c>
      <c r="P7" s="322">
        <f t="shared" si="1"/>
        <v>1.8102201109330984</v>
      </c>
      <c r="Q7" s="322">
        <f t="shared" si="0"/>
        <v>121368.01755762052</v>
      </c>
      <c r="R7" s="323">
        <f t="shared" si="2"/>
        <v>10271</v>
      </c>
      <c r="S7" s="322">
        <f t="shared" si="3"/>
        <v>186334.57472355163</v>
      </c>
    </row>
    <row r="8" spans="1:19" x14ac:dyDescent="0.15">
      <c r="A8" s="163" t="s">
        <v>158</v>
      </c>
      <c r="B8" s="166">
        <v>189606</v>
      </c>
      <c r="C8" s="164">
        <v>0.4490511253158771</v>
      </c>
      <c r="D8" s="156">
        <v>7.5276788268132666</v>
      </c>
      <c r="E8" s="156">
        <v>1427293.0716367562</v>
      </c>
      <c r="F8" s="160">
        <v>0.32608491124997502</v>
      </c>
      <c r="G8" s="166">
        <v>178976</v>
      </c>
      <c r="H8" s="164">
        <v>0.42371813993569984</v>
      </c>
      <c r="I8" s="156">
        <v>9.1687963054953023</v>
      </c>
      <c r="J8" s="156">
        <v>1640994.4875723273</v>
      </c>
      <c r="K8" s="160">
        <v>0.39340263991710417</v>
      </c>
      <c r="L8" s="320">
        <f t="shared" si="4"/>
        <v>10630</v>
      </c>
      <c r="M8" s="324">
        <f t="shared" si="5"/>
        <v>-1.6411174786820357</v>
      </c>
      <c r="N8" s="321">
        <f t="shared" si="6"/>
        <v>5.9393438226354373E-2</v>
      </c>
      <c r="O8" s="321">
        <f t="shared" si="7"/>
        <v>-0.17898941409554869</v>
      </c>
      <c r="P8" s="322">
        <f t="shared" si="1"/>
        <v>-1.6411174786820357</v>
      </c>
      <c r="Q8" s="322">
        <f t="shared" si="0"/>
        <v>-311165.72066298604</v>
      </c>
      <c r="R8" s="323">
        <f t="shared" si="2"/>
        <v>10630</v>
      </c>
      <c r="S8" s="322">
        <f t="shared" si="3"/>
        <v>97464.304727415059</v>
      </c>
    </row>
    <row r="9" spans="1:19" x14ac:dyDescent="0.15">
      <c r="A9" s="163" t="str">
        <f>[1]汇总表!A7</f>
        <v>商务赠送套餐</v>
      </c>
      <c r="B9" s="166">
        <v>30872</v>
      </c>
      <c r="C9" s="164">
        <v>7.3115335700092599E-2</v>
      </c>
      <c r="D9" s="156">
        <v>12.829929625058927</v>
      </c>
      <c r="E9" s="156">
        <v>396085.58738481923</v>
      </c>
      <c r="F9" s="160">
        <v>9.0491249608365923E-2</v>
      </c>
      <c r="G9" s="166"/>
      <c r="H9" s="164"/>
      <c r="I9" s="156"/>
      <c r="J9" s="156"/>
      <c r="K9" s="160"/>
      <c r="L9" s="320">
        <f t="shared" si="4"/>
        <v>30872</v>
      </c>
      <c r="M9" s="324">
        <f t="shared" si="5"/>
        <v>12.829929625058927</v>
      </c>
      <c r="N9" s="321" t="e">
        <f t="shared" si="6"/>
        <v>#DIV/0!</v>
      </c>
      <c r="O9" s="321" t="e">
        <f t="shared" si="7"/>
        <v>#DIV/0!</v>
      </c>
      <c r="P9" s="322">
        <f t="shared" si="1"/>
        <v>12.829929625058927</v>
      </c>
      <c r="Q9" s="322">
        <f t="shared" si="0"/>
        <v>396085.58738481923</v>
      </c>
      <c r="R9" s="323">
        <f t="shared" si="2"/>
        <v>30872</v>
      </c>
      <c r="S9" s="322">
        <f t="shared" si="3"/>
        <v>0</v>
      </c>
    </row>
    <row r="10" spans="1:19" x14ac:dyDescent="0.15">
      <c r="A10" s="163" t="s">
        <v>160</v>
      </c>
      <c r="B10" s="325"/>
      <c r="C10" s="148"/>
      <c r="D10" s="157"/>
      <c r="E10" s="157"/>
      <c r="F10" s="158"/>
      <c r="G10" s="325">
        <v>61350</v>
      </c>
      <c r="H10" s="148">
        <v>0.14524354039119874</v>
      </c>
      <c r="I10" s="157">
        <v>7.989830906275075</v>
      </c>
      <c r="J10" s="157">
        <v>490176.12609997584</v>
      </c>
      <c r="K10" s="158">
        <v>0.11751202303997411</v>
      </c>
      <c r="L10" s="326">
        <f t="shared" si="4"/>
        <v>-61350</v>
      </c>
      <c r="M10" s="327">
        <f t="shared" si="5"/>
        <v>-7.989830906275075</v>
      </c>
      <c r="N10" s="328">
        <f t="shared" si="6"/>
        <v>-1</v>
      </c>
      <c r="O10" s="328">
        <f t="shared" si="7"/>
        <v>-1</v>
      </c>
      <c r="P10" s="322">
        <f t="shared" si="1"/>
        <v>-7.989830906275075</v>
      </c>
      <c r="Q10" s="322">
        <f t="shared" si="0"/>
        <v>0</v>
      </c>
      <c r="R10" s="323">
        <f t="shared" si="2"/>
        <v>-61350</v>
      </c>
      <c r="S10" s="322">
        <f t="shared" si="3"/>
        <v>-490176.12609997584</v>
      </c>
    </row>
    <row r="11" spans="1:19" x14ac:dyDescent="0.15">
      <c r="A11" s="163" t="s">
        <v>161</v>
      </c>
      <c r="B11" s="166">
        <v>10913</v>
      </c>
      <c r="C11" s="164">
        <v>2.5845674348766213E-2</v>
      </c>
      <c r="D11" s="156">
        <v>4.9873431290720935</v>
      </c>
      <c r="E11" s="156">
        <v>54426.875567563759</v>
      </c>
      <c r="F11" s="160">
        <v>1.2434575100059929E-2</v>
      </c>
      <c r="G11" s="166">
        <v>11234</v>
      </c>
      <c r="H11" s="164">
        <v>2.6596021723793425E-2</v>
      </c>
      <c r="I11" s="156">
        <v>6.7409347166980647</v>
      </c>
      <c r="J11" s="156">
        <v>75727.66060738606</v>
      </c>
      <c r="K11" s="160">
        <v>1.815451655889801E-2</v>
      </c>
      <c r="L11" s="320">
        <f t="shared" si="4"/>
        <v>-321</v>
      </c>
      <c r="M11" s="324">
        <f>D11-I11</f>
        <v>-1.7535915876259711</v>
      </c>
      <c r="N11" s="321">
        <f t="shared" si="6"/>
        <v>-2.8573971871105573E-2</v>
      </c>
      <c r="O11" s="321">
        <f t="shared" si="7"/>
        <v>-0.2601407165807621</v>
      </c>
      <c r="P11" s="322">
        <f t="shared" si="1"/>
        <v>-1.7535915876259711</v>
      </c>
      <c r="Q11" s="322">
        <f t="shared" si="0"/>
        <v>-19136.944995762224</v>
      </c>
      <c r="R11" s="323">
        <f t="shared" si="2"/>
        <v>-321</v>
      </c>
      <c r="S11" s="322">
        <f t="shared" si="3"/>
        <v>-2163.840044060079</v>
      </c>
    </row>
    <row r="12" spans="1:19" x14ac:dyDescent="0.15">
      <c r="A12" s="169" t="s">
        <v>9</v>
      </c>
      <c r="B12" s="166">
        <v>2913</v>
      </c>
      <c r="C12" s="171">
        <v>6.8989690623986058E-3</v>
      </c>
      <c r="D12" s="156">
        <v>6.1841241394539708</v>
      </c>
      <c r="E12" s="156">
        <v>18014.353618229416</v>
      </c>
      <c r="F12" s="172">
        <v>4.1156291006791785E-3</v>
      </c>
      <c r="G12" s="166">
        <v>2908</v>
      </c>
      <c r="H12" s="171">
        <v>6.8845674891215309E-3</v>
      </c>
      <c r="I12" s="156">
        <v>6.1249121703506795</v>
      </c>
      <c r="J12" s="156">
        <v>17811.244591379775</v>
      </c>
      <c r="K12" s="172">
        <v>4.2699659843611825E-3</v>
      </c>
      <c r="L12" s="320">
        <f t="shared" si="4"/>
        <v>5</v>
      </c>
      <c r="M12" s="303">
        <f>D12-I12</f>
        <v>5.9211969103291295E-2</v>
      </c>
      <c r="N12" s="321">
        <f t="shared" si="6"/>
        <v>1.7193947730398899E-3</v>
      </c>
      <c r="O12" s="321">
        <f t="shared" si="7"/>
        <v>9.6673988877625221E-3</v>
      </c>
      <c r="P12" s="322">
        <f t="shared" si="1"/>
        <v>5.9211969103291295E-2</v>
      </c>
      <c r="Q12" s="322">
        <f t="shared" si="0"/>
        <v>172.48446599788755</v>
      </c>
      <c r="R12" s="323">
        <f t="shared" si="2"/>
        <v>5</v>
      </c>
      <c r="S12" s="322">
        <f t="shared" si="3"/>
        <v>30.624560851753397</v>
      </c>
    </row>
    <row r="13" spans="1:19" x14ac:dyDescent="0.15">
      <c r="A13" s="169" t="s">
        <v>162</v>
      </c>
      <c r="B13" s="166"/>
      <c r="C13" s="171"/>
      <c r="D13" s="156"/>
      <c r="E13" s="156"/>
      <c r="F13" s="172"/>
      <c r="G13" s="166">
        <v>2218</v>
      </c>
      <c r="H13" s="171">
        <v>5.2510215580713745E-3</v>
      </c>
      <c r="I13" s="156">
        <v>10.178958449215425</v>
      </c>
      <c r="J13" s="156">
        <v>22576.929840359815</v>
      </c>
      <c r="K13" s="172">
        <v>5.4124641293344551E-3</v>
      </c>
      <c r="L13" s="320">
        <f t="shared" si="4"/>
        <v>-2218</v>
      </c>
      <c r="M13" s="303">
        <f>D13-I13</f>
        <v>-10.178958449215425</v>
      </c>
      <c r="N13" s="321">
        <f t="shared" si="6"/>
        <v>-1</v>
      </c>
      <c r="O13" s="321">
        <f t="shared" si="7"/>
        <v>-1</v>
      </c>
      <c r="P13" s="322">
        <f t="shared" si="1"/>
        <v>-10.178958449215425</v>
      </c>
      <c r="Q13" s="322">
        <f t="shared" si="0"/>
        <v>0</v>
      </c>
      <c r="R13" s="323">
        <f t="shared" si="2"/>
        <v>-2218</v>
      </c>
      <c r="S13" s="322">
        <f t="shared" si="3"/>
        <v>-22576.929840359815</v>
      </c>
    </row>
    <row r="14" spans="1:19" x14ac:dyDescent="0.15">
      <c r="A14" s="169" t="s">
        <v>163</v>
      </c>
      <c r="B14" s="166"/>
      <c r="C14" s="171"/>
      <c r="D14" s="156"/>
      <c r="E14" s="156"/>
      <c r="F14" s="172"/>
      <c r="G14" s="166">
        <v>476</v>
      </c>
      <c r="H14" s="171">
        <v>1.1269099466374997E-3</v>
      </c>
      <c r="I14" s="156">
        <v>4.361059121530662</v>
      </c>
      <c r="J14" s="156">
        <v>2075.864141848595</v>
      </c>
      <c r="K14" s="172">
        <v>4.9765580548697438E-4</v>
      </c>
      <c r="L14" s="320">
        <f t="shared" si="4"/>
        <v>-476</v>
      </c>
      <c r="M14" s="303">
        <f t="shared" si="5"/>
        <v>-4.361059121530662</v>
      </c>
      <c r="N14" s="321">
        <f t="shared" si="6"/>
        <v>-1</v>
      </c>
      <c r="O14" s="321">
        <f t="shared" si="7"/>
        <v>-1</v>
      </c>
      <c r="P14" s="322">
        <f t="shared" si="1"/>
        <v>-4.361059121530662</v>
      </c>
      <c r="Q14" s="322">
        <f t="shared" si="0"/>
        <v>0</v>
      </c>
      <c r="R14" s="323">
        <f t="shared" si="2"/>
        <v>-476</v>
      </c>
      <c r="S14" s="322">
        <f t="shared" si="3"/>
        <v>-2075.864141848595</v>
      </c>
    </row>
    <row r="15" spans="1:19" x14ac:dyDescent="0.15">
      <c r="A15" s="169" t="s">
        <v>164</v>
      </c>
      <c r="B15" s="166">
        <v>3945</v>
      </c>
      <c r="C15" s="171">
        <v>9.3430940443400279E-3</v>
      </c>
      <c r="D15" s="156">
        <v>3.4206143581189252</v>
      </c>
      <c r="E15" s="156">
        <v>13494.32364277916</v>
      </c>
      <c r="F15" s="172">
        <v>3.0829655204505542E-3</v>
      </c>
      <c r="G15" s="166">
        <v>3373</v>
      </c>
      <c r="H15" s="171">
        <v>7.9854353991770724E-3</v>
      </c>
      <c r="I15" s="156">
        <v>4.0017071874014594</v>
      </c>
      <c r="J15" s="156">
        <v>13497.758343105123</v>
      </c>
      <c r="K15" s="172">
        <v>3.2358754434308424E-3</v>
      </c>
      <c r="L15" s="320">
        <f t="shared" si="4"/>
        <v>572</v>
      </c>
      <c r="M15" s="324">
        <f t="shared" si="5"/>
        <v>-0.58109282928253414</v>
      </c>
      <c r="N15" s="321">
        <f t="shared" si="6"/>
        <v>0.16958197450340942</v>
      </c>
      <c r="O15" s="321">
        <f t="shared" si="7"/>
        <v>-0.14521123162433866</v>
      </c>
      <c r="P15" s="322">
        <f t="shared" si="1"/>
        <v>-0.58109282928253414</v>
      </c>
      <c r="Q15" s="322">
        <f t="shared" si="0"/>
        <v>-2292.4112115195971</v>
      </c>
      <c r="R15" s="323">
        <f t="shared" si="2"/>
        <v>572</v>
      </c>
      <c r="S15" s="322">
        <f t="shared" si="3"/>
        <v>2288.9765111936349</v>
      </c>
    </row>
    <row r="16" spans="1:19" x14ac:dyDescent="0.15">
      <c r="A16" s="163" t="s">
        <v>165</v>
      </c>
      <c r="B16" s="166">
        <v>32249</v>
      </c>
      <c r="C16" s="164">
        <v>7.6376537347508627E-2</v>
      </c>
      <c r="D16" s="156">
        <v>3.4330312433669077</v>
      </c>
      <c r="E16" s="156">
        <v>110711.82456733941</v>
      </c>
      <c r="F16" s="160">
        <v>2.5293652863433391E-2</v>
      </c>
      <c r="G16" s="166">
        <v>32472</v>
      </c>
      <c r="H16" s="164">
        <v>7.6876091989943038E-2</v>
      </c>
      <c r="I16" s="156">
        <v>3.6523118476948957</v>
      </c>
      <c r="J16" s="156">
        <v>118597.87031834865</v>
      </c>
      <c r="K16" s="160">
        <v>2.8431975625224835E-2</v>
      </c>
      <c r="L16" s="320">
        <f t="shared" si="4"/>
        <v>-223</v>
      </c>
      <c r="M16" s="324">
        <f t="shared" si="5"/>
        <v>-0.21928060432798802</v>
      </c>
      <c r="N16" s="321">
        <f t="shared" si="6"/>
        <v>-6.8674550381867452E-3</v>
      </c>
      <c r="O16" s="321">
        <f t="shared" si="7"/>
        <v>-6.0038850315145963E-2</v>
      </c>
      <c r="P16" s="322">
        <f t="shared" si="1"/>
        <v>-0.21928060432798802</v>
      </c>
      <c r="Q16" s="322">
        <f t="shared" si="0"/>
        <v>-7071.5802089732852</v>
      </c>
      <c r="R16" s="323">
        <f t="shared" si="2"/>
        <v>-223</v>
      </c>
      <c r="S16" s="322">
        <f t="shared" si="3"/>
        <v>-814.46554203596179</v>
      </c>
    </row>
    <row r="17" spans="1:19" x14ac:dyDescent="0.15">
      <c r="A17" s="163" t="s">
        <v>166</v>
      </c>
      <c r="B17" s="166"/>
      <c r="C17" s="164"/>
      <c r="D17" s="156"/>
      <c r="E17" s="156"/>
      <c r="F17" s="160"/>
      <c r="G17" s="166">
        <v>4133</v>
      </c>
      <c r="H17" s="164">
        <v>9.7847033812033316E-3</v>
      </c>
      <c r="I17" s="156">
        <v>4.3201541836599935</v>
      </c>
      <c r="J17" s="156">
        <v>17855.197241066751</v>
      </c>
      <c r="K17" s="160">
        <v>4.2805029414010494E-3</v>
      </c>
      <c r="L17" s="320">
        <f t="shared" si="4"/>
        <v>-4133</v>
      </c>
      <c r="M17" s="303">
        <f t="shared" si="5"/>
        <v>-4.3201541836599935</v>
      </c>
      <c r="N17" s="321">
        <f t="shared" si="6"/>
        <v>-1</v>
      </c>
      <c r="O17" s="321">
        <f t="shared" si="7"/>
        <v>-1</v>
      </c>
      <c r="P17" s="322">
        <f t="shared" si="1"/>
        <v>-4.3201541836599935</v>
      </c>
      <c r="Q17" s="322">
        <f t="shared" si="0"/>
        <v>0</v>
      </c>
      <c r="R17" s="323">
        <f t="shared" si="2"/>
        <v>-4133</v>
      </c>
      <c r="S17" s="322">
        <f t="shared" si="3"/>
        <v>-17855.197241066751</v>
      </c>
    </row>
    <row r="18" spans="1:19" x14ac:dyDescent="0.15">
      <c r="A18" s="163" t="s">
        <v>167</v>
      </c>
      <c r="B18" s="166"/>
      <c r="C18" s="164"/>
      <c r="D18" s="156"/>
      <c r="E18" s="156"/>
      <c r="F18" s="160"/>
      <c r="G18" s="166">
        <v>7787</v>
      </c>
      <c r="H18" s="164">
        <v>1.8435394442155903E-2</v>
      </c>
      <c r="I18" s="156">
        <v>3.0055207888484423</v>
      </c>
      <c r="J18" s="156">
        <v>23403.990382762819</v>
      </c>
      <c r="K18" s="160">
        <v>5.6107388969931565E-3</v>
      </c>
      <c r="L18" s="320">
        <f t="shared" si="4"/>
        <v>-7787</v>
      </c>
      <c r="M18" s="303">
        <f t="shared" si="5"/>
        <v>-3.0055207888484423</v>
      </c>
      <c r="N18" s="321">
        <f t="shared" si="6"/>
        <v>-1</v>
      </c>
      <c r="O18" s="321">
        <f t="shared" si="7"/>
        <v>-1</v>
      </c>
      <c r="P18" s="322">
        <f t="shared" si="1"/>
        <v>-3.0055207888484423</v>
      </c>
      <c r="Q18" s="322">
        <f t="shared" si="0"/>
        <v>0</v>
      </c>
      <c r="R18" s="323">
        <f t="shared" si="2"/>
        <v>-7787</v>
      </c>
      <c r="S18" s="322">
        <f t="shared" si="3"/>
        <v>-23403.990382762819</v>
      </c>
    </row>
    <row r="19" spans="1:19" x14ac:dyDescent="0.15">
      <c r="A19" s="163" t="s">
        <v>168</v>
      </c>
      <c r="B19" s="166">
        <v>1293</v>
      </c>
      <c r="C19" s="164">
        <v>3.0622612419091647E-3</v>
      </c>
      <c r="D19" s="156">
        <v>1.4891292746481153</v>
      </c>
      <c r="E19" s="156">
        <v>1925.4441521200131</v>
      </c>
      <c r="F19" s="160">
        <v>4.3989443929748633E-4</v>
      </c>
      <c r="G19" s="166">
        <v>4578</v>
      </c>
      <c r="H19" s="164">
        <v>1.0838222133837129E-2</v>
      </c>
      <c r="I19" s="156">
        <v>3.6908242429466998</v>
      </c>
      <c r="J19" s="156">
        <v>16896.593384209991</v>
      </c>
      <c r="K19" s="160">
        <v>4.0506927313252858E-3</v>
      </c>
      <c r="L19" s="320">
        <f t="shared" si="4"/>
        <v>-3285</v>
      </c>
      <c r="M19" s="303">
        <f t="shared" si="5"/>
        <v>-2.2016949682985842</v>
      </c>
      <c r="N19" s="321">
        <f t="shared" si="6"/>
        <v>-0.71756225425950193</v>
      </c>
      <c r="O19" s="321">
        <f t="shared" si="7"/>
        <v>-0.59653205446076274</v>
      </c>
      <c r="P19" s="322">
        <f t="shared" si="1"/>
        <v>-2.2016949682985842</v>
      </c>
      <c r="Q19" s="322">
        <f t="shared" si="0"/>
        <v>-2846.7915940100693</v>
      </c>
      <c r="R19" s="323">
        <f t="shared" si="2"/>
        <v>-3285</v>
      </c>
      <c r="S19" s="322">
        <f t="shared" si="3"/>
        <v>-12124.35763807991</v>
      </c>
    </row>
    <row r="20" spans="1:19" x14ac:dyDescent="0.15">
      <c r="A20" s="169" t="s">
        <v>169</v>
      </c>
      <c r="B20" s="166">
        <v>83400</v>
      </c>
      <c r="C20" s="171">
        <v>0.19751940261038231</v>
      </c>
      <c r="D20" s="156">
        <v>12.199088249400477</v>
      </c>
      <c r="E20" s="174">
        <v>1017403.9599999997</v>
      </c>
      <c r="F20" s="172">
        <v>0.2324400549506804</v>
      </c>
      <c r="G20" s="166">
        <v>55200</v>
      </c>
      <c r="H20" s="171">
        <v>0.13068367448401255</v>
      </c>
      <c r="I20" s="156">
        <v>11.87228786231884</v>
      </c>
      <c r="J20" s="174">
        <v>655350.29</v>
      </c>
      <c r="K20" s="172">
        <v>0.15710993309785659</v>
      </c>
      <c r="L20" s="320">
        <f t="shared" si="4"/>
        <v>28200</v>
      </c>
      <c r="M20" s="324">
        <f t="shared" si="5"/>
        <v>0.3268003870816365</v>
      </c>
      <c r="N20" s="321">
        <f t="shared" si="6"/>
        <v>0.51086956521739135</v>
      </c>
      <c r="O20" s="321">
        <f t="shared" si="7"/>
        <v>2.7526319347331539E-2</v>
      </c>
      <c r="P20" s="322">
        <f t="shared" si="1"/>
        <v>0.3268003870816365</v>
      </c>
      <c r="Q20" s="322">
        <f t="shared" si="0"/>
        <v>27255.152282608484</v>
      </c>
      <c r="R20" s="323">
        <f t="shared" si="2"/>
        <v>28200</v>
      </c>
      <c r="S20" s="322">
        <f t="shared" si="3"/>
        <v>334798.51771739131</v>
      </c>
    </row>
    <row r="21" spans="1:19" x14ac:dyDescent="0.15">
      <c r="A21" s="169" t="s">
        <v>170</v>
      </c>
      <c r="B21" s="166"/>
      <c r="C21" s="171"/>
      <c r="D21" s="156"/>
      <c r="E21" s="174"/>
      <c r="F21" s="172"/>
      <c r="G21" s="166"/>
      <c r="H21" s="171"/>
      <c r="I21" s="156"/>
      <c r="J21" s="174"/>
      <c r="K21" s="172">
        <v>0</v>
      </c>
      <c r="L21" s="320">
        <f t="shared" si="4"/>
        <v>0</v>
      </c>
      <c r="M21" s="303">
        <f t="shared" si="5"/>
        <v>0</v>
      </c>
      <c r="N21" s="321" t="e">
        <f t="shared" si="6"/>
        <v>#DIV/0!</v>
      </c>
      <c r="O21" s="321" t="e">
        <f t="shared" si="7"/>
        <v>#DIV/0!</v>
      </c>
      <c r="P21" s="322">
        <f t="shared" si="1"/>
        <v>0</v>
      </c>
      <c r="Q21" s="322">
        <f t="shared" si="0"/>
        <v>0</v>
      </c>
      <c r="R21" s="323">
        <f t="shared" si="2"/>
        <v>0</v>
      </c>
      <c r="S21" s="322">
        <f t="shared" si="3"/>
        <v>0</v>
      </c>
    </row>
    <row r="22" spans="1:19" x14ac:dyDescent="0.15">
      <c r="A22" s="175" t="s">
        <v>171</v>
      </c>
      <c r="B22" s="166"/>
      <c r="C22" s="164"/>
      <c r="D22" s="156"/>
      <c r="E22" s="156"/>
      <c r="F22" s="160"/>
      <c r="G22" s="166">
        <v>26</v>
      </c>
      <c r="H22" s="164">
        <v>6.1553904648266777E-5</v>
      </c>
      <c r="I22" s="156">
        <v>7.5664066690502576</v>
      </c>
      <c r="J22" s="156">
        <v>196.7265733953067</v>
      </c>
      <c r="K22" s="160">
        <v>4.7162104383454544E-5</v>
      </c>
      <c r="L22" s="320">
        <f t="shared" si="4"/>
        <v>-26</v>
      </c>
      <c r="M22" s="303">
        <f t="shared" si="5"/>
        <v>-7.5664066690502576</v>
      </c>
      <c r="N22" s="321">
        <f t="shared" si="6"/>
        <v>-1</v>
      </c>
      <c r="O22" s="321">
        <f t="shared" si="7"/>
        <v>-1</v>
      </c>
      <c r="P22" s="322">
        <f t="shared" si="1"/>
        <v>-7.5664066690502576</v>
      </c>
      <c r="Q22" s="322">
        <f t="shared" si="0"/>
        <v>0</v>
      </c>
      <c r="R22" s="323">
        <f t="shared" si="2"/>
        <v>-26</v>
      </c>
      <c r="S22" s="322">
        <f t="shared" si="3"/>
        <v>-196.7265733953067</v>
      </c>
    </row>
    <row r="23" spans="1:19" x14ac:dyDescent="0.15">
      <c r="A23" s="175" t="s">
        <v>172</v>
      </c>
      <c r="B23" s="166"/>
      <c r="C23" s="164"/>
      <c r="D23" s="156"/>
      <c r="E23" s="156"/>
      <c r="F23" s="160"/>
      <c r="G23" s="166"/>
      <c r="H23" s="164"/>
      <c r="I23" s="156"/>
      <c r="J23" s="156"/>
      <c r="K23" s="160">
        <v>0</v>
      </c>
      <c r="L23" s="320">
        <f t="shared" si="4"/>
        <v>0</v>
      </c>
      <c r="M23" s="303">
        <f t="shared" si="5"/>
        <v>0</v>
      </c>
      <c r="N23" s="321" t="e">
        <f t="shared" si="6"/>
        <v>#DIV/0!</v>
      </c>
      <c r="O23" s="321" t="e">
        <f t="shared" si="7"/>
        <v>#DIV/0!</v>
      </c>
      <c r="P23" s="322">
        <f t="shared" si="1"/>
        <v>0</v>
      </c>
      <c r="Q23" s="322">
        <f t="shared" si="0"/>
        <v>0</v>
      </c>
      <c r="R23" s="323">
        <f t="shared" si="2"/>
        <v>0</v>
      </c>
      <c r="S23" s="322">
        <f t="shared" si="3"/>
        <v>0</v>
      </c>
    </row>
    <row r="24" spans="1:19" s="337" customFormat="1" x14ac:dyDescent="0.15">
      <c r="A24" s="329" t="s">
        <v>173</v>
      </c>
      <c r="B24" s="330">
        <v>422237</v>
      </c>
      <c r="C24" s="331"/>
      <c r="D24" s="332">
        <v>10.36635714065797</v>
      </c>
      <c r="E24" s="332">
        <v>4377059.5399999991</v>
      </c>
      <c r="F24" s="333"/>
      <c r="G24" s="330">
        <v>422368</v>
      </c>
      <c r="H24" s="331"/>
      <c r="I24" s="332">
        <v>9.8754833780651108</v>
      </c>
      <c r="J24" s="332">
        <v>4171088.1634266046</v>
      </c>
      <c r="K24" s="333"/>
      <c r="L24" s="334">
        <f t="shared" si="4"/>
        <v>-131</v>
      </c>
      <c r="M24" s="335">
        <f t="shared" si="5"/>
        <v>0.49087376259285875</v>
      </c>
      <c r="N24" s="336">
        <f t="shared" si="6"/>
        <v>-3.1015607242972955E-4</v>
      </c>
      <c r="O24" s="336">
        <f t="shared" si="7"/>
        <v>4.9706302344972905E-2</v>
      </c>
      <c r="P24" s="322">
        <f t="shared" si="1"/>
        <v>0.49087376259285875</v>
      </c>
      <c r="Q24" s="322">
        <f>SUM(Q6:Q21)-Q22-Q23</f>
        <v>202367.7930177949</v>
      </c>
      <c r="R24" s="323">
        <f t="shared" si="2"/>
        <v>-131</v>
      </c>
      <c r="S24" s="322">
        <f>SUM(S6:S21)-S22-S23</f>
        <v>3603.5835556004863</v>
      </c>
    </row>
    <row r="25" spans="1:19" ht="14.25" thickBot="1" x14ac:dyDescent="0.2">
      <c r="A25" s="187" t="s">
        <v>174</v>
      </c>
      <c r="B25" s="194">
        <v>422237</v>
      </c>
      <c r="C25" s="195"/>
      <c r="D25" s="196">
        <v>10.36635714065797</v>
      </c>
      <c r="E25" s="196">
        <v>4377059.5399999991</v>
      </c>
      <c r="F25" s="197"/>
      <c r="G25" s="194">
        <v>422394</v>
      </c>
      <c r="H25" s="195"/>
      <c r="I25" s="196">
        <v>9.8753412453775375</v>
      </c>
      <c r="J25" s="196">
        <v>4171284.8899999997</v>
      </c>
      <c r="K25" s="197"/>
      <c r="L25" s="320">
        <f t="shared" si="4"/>
        <v>-157</v>
      </c>
      <c r="M25" s="303">
        <f t="shared" si="5"/>
        <v>0.49101589528043199</v>
      </c>
      <c r="N25" s="321">
        <f t="shared" si="6"/>
        <v>-3.7169088576068787E-4</v>
      </c>
      <c r="O25" s="321">
        <f t="shared" si="7"/>
        <v>4.9721410438375212E-2</v>
      </c>
      <c r="P25" s="322"/>
      <c r="Q25" s="338">
        <f>E24-J24</f>
        <v>205971.37657339452</v>
      </c>
      <c r="R25" s="323"/>
      <c r="S25" s="322">
        <f>Q24+S24</f>
        <v>205971.37657339539</v>
      </c>
    </row>
    <row r="26" spans="1:19" x14ac:dyDescent="0.15">
      <c r="A26" s="526" t="s">
        <v>145</v>
      </c>
      <c r="B26" s="527" t="s">
        <v>182</v>
      </c>
      <c r="C26" s="528"/>
      <c r="D26" s="528"/>
      <c r="E26" s="528"/>
      <c r="F26" s="529"/>
      <c r="G26" s="530" t="s">
        <v>207</v>
      </c>
      <c r="H26" s="530"/>
      <c r="I26" s="530"/>
      <c r="J26" s="530"/>
      <c r="K26" s="527"/>
      <c r="L26" s="531" t="s">
        <v>208</v>
      </c>
      <c r="M26" s="532"/>
      <c r="N26" s="532"/>
      <c r="O26" s="533"/>
      <c r="P26" s="524" t="s">
        <v>209</v>
      </c>
      <c r="Q26" s="524" t="s">
        <v>216</v>
      </c>
      <c r="R26" s="524" t="s">
        <v>211</v>
      </c>
      <c r="S26" s="524" t="s">
        <v>217</v>
      </c>
    </row>
    <row r="27" spans="1:19" x14ac:dyDescent="0.15">
      <c r="A27" s="510"/>
      <c r="B27" s="449" t="s">
        <v>218</v>
      </c>
      <c r="C27" s="450"/>
      <c r="D27" s="450"/>
      <c r="E27" s="450"/>
      <c r="F27" s="451"/>
      <c r="G27" s="449" t="s">
        <v>218</v>
      </c>
      <c r="H27" s="450"/>
      <c r="I27" s="450"/>
      <c r="J27" s="450"/>
      <c r="K27" s="525"/>
      <c r="L27" s="508" t="s">
        <v>151</v>
      </c>
      <c r="M27" s="508" t="s">
        <v>153</v>
      </c>
      <c r="N27" s="508" t="s">
        <v>213</v>
      </c>
      <c r="O27" s="508" t="s">
        <v>214</v>
      </c>
      <c r="P27" s="502"/>
      <c r="Q27" s="502"/>
      <c r="R27" s="502"/>
      <c r="S27" s="502" t="s">
        <v>215</v>
      </c>
    </row>
    <row r="28" spans="1:19" x14ac:dyDescent="0.15">
      <c r="A28" s="511"/>
      <c r="B28" s="145" t="s">
        <v>151</v>
      </c>
      <c r="C28" s="141" t="s">
        <v>152</v>
      </c>
      <c r="D28" s="142" t="s">
        <v>153</v>
      </c>
      <c r="E28" s="143" t="s">
        <v>154</v>
      </c>
      <c r="F28" s="144" t="s">
        <v>155</v>
      </c>
      <c r="G28" s="145" t="s">
        <v>151</v>
      </c>
      <c r="H28" s="141" t="s">
        <v>152</v>
      </c>
      <c r="I28" s="142" t="s">
        <v>153</v>
      </c>
      <c r="J28" s="143" t="s">
        <v>154</v>
      </c>
      <c r="K28" s="318" t="s">
        <v>155</v>
      </c>
      <c r="L28" s="508"/>
      <c r="M28" s="508"/>
      <c r="N28" s="508"/>
      <c r="O28" s="508"/>
      <c r="P28" s="503"/>
      <c r="Q28" s="503" t="e">
        <f t="shared" ref="Q28:Q46" si="8">P28*B28</f>
        <v>#VALUE!</v>
      </c>
      <c r="R28" s="503" t="e">
        <f>B28-L28</f>
        <v>#VALUE!</v>
      </c>
      <c r="S28" s="503" t="e">
        <f>R28*N28</f>
        <v>#VALUE!</v>
      </c>
    </row>
    <row r="29" spans="1:19" x14ac:dyDescent="0.15">
      <c r="A29" s="146" t="s">
        <v>156</v>
      </c>
      <c r="B29" s="145"/>
      <c r="C29" s="141"/>
      <c r="D29" s="156"/>
      <c r="E29" s="319"/>
      <c r="F29" s="144"/>
      <c r="G29" s="145">
        <v>1763</v>
      </c>
      <c r="H29" s="141">
        <v>1.8873317539553143E-3</v>
      </c>
      <c r="I29" s="156">
        <v>50.280906110199538</v>
      </c>
      <c r="J29" s="319">
        <v>88645.237472281791</v>
      </c>
      <c r="K29" s="144">
        <v>9.5784713236914763E-3</v>
      </c>
      <c r="L29" s="320">
        <f>B29-G29</f>
        <v>-1763</v>
      </c>
      <c r="M29" s="303">
        <f t="shared" ref="M29:M48" si="9">D29-I29</f>
        <v>-50.280906110199538</v>
      </c>
      <c r="N29" s="321">
        <f>L29/G29</f>
        <v>-1</v>
      </c>
      <c r="O29" s="321">
        <f>M29/I29</f>
        <v>-1</v>
      </c>
      <c r="P29" s="322">
        <f t="shared" ref="P29:P47" si="10">D29-I29</f>
        <v>-50.280906110199538</v>
      </c>
      <c r="Q29" s="322">
        <f t="shared" si="8"/>
        <v>0</v>
      </c>
      <c r="R29" s="323">
        <f t="shared" ref="R29:R47" si="11">B29-G29</f>
        <v>-1763</v>
      </c>
      <c r="S29" s="322">
        <f t="shared" ref="S29:S46" si="12">R29*I29</f>
        <v>-88645.237472281791</v>
      </c>
    </row>
    <row r="30" spans="1:19" x14ac:dyDescent="0.15">
      <c r="A30" s="163" t="s">
        <v>157</v>
      </c>
      <c r="B30" s="166">
        <v>137763</v>
      </c>
      <c r="C30" s="164">
        <v>0.15541872226841411</v>
      </c>
      <c r="D30" s="156">
        <v>19.940109089578947</v>
      </c>
      <c r="E30" s="156">
        <v>2747009.2485076645</v>
      </c>
      <c r="F30" s="160">
        <v>0.29670854921185646</v>
      </c>
      <c r="G30" s="166">
        <v>116852</v>
      </c>
      <c r="H30" s="164">
        <v>0.12509273404037799</v>
      </c>
      <c r="I30" s="156">
        <v>18.422637546358693</v>
      </c>
      <c r="J30" s="156">
        <v>2152722.042567106</v>
      </c>
      <c r="K30" s="160">
        <v>0.23261019926823595</v>
      </c>
      <c r="L30" s="320">
        <f t="shared" ref="L30:L48" si="13">B30-G30</f>
        <v>20911</v>
      </c>
      <c r="M30" s="303">
        <f t="shared" si="9"/>
        <v>1.5174715432202532</v>
      </c>
      <c r="N30" s="321">
        <f t="shared" ref="N30:N48" si="14">L30/G30</f>
        <v>0.17895286345120323</v>
      </c>
      <c r="O30" s="321">
        <f t="shared" ref="O30:O48" si="15">M30/I30</f>
        <v>8.2369939668068187E-2</v>
      </c>
      <c r="P30" s="322">
        <f t="shared" si="10"/>
        <v>1.5174715432202532</v>
      </c>
      <c r="Q30" s="322">
        <f t="shared" si="8"/>
        <v>209051.43220865173</v>
      </c>
      <c r="R30" s="323">
        <f t="shared" si="11"/>
        <v>20911</v>
      </c>
      <c r="S30" s="322">
        <f t="shared" si="12"/>
        <v>385235.77373190661</v>
      </c>
    </row>
    <row r="31" spans="1:19" x14ac:dyDescent="0.15">
      <c r="A31" s="163" t="s">
        <v>158</v>
      </c>
      <c r="B31" s="166">
        <v>382522</v>
      </c>
      <c r="C31" s="164">
        <v>0.43154606446983806</v>
      </c>
      <c r="D31" s="156">
        <v>7.5545831428129464</v>
      </c>
      <c r="E31" s="156">
        <v>2889794.252955094</v>
      </c>
      <c r="F31" s="160">
        <v>0.31213096962846798</v>
      </c>
      <c r="G31" s="166">
        <v>370982</v>
      </c>
      <c r="H31" s="164">
        <v>0.39714470150076597</v>
      </c>
      <c r="I31" s="156">
        <v>9.3053349002879227</v>
      </c>
      <c r="J31" s="156">
        <v>3452111.7519786139</v>
      </c>
      <c r="K31" s="160">
        <v>0.37301443783536353</v>
      </c>
      <c r="L31" s="320">
        <f t="shared" si="13"/>
        <v>11540</v>
      </c>
      <c r="M31" s="324">
        <f t="shared" si="9"/>
        <v>-1.7507517574749762</v>
      </c>
      <c r="N31" s="321">
        <f t="shared" si="14"/>
        <v>3.1106630510375165E-2</v>
      </c>
      <c r="O31" s="321">
        <f t="shared" si="15"/>
        <v>-0.18814494870257759</v>
      </c>
      <c r="P31" s="322">
        <f t="shared" si="10"/>
        <v>-1.7507517574749762</v>
      </c>
      <c r="Q31" s="322">
        <f t="shared" si="8"/>
        <v>-669701.06377284287</v>
      </c>
      <c r="R31" s="323">
        <f t="shared" si="11"/>
        <v>11540</v>
      </c>
      <c r="S31" s="322">
        <f t="shared" si="12"/>
        <v>107383.56474932263</v>
      </c>
    </row>
    <row r="32" spans="1:19" x14ac:dyDescent="0.15">
      <c r="A32" s="163" t="s">
        <v>159</v>
      </c>
      <c r="B32" s="166">
        <v>67048</v>
      </c>
      <c r="C32" s="164">
        <v>7.5640879558754009E-2</v>
      </c>
      <c r="D32" s="156">
        <v>12.981444156861855</v>
      </c>
      <c r="E32" s="156">
        <v>870379.86782927369</v>
      </c>
      <c r="F32" s="160">
        <v>9.4011022346257897E-2</v>
      </c>
      <c r="G32" s="166"/>
      <c r="H32" s="164"/>
      <c r="I32" s="156"/>
      <c r="J32" s="156"/>
      <c r="K32" s="160"/>
      <c r="L32" s="320">
        <f t="shared" si="13"/>
        <v>67048</v>
      </c>
      <c r="M32" s="324">
        <f t="shared" si="9"/>
        <v>12.981444156861855</v>
      </c>
      <c r="N32" s="321" t="e">
        <f t="shared" si="14"/>
        <v>#DIV/0!</v>
      </c>
      <c r="O32" s="321" t="e">
        <f t="shared" si="15"/>
        <v>#DIV/0!</v>
      </c>
      <c r="P32" s="322">
        <f t="shared" si="10"/>
        <v>12.981444156861855</v>
      </c>
      <c r="Q32" s="322">
        <f t="shared" si="8"/>
        <v>870379.86782927369</v>
      </c>
      <c r="R32" s="323">
        <f t="shared" si="11"/>
        <v>67048</v>
      </c>
      <c r="S32" s="322">
        <f t="shared" si="12"/>
        <v>0</v>
      </c>
    </row>
    <row r="33" spans="1:19" x14ac:dyDescent="0.15">
      <c r="A33" s="163" t="s">
        <v>160</v>
      </c>
      <c r="B33" s="325"/>
      <c r="C33" s="148"/>
      <c r="D33" s="157"/>
      <c r="E33" s="157"/>
      <c r="F33" s="158"/>
      <c r="G33" s="325">
        <v>159586</v>
      </c>
      <c r="H33" s="148">
        <v>0.17084045677068224</v>
      </c>
      <c r="I33" s="157">
        <v>8.0963352284297834</v>
      </c>
      <c r="J33" s="157">
        <v>1292061.7537641954</v>
      </c>
      <c r="K33" s="158">
        <v>0.13961242374401298</v>
      </c>
      <c r="L33" s="326">
        <f t="shared" si="13"/>
        <v>-159586</v>
      </c>
      <c r="M33" s="327">
        <f t="shared" si="9"/>
        <v>-8.0963352284297834</v>
      </c>
      <c r="N33" s="328">
        <f t="shared" si="14"/>
        <v>-1</v>
      </c>
      <c r="O33" s="328">
        <f t="shared" si="15"/>
        <v>-1</v>
      </c>
      <c r="P33" s="322">
        <f t="shared" si="10"/>
        <v>-8.0963352284297834</v>
      </c>
      <c r="Q33" s="322">
        <f t="shared" si="8"/>
        <v>0</v>
      </c>
      <c r="R33" s="323">
        <f t="shared" si="11"/>
        <v>-159586</v>
      </c>
      <c r="S33" s="322">
        <f t="shared" si="12"/>
        <v>-1292061.7537641954</v>
      </c>
    </row>
    <row r="34" spans="1:19" x14ac:dyDescent="0.15">
      <c r="A34" s="163" t="s">
        <v>161</v>
      </c>
      <c r="B34" s="166">
        <v>22874</v>
      </c>
      <c r="C34" s="164">
        <v>2.5805534527904475E-2</v>
      </c>
      <c r="D34" s="156">
        <v>5.0325383645085529</v>
      </c>
      <c r="E34" s="156">
        <v>115114.28254976863</v>
      </c>
      <c r="F34" s="160">
        <v>1.2433664643634081E-2</v>
      </c>
      <c r="G34" s="166">
        <v>23353</v>
      </c>
      <c r="H34" s="164">
        <v>2.4999919710787553E-2</v>
      </c>
      <c r="I34" s="156">
        <v>7.0791868079659643</v>
      </c>
      <c r="J34" s="156">
        <v>165320.24952642916</v>
      </c>
      <c r="K34" s="160">
        <v>1.786351206752157E-2</v>
      </c>
      <c r="L34" s="320">
        <f t="shared" si="13"/>
        <v>-479</v>
      </c>
      <c r="M34" s="324">
        <f t="shared" si="9"/>
        <v>-2.0466484434574115</v>
      </c>
      <c r="N34" s="321">
        <f t="shared" si="14"/>
        <v>-2.0511283346893332E-2</v>
      </c>
      <c r="O34" s="321">
        <f t="shared" si="15"/>
        <v>-0.28910784514887905</v>
      </c>
      <c r="P34" s="322">
        <f t="shared" si="10"/>
        <v>-2.0466484434574115</v>
      </c>
      <c r="Q34" s="322">
        <f t="shared" si="8"/>
        <v>-46815.036495644832</v>
      </c>
      <c r="R34" s="323">
        <f t="shared" si="11"/>
        <v>-479</v>
      </c>
      <c r="S34" s="322">
        <f t="shared" si="12"/>
        <v>-3390.9304810156968</v>
      </c>
    </row>
    <row r="35" spans="1:19" x14ac:dyDescent="0.15">
      <c r="A35" s="169" t="s">
        <v>9</v>
      </c>
      <c r="B35" s="166">
        <v>6377</v>
      </c>
      <c r="C35" s="171">
        <v>7.1942770693558993E-3</v>
      </c>
      <c r="D35" s="156">
        <v>6.6306707461334113</v>
      </c>
      <c r="E35" s="156">
        <v>42283.787348092766</v>
      </c>
      <c r="F35" s="172">
        <v>4.567134677850449E-3</v>
      </c>
      <c r="G35" s="166">
        <v>6007</v>
      </c>
      <c r="H35" s="171">
        <v>6.4306306557059406E-3</v>
      </c>
      <c r="I35" s="156">
        <v>6.2783411403363596</v>
      </c>
      <c r="J35" s="156">
        <v>37713.99523000051</v>
      </c>
      <c r="K35" s="172">
        <v>4.075147544450459E-3</v>
      </c>
      <c r="L35" s="320">
        <f t="shared" si="13"/>
        <v>370</v>
      </c>
      <c r="M35" s="303">
        <f t="shared" si="9"/>
        <v>0.35232960579705175</v>
      </c>
      <c r="N35" s="321">
        <f t="shared" si="14"/>
        <v>6.1594806059597135E-2</v>
      </c>
      <c r="O35" s="321">
        <f t="shared" si="15"/>
        <v>5.6118264032109573E-2</v>
      </c>
      <c r="P35" s="322">
        <f t="shared" si="10"/>
        <v>0.35232960579705175</v>
      </c>
      <c r="Q35" s="322">
        <f t="shared" si="8"/>
        <v>2246.8058961677989</v>
      </c>
      <c r="R35" s="323">
        <f t="shared" si="11"/>
        <v>370</v>
      </c>
      <c r="S35" s="322">
        <f t="shared" si="12"/>
        <v>2322.9862219244533</v>
      </c>
    </row>
    <row r="36" spans="1:19" x14ac:dyDescent="0.15">
      <c r="A36" s="169" t="s">
        <v>162</v>
      </c>
      <c r="B36" s="166"/>
      <c r="C36" s="171"/>
      <c r="D36" s="156"/>
      <c r="E36" s="156"/>
      <c r="F36" s="172"/>
      <c r="G36" s="166">
        <v>4607</v>
      </c>
      <c r="H36" s="171">
        <v>4.9318986900012095E-3</v>
      </c>
      <c r="I36" s="156">
        <v>9.9440190517880929</v>
      </c>
      <c r="J36" s="156">
        <v>45812.095771587745</v>
      </c>
      <c r="K36" s="172">
        <v>4.9501795938396674E-3</v>
      </c>
      <c r="L36" s="320">
        <f t="shared" si="13"/>
        <v>-4607</v>
      </c>
      <c r="M36" s="303">
        <f t="shared" si="9"/>
        <v>-9.9440190517880929</v>
      </c>
      <c r="N36" s="321">
        <f t="shared" si="14"/>
        <v>-1</v>
      </c>
      <c r="O36" s="321">
        <f t="shared" si="15"/>
        <v>-1</v>
      </c>
      <c r="P36" s="322">
        <f t="shared" si="10"/>
        <v>-9.9440190517880929</v>
      </c>
      <c r="Q36" s="322">
        <f t="shared" si="8"/>
        <v>0</v>
      </c>
      <c r="R36" s="323">
        <f t="shared" si="11"/>
        <v>-4607</v>
      </c>
      <c r="S36" s="322">
        <f t="shared" si="12"/>
        <v>-45812.095771587745</v>
      </c>
    </row>
    <row r="37" spans="1:19" x14ac:dyDescent="0.15">
      <c r="A37" s="169" t="s">
        <v>163</v>
      </c>
      <c r="B37" s="166"/>
      <c r="C37" s="171"/>
      <c r="D37" s="156"/>
      <c r="E37" s="156"/>
      <c r="F37" s="172"/>
      <c r="G37" s="166">
        <v>556</v>
      </c>
      <c r="H37" s="171">
        <v>5.9521069495130732E-4</v>
      </c>
      <c r="I37" s="156">
        <v>4.5285291879837795</v>
      </c>
      <c r="J37" s="156">
        <v>2517.8622285189813</v>
      </c>
      <c r="K37" s="172">
        <v>2.7206505211761805E-4</v>
      </c>
      <c r="L37" s="320">
        <f t="shared" si="13"/>
        <v>-556</v>
      </c>
      <c r="M37" s="303">
        <f t="shared" si="9"/>
        <v>-4.5285291879837795</v>
      </c>
      <c r="N37" s="321">
        <f t="shared" si="14"/>
        <v>-1</v>
      </c>
      <c r="O37" s="321">
        <f t="shared" si="15"/>
        <v>-1</v>
      </c>
      <c r="P37" s="322">
        <f t="shared" si="10"/>
        <v>-4.5285291879837795</v>
      </c>
      <c r="Q37" s="322">
        <f t="shared" si="8"/>
        <v>0</v>
      </c>
      <c r="R37" s="323">
        <f t="shared" si="11"/>
        <v>-556</v>
      </c>
      <c r="S37" s="322">
        <f t="shared" si="12"/>
        <v>-2517.8622285189813</v>
      </c>
    </row>
    <row r="38" spans="1:19" x14ac:dyDescent="0.15">
      <c r="A38" s="169" t="s">
        <v>164</v>
      </c>
      <c r="B38" s="166">
        <v>6990</v>
      </c>
      <c r="C38" s="171">
        <v>7.8858392213890134E-3</v>
      </c>
      <c r="D38" s="156">
        <v>3.4523467408853339</v>
      </c>
      <c r="E38" s="156">
        <v>24131.903718788482</v>
      </c>
      <c r="F38" s="172">
        <v>2.6065227650805111E-3</v>
      </c>
      <c r="G38" s="166">
        <v>7173</v>
      </c>
      <c r="H38" s="171">
        <v>7.6788602785714515E-3</v>
      </c>
      <c r="I38" s="156">
        <v>3.8463185322425431</v>
      </c>
      <c r="J38" s="156">
        <v>27589.64283177576</v>
      </c>
      <c r="K38" s="172">
        <v>2.9811709035997215E-3</v>
      </c>
      <c r="L38" s="320">
        <f t="shared" si="13"/>
        <v>-183</v>
      </c>
      <c r="M38" s="324">
        <f t="shared" si="9"/>
        <v>-0.39397179135720917</v>
      </c>
      <c r="N38" s="321">
        <f t="shared" si="14"/>
        <v>-2.5512337933918862E-2</v>
      </c>
      <c r="O38" s="321">
        <f t="shared" si="15"/>
        <v>-0.10242827993954763</v>
      </c>
      <c r="P38" s="322">
        <f t="shared" si="10"/>
        <v>-0.39397179135720917</v>
      </c>
      <c r="Q38" s="322">
        <f t="shared" si="8"/>
        <v>-2753.8628215868921</v>
      </c>
      <c r="R38" s="323">
        <f t="shared" si="11"/>
        <v>-183</v>
      </c>
      <c r="S38" s="322">
        <f t="shared" si="12"/>
        <v>-703.87629140038541</v>
      </c>
    </row>
    <row r="39" spans="1:19" x14ac:dyDescent="0.15">
      <c r="A39" s="163" t="s">
        <v>165</v>
      </c>
      <c r="B39" s="166">
        <v>67840</v>
      </c>
      <c r="C39" s="164">
        <v>7.6534382371821266E-2</v>
      </c>
      <c r="D39" s="156">
        <v>3.4996203127152077</v>
      </c>
      <c r="E39" s="156">
        <v>237414.2420145997</v>
      </c>
      <c r="F39" s="160">
        <v>2.5643464924136352E-2</v>
      </c>
      <c r="G39" s="166">
        <v>72077</v>
      </c>
      <c r="H39" s="164">
        <v>7.7160074208642765E-2</v>
      </c>
      <c r="I39" s="156">
        <v>3.7700602383210819</v>
      </c>
      <c r="J39" s="156">
        <v>271734.63179746864</v>
      </c>
      <c r="K39" s="160">
        <v>2.9362010329542831E-2</v>
      </c>
      <c r="L39" s="320">
        <f t="shared" si="13"/>
        <v>-4237</v>
      </c>
      <c r="M39" s="324">
        <f t="shared" si="9"/>
        <v>-0.27043992560587427</v>
      </c>
      <c r="N39" s="321">
        <f t="shared" si="14"/>
        <v>-5.8784355619684502E-2</v>
      </c>
      <c r="O39" s="321">
        <f t="shared" si="15"/>
        <v>-7.173358209425032E-2</v>
      </c>
      <c r="P39" s="322">
        <f t="shared" si="10"/>
        <v>-0.27043992560587427</v>
      </c>
      <c r="Q39" s="322">
        <f t="shared" si="8"/>
        <v>-18346.644553102509</v>
      </c>
      <c r="R39" s="323">
        <f t="shared" si="11"/>
        <v>-4237</v>
      </c>
      <c r="S39" s="322">
        <f t="shared" si="12"/>
        <v>-15973.745229766424</v>
      </c>
    </row>
    <row r="40" spans="1:19" x14ac:dyDescent="0.15">
      <c r="A40" s="163" t="s">
        <v>166</v>
      </c>
      <c r="B40" s="166"/>
      <c r="C40" s="164"/>
      <c r="D40" s="156"/>
      <c r="E40" s="156"/>
      <c r="F40" s="160"/>
      <c r="G40" s="166">
        <v>9108</v>
      </c>
      <c r="H40" s="164">
        <v>9.7503219597419189E-3</v>
      </c>
      <c r="I40" s="156">
        <v>4.1548838551920566</v>
      </c>
      <c r="J40" s="156">
        <v>37842.682153089248</v>
      </c>
      <c r="K40" s="160">
        <v>4.0890526795449985E-3</v>
      </c>
      <c r="L40" s="320">
        <f t="shared" si="13"/>
        <v>-9108</v>
      </c>
      <c r="M40" s="303">
        <f t="shared" si="9"/>
        <v>-4.1548838551920566</v>
      </c>
      <c r="N40" s="321">
        <f t="shared" si="14"/>
        <v>-1</v>
      </c>
      <c r="O40" s="321">
        <f t="shared" si="15"/>
        <v>-1</v>
      </c>
      <c r="P40" s="322">
        <f t="shared" si="10"/>
        <v>-4.1548838551920566</v>
      </c>
      <c r="Q40" s="322">
        <f t="shared" si="8"/>
        <v>0</v>
      </c>
      <c r="R40" s="323">
        <f t="shared" si="11"/>
        <v>-9108</v>
      </c>
      <c r="S40" s="322">
        <f t="shared" si="12"/>
        <v>-37842.682153089248</v>
      </c>
    </row>
    <row r="41" spans="1:19" x14ac:dyDescent="0.15">
      <c r="A41" s="163" t="s">
        <v>167</v>
      </c>
      <c r="B41" s="166"/>
      <c r="C41" s="164"/>
      <c r="D41" s="156"/>
      <c r="E41" s="156"/>
      <c r="F41" s="160"/>
      <c r="G41" s="166">
        <v>15334</v>
      </c>
      <c r="H41" s="164">
        <v>1.6415397115797384E-2</v>
      </c>
      <c r="I41" s="156">
        <v>3.1251088259400279</v>
      </c>
      <c r="J41" s="156">
        <v>47920.418736964391</v>
      </c>
      <c r="K41" s="160">
        <v>5.1779922958052407E-3</v>
      </c>
      <c r="L41" s="320">
        <f t="shared" si="13"/>
        <v>-15334</v>
      </c>
      <c r="M41" s="303">
        <f t="shared" si="9"/>
        <v>-3.1251088259400279</v>
      </c>
      <c r="N41" s="321">
        <f t="shared" si="14"/>
        <v>-1</v>
      </c>
      <c r="O41" s="321">
        <f t="shared" si="15"/>
        <v>-1</v>
      </c>
      <c r="P41" s="322">
        <f t="shared" si="10"/>
        <v>-3.1251088259400279</v>
      </c>
      <c r="Q41" s="322">
        <f t="shared" si="8"/>
        <v>0</v>
      </c>
      <c r="R41" s="323">
        <f t="shared" si="11"/>
        <v>-15334</v>
      </c>
      <c r="S41" s="322">
        <f t="shared" si="12"/>
        <v>-47920.418736964391</v>
      </c>
    </row>
    <row r="42" spans="1:19" x14ac:dyDescent="0.15">
      <c r="A42" s="163" t="s">
        <v>168</v>
      </c>
      <c r="B42" s="166">
        <v>2285</v>
      </c>
      <c r="C42" s="164">
        <v>2.5778458685084258E-3</v>
      </c>
      <c r="D42" s="156">
        <v>1.5128424843405359</v>
      </c>
      <c r="E42" s="156">
        <v>3456.8450767181248</v>
      </c>
      <c r="F42" s="160">
        <v>3.7337897137419181E-4</v>
      </c>
      <c r="G42" s="166">
        <v>9525</v>
      </c>
      <c r="H42" s="164">
        <v>1.0196729980955398E-2</v>
      </c>
      <c r="I42" s="156">
        <v>3.6007722773720077</v>
      </c>
      <c r="J42" s="156">
        <v>34297.355941968373</v>
      </c>
      <c r="K42" s="160">
        <v>3.705966047767724E-3</v>
      </c>
      <c r="L42" s="320">
        <f t="shared" si="13"/>
        <v>-7240</v>
      </c>
      <c r="M42" s="303">
        <f t="shared" si="9"/>
        <v>-2.0879297930314715</v>
      </c>
      <c r="N42" s="321">
        <f t="shared" si="14"/>
        <v>-0.76010498687664041</v>
      </c>
      <c r="O42" s="321">
        <f t="shared" si="15"/>
        <v>-0.57985610646706298</v>
      </c>
      <c r="P42" s="322">
        <f t="shared" si="10"/>
        <v>-2.0879297930314715</v>
      </c>
      <c r="Q42" s="322">
        <f t="shared" si="8"/>
        <v>-4770.919577076912</v>
      </c>
      <c r="R42" s="323">
        <f t="shared" si="11"/>
        <v>-7240</v>
      </c>
      <c r="S42" s="322">
        <f t="shared" si="12"/>
        <v>-26069.591288173335</v>
      </c>
    </row>
    <row r="43" spans="1:19" x14ac:dyDescent="0.15">
      <c r="A43" s="169" t="s">
        <v>169</v>
      </c>
      <c r="B43" s="166">
        <v>192700</v>
      </c>
      <c r="C43" s="171">
        <v>0.21739645464401472</v>
      </c>
      <c r="D43" s="156">
        <v>12.084536844836533</v>
      </c>
      <c r="E43" s="174">
        <v>2328690.25</v>
      </c>
      <c r="F43" s="172">
        <v>0.25152529283134212</v>
      </c>
      <c r="G43" s="166">
        <v>137200</v>
      </c>
      <c r="H43" s="171">
        <v>0.14687573263906359</v>
      </c>
      <c r="I43" s="156">
        <v>11.649732871720117</v>
      </c>
      <c r="J43" s="174">
        <v>1598343.35</v>
      </c>
      <c r="K43" s="172">
        <v>0.17270737131450642</v>
      </c>
      <c r="L43" s="320">
        <f t="shared" si="13"/>
        <v>55500</v>
      </c>
      <c r="M43" s="324">
        <f t="shared" si="9"/>
        <v>0.43480397311641639</v>
      </c>
      <c r="N43" s="321">
        <f t="shared" si="14"/>
        <v>0.40451895043731778</v>
      </c>
      <c r="O43" s="321">
        <f t="shared" si="15"/>
        <v>3.7323085250470324E-2</v>
      </c>
      <c r="P43" s="322">
        <f t="shared" si="10"/>
        <v>0.43480397311641639</v>
      </c>
      <c r="Q43" s="322">
        <f t="shared" si="8"/>
        <v>83786.725619533434</v>
      </c>
      <c r="R43" s="323">
        <f t="shared" si="11"/>
        <v>55500</v>
      </c>
      <c r="S43" s="322">
        <f t="shared" si="12"/>
        <v>646560.17438046646</v>
      </c>
    </row>
    <row r="44" spans="1:19" x14ac:dyDescent="0.15">
      <c r="A44" s="169" t="s">
        <v>170</v>
      </c>
      <c r="B44" s="166"/>
      <c r="C44" s="171"/>
      <c r="D44" s="156"/>
      <c r="E44" s="174"/>
      <c r="F44" s="172"/>
      <c r="G44" s="166"/>
      <c r="H44" s="171"/>
      <c r="I44" s="156"/>
      <c r="J44" s="174"/>
      <c r="K44" s="172"/>
      <c r="L44" s="320">
        <f t="shared" si="13"/>
        <v>0</v>
      </c>
      <c r="M44" s="303">
        <f t="shared" si="9"/>
        <v>0</v>
      </c>
      <c r="N44" s="321" t="e">
        <f t="shared" si="14"/>
        <v>#DIV/0!</v>
      </c>
      <c r="O44" s="321" t="e">
        <f t="shared" si="15"/>
        <v>#DIV/0!</v>
      </c>
      <c r="P44" s="322">
        <f t="shared" si="10"/>
        <v>0</v>
      </c>
      <c r="Q44" s="322">
        <f t="shared" si="8"/>
        <v>0</v>
      </c>
      <c r="R44" s="323">
        <f t="shared" si="11"/>
        <v>0</v>
      </c>
      <c r="S44" s="322">
        <f t="shared" si="12"/>
        <v>0</v>
      </c>
    </row>
    <row r="45" spans="1:19" x14ac:dyDescent="0.15">
      <c r="A45" s="175" t="s">
        <v>171</v>
      </c>
      <c r="B45" s="166"/>
      <c r="C45" s="164"/>
      <c r="D45" s="156"/>
      <c r="E45" s="156"/>
      <c r="F45" s="160"/>
      <c r="G45" s="166">
        <v>94</v>
      </c>
      <c r="H45" s="164">
        <v>1.0062914626874619E-4</v>
      </c>
      <c r="I45" s="156">
        <v>7.3804957915915796</v>
      </c>
      <c r="J45" s="156">
        <v>693.76660440960848</v>
      </c>
      <c r="K45" s="160">
        <v>7.4964247546295063E-5</v>
      </c>
      <c r="L45" s="320">
        <f t="shared" si="13"/>
        <v>-94</v>
      </c>
      <c r="M45" s="303">
        <f t="shared" si="9"/>
        <v>-7.3804957915915796</v>
      </c>
      <c r="N45" s="321">
        <f t="shared" si="14"/>
        <v>-1</v>
      </c>
      <c r="O45" s="321">
        <f t="shared" si="15"/>
        <v>-1</v>
      </c>
      <c r="P45" s="322">
        <f t="shared" si="10"/>
        <v>-7.3804957915915796</v>
      </c>
      <c r="Q45" s="322">
        <f t="shared" si="8"/>
        <v>0</v>
      </c>
      <c r="R45" s="323">
        <f t="shared" si="11"/>
        <v>-94</v>
      </c>
      <c r="S45" s="322">
        <f t="shared" si="12"/>
        <v>-693.76660440960848</v>
      </c>
    </row>
    <row r="46" spans="1:19" x14ac:dyDescent="0.15">
      <c r="A46" s="175" t="s">
        <v>172</v>
      </c>
      <c r="B46" s="166"/>
      <c r="C46" s="164"/>
      <c r="D46" s="156"/>
      <c r="E46" s="156"/>
      <c r="F46" s="160"/>
      <c r="G46" s="166"/>
      <c r="H46" s="164"/>
      <c r="I46" s="156"/>
      <c r="J46" s="156"/>
      <c r="K46" s="160"/>
      <c r="L46" s="320">
        <f t="shared" si="13"/>
        <v>0</v>
      </c>
      <c r="M46" s="303">
        <f t="shared" si="9"/>
        <v>0</v>
      </c>
      <c r="N46" s="321" t="e">
        <f t="shared" si="14"/>
        <v>#DIV/0!</v>
      </c>
      <c r="O46" s="321" t="e">
        <f t="shared" si="15"/>
        <v>#DIV/0!</v>
      </c>
      <c r="P46" s="322">
        <f t="shared" si="10"/>
        <v>0</v>
      </c>
      <c r="Q46" s="322">
        <f t="shared" si="8"/>
        <v>0</v>
      </c>
      <c r="R46" s="323">
        <f t="shared" si="11"/>
        <v>0</v>
      </c>
      <c r="S46" s="322">
        <f t="shared" si="12"/>
        <v>0</v>
      </c>
    </row>
    <row r="47" spans="1:19" s="337" customFormat="1" x14ac:dyDescent="0.15">
      <c r="A47" s="329" t="s">
        <v>173</v>
      </c>
      <c r="B47" s="330">
        <v>886399</v>
      </c>
      <c r="C47" s="331"/>
      <c r="D47" s="332">
        <v>10.44481625092086</v>
      </c>
      <c r="E47" s="332">
        <v>9258274.6799999997</v>
      </c>
      <c r="F47" s="333"/>
      <c r="G47" s="330">
        <v>934029</v>
      </c>
      <c r="H47" s="331"/>
      <c r="I47" s="332">
        <v>9.9075503045361426</v>
      </c>
      <c r="J47" s="332">
        <v>9253939.303395588</v>
      </c>
      <c r="K47" s="333"/>
      <c r="L47" s="334">
        <f t="shared" si="13"/>
        <v>-47630</v>
      </c>
      <c r="M47" s="335">
        <f t="shared" si="9"/>
        <v>0.53726594638471781</v>
      </c>
      <c r="N47" s="336">
        <f t="shared" si="14"/>
        <v>-5.0994134015110881E-2</v>
      </c>
      <c r="O47" s="336">
        <f t="shared" si="15"/>
        <v>5.4227930201750499E-2</v>
      </c>
      <c r="P47" s="322">
        <f t="shared" si="10"/>
        <v>0.53726594638471781</v>
      </c>
      <c r="Q47" s="322">
        <f>SUM(Q29:Q44)-Q45-Q46</f>
        <v>423077.30433337268</v>
      </c>
      <c r="R47" s="323">
        <f t="shared" si="11"/>
        <v>-47630</v>
      </c>
      <c r="S47" s="322">
        <f>SUM(S29:S44)-S45-S46</f>
        <v>-418741.92772896338</v>
      </c>
    </row>
    <row r="48" spans="1:19" ht="14.25" thickBot="1" x14ac:dyDescent="0.2">
      <c r="A48" s="187" t="s">
        <v>174</v>
      </c>
      <c r="B48" s="194">
        <v>886399</v>
      </c>
      <c r="C48" s="195"/>
      <c r="D48" s="196">
        <v>10.44481625092086</v>
      </c>
      <c r="E48" s="196">
        <v>9258274.6799999997</v>
      </c>
      <c r="F48" s="197"/>
      <c r="G48" s="194">
        <v>934123</v>
      </c>
      <c r="H48" s="195"/>
      <c r="I48" s="196">
        <v>9.9072960091979301</v>
      </c>
      <c r="J48" s="196">
        <v>9254633.0699999984</v>
      </c>
      <c r="K48" s="197"/>
      <c r="L48" s="320">
        <f t="shared" si="13"/>
        <v>-47724</v>
      </c>
      <c r="M48" s="303">
        <f t="shared" si="9"/>
        <v>0.53752024172293034</v>
      </c>
      <c r="N48" s="321">
        <f t="shared" si="14"/>
        <v>-5.1089631665208975E-2</v>
      </c>
      <c r="O48" s="321">
        <f t="shared" si="15"/>
        <v>5.4254989577771445E-2</v>
      </c>
      <c r="P48" s="322"/>
      <c r="Q48" s="338">
        <f>E47-J47</f>
        <v>4335.376604411751</v>
      </c>
      <c r="R48" s="323"/>
      <c r="S48" s="322">
        <f>Q47+S47</f>
        <v>4335.3766044093063</v>
      </c>
    </row>
    <row r="49" spans="1:19" x14ac:dyDescent="0.15">
      <c r="A49" s="526" t="s">
        <v>145</v>
      </c>
      <c r="B49" s="527" t="s">
        <v>182</v>
      </c>
      <c r="C49" s="528"/>
      <c r="D49" s="528"/>
      <c r="E49" s="528"/>
      <c r="F49" s="529"/>
      <c r="G49" s="530" t="s">
        <v>207</v>
      </c>
      <c r="H49" s="530"/>
      <c r="I49" s="530"/>
      <c r="J49" s="530"/>
      <c r="K49" s="527"/>
      <c r="L49" s="531" t="s">
        <v>208</v>
      </c>
      <c r="M49" s="532"/>
      <c r="N49" s="532"/>
      <c r="O49" s="533"/>
      <c r="P49" s="524" t="s">
        <v>209</v>
      </c>
      <c r="Q49" s="524" t="s">
        <v>219</v>
      </c>
      <c r="R49" s="524" t="s">
        <v>211</v>
      </c>
      <c r="S49" s="524" t="s">
        <v>220</v>
      </c>
    </row>
    <row r="50" spans="1:19" x14ac:dyDescent="0.15">
      <c r="A50" s="510"/>
      <c r="B50" s="449" t="s">
        <v>221</v>
      </c>
      <c r="C50" s="450"/>
      <c r="D50" s="450"/>
      <c r="E50" s="450"/>
      <c r="F50" s="451"/>
      <c r="G50" s="449" t="s">
        <v>221</v>
      </c>
      <c r="H50" s="450"/>
      <c r="I50" s="450"/>
      <c r="J50" s="450"/>
      <c r="K50" s="525"/>
      <c r="L50" s="508" t="s">
        <v>151</v>
      </c>
      <c r="M50" s="508" t="s">
        <v>153</v>
      </c>
      <c r="N50" s="508" t="s">
        <v>213</v>
      </c>
      <c r="O50" s="508" t="s">
        <v>214</v>
      </c>
      <c r="P50" s="502"/>
      <c r="Q50" s="502"/>
      <c r="R50" s="502"/>
      <c r="S50" s="502" t="s">
        <v>215</v>
      </c>
    </row>
    <row r="51" spans="1:19" x14ac:dyDescent="0.15">
      <c r="A51" s="511"/>
      <c r="B51" s="145" t="s">
        <v>151</v>
      </c>
      <c r="C51" s="141" t="s">
        <v>152</v>
      </c>
      <c r="D51" s="142" t="s">
        <v>153</v>
      </c>
      <c r="E51" s="143" t="s">
        <v>154</v>
      </c>
      <c r="F51" s="144" t="s">
        <v>155</v>
      </c>
      <c r="G51" s="145" t="s">
        <v>151</v>
      </c>
      <c r="H51" s="141" t="s">
        <v>152</v>
      </c>
      <c r="I51" s="142" t="s">
        <v>153</v>
      </c>
      <c r="J51" s="143" t="s">
        <v>154</v>
      </c>
      <c r="K51" s="318" t="s">
        <v>155</v>
      </c>
      <c r="L51" s="508"/>
      <c r="M51" s="508"/>
      <c r="N51" s="508"/>
      <c r="O51" s="508"/>
      <c r="P51" s="503"/>
      <c r="Q51" s="503" t="e">
        <f t="shared" ref="Q51:Q69" si="16">P51*B51</f>
        <v>#VALUE!</v>
      </c>
      <c r="R51" s="503" t="e">
        <f>B51-L51</f>
        <v>#VALUE!</v>
      </c>
      <c r="S51" s="503" t="e">
        <f>R51*N51</f>
        <v>#VALUE!</v>
      </c>
    </row>
    <row r="52" spans="1:19" x14ac:dyDescent="0.15">
      <c r="A52" s="146" t="s">
        <v>156</v>
      </c>
      <c r="B52" s="145"/>
      <c r="C52" s="141"/>
      <c r="D52" s="156"/>
      <c r="E52" s="319"/>
      <c r="F52" s="144"/>
      <c r="G52" s="145">
        <v>2603</v>
      </c>
      <c r="H52" s="141">
        <v>1.855995299761423E-3</v>
      </c>
      <c r="I52" s="156">
        <v>49.735114729948876</v>
      </c>
      <c r="J52" s="319">
        <v>129460.50364205692</v>
      </c>
      <c r="K52" s="144">
        <v>9.2109498831392436E-3</v>
      </c>
      <c r="L52" s="320">
        <f>B52-G52</f>
        <v>-2603</v>
      </c>
      <c r="M52" s="303">
        <f t="shared" ref="M52:M71" si="17">D52-I52</f>
        <v>-49.735114729948876</v>
      </c>
      <c r="N52" s="321">
        <f>L52/G52</f>
        <v>-1</v>
      </c>
      <c r="O52" s="321">
        <f>M52/I52</f>
        <v>-1</v>
      </c>
      <c r="P52" s="322">
        <f t="shared" ref="P52:P70" si="18">D52-I52</f>
        <v>-49.735114729948876</v>
      </c>
      <c r="Q52" s="322">
        <f t="shared" si="16"/>
        <v>0</v>
      </c>
      <c r="R52" s="323">
        <f t="shared" ref="R52:R70" si="19">B52-G52</f>
        <v>-2603</v>
      </c>
      <c r="S52" s="322">
        <f t="shared" ref="S52:S69" si="20">R52*I52</f>
        <v>-129460.50364205692</v>
      </c>
    </row>
    <row r="53" spans="1:19" x14ac:dyDescent="0.15">
      <c r="A53" s="163" t="s">
        <v>157</v>
      </c>
      <c r="B53" s="166">
        <v>219649</v>
      </c>
      <c r="C53" s="164">
        <v>0.1724483378856552</v>
      </c>
      <c r="D53" s="156">
        <v>19.816817231060217</v>
      </c>
      <c r="E53" s="156">
        <v>4352744.0879851459</v>
      </c>
      <c r="F53" s="160">
        <v>0.32559244515897834</v>
      </c>
      <c r="G53" s="166">
        <v>182542</v>
      </c>
      <c r="H53" s="164">
        <v>0.13015639416406058</v>
      </c>
      <c r="I53" s="156">
        <v>18.70882678571785</v>
      </c>
      <c r="J53" s="156">
        <v>3415146.6591185075</v>
      </c>
      <c r="K53" s="160">
        <v>0.24298333341638462</v>
      </c>
      <c r="L53" s="320">
        <f t="shared" ref="L53:L71" si="21">B53-G53</f>
        <v>37107</v>
      </c>
      <c r="M53" s="303">
        <f t="shared" si="17"/>
        <v>1.1079904453423666</v>
      </c>
      <c r="N53" s="321">
        <f t="shared" ref="N53:N71" si="22">L53/G53</f>
        <v>0.2032792453243637</v>
      </c>
      <c r="O53" s="321">
        <f t="shared" ref="O53:O71" si="23">M53/I53</f>
        <v>5.9222871537203847E-2</v>
      </c>
      <c r="P53" s="322">
        <f t="shared" si="18"/>
        <v>1.1079904453423666</v>
      </c>
      <c r="Q53" s="322">
        <f t="shared" si="16"/>
        <v>243368.99332900546</v>
      </c>
      <c r="R53" s="323">
        <f t="shared" si="19"/>
        <v>37107</v>
      </c>
      <c r="S53" s="322">
        <f t="shared" si="20"/>
        <v>694228.43553763221</v>
      </c>
    </row>
    <row r="54" spans="1:19" x14ac:dyDescent="0.15">
      <c r="A54" s="163" t="s">
        <v>158</v>
      </c>
      <c r="B54" s="166">
        <v>561541</v>
      </c>
      <c r="C54" s="164">
        <v>0.44087071693769925</v>
      </c>
      <c r="D54" s="156">
        <v>7.4391101519969967</v>
      </c>
      <c r="E54" s="156">
        <v>4177365.3538625455</v>
      </c>
      <c r="F54" s="160">
        <v>0.31247382625613906</v>
      </c>
      <c r="G54" s="166">
        <v>567612</v>
      </c>
      <c r="H54" s="164">
        <v>0.40471963276534029</v>
      </c>
      <c r="I54" s="156">
        <v>9.4420589571985509</v>
      </c>
      <c r="J54" s="156">
        <v>5359425.968813384</v>
      </c>
      <c r="K54" s="160">
        <v>0.38131632901432705</v>
      </c>
      <c r="L54" s="320">
        <f t="shared" si="21"/>
        <v>-6071</v>
      </c>
      <c r="M54" s="324">
        <f t="shared" si="17"/>
        <v>-2.0029488052015543</v>
      </c>
      <c r="N54" s="321">
        <f t="shared" si="22"/>
        <v>-1.0695686490067158E-2</v>
      </c>
      <c r="O54" s="321">
        <f t="shared" si="23"/>
        <v>-0.21213051245295625</v>
      </c>
      <c r="P54" s="322">
        <f t="shared" si="18"/>
        <v>-2.0029488052015543</v>
      </c>
      <c r="Q54" s="322">
        <f t="shared" si="16"/>
        <v>-1124737.8750216861</v>
      </c>
      <c r="R54" s="323">
        <f t="shared" si="19"/>
        <v>-6071</v>
      </c>
      <c r="S54" s="322">
        <f t="shared" si="20"/>
        <v>-57322.739929152405</v>
      </c>
    </row>
    <row r="55" spans="1:19" x14ac:dyDescent="0.15">
      <c r="A55" s="163" t="s">
        <v>159</v>
      </c>
      <c r="B55" s="166">
        <v>97488</v>
      </c>
      <c r="C55" s="164">
        <v>7.6538675631561054E-2</v>
      </c>
      <c r="D55" s="156">
        <v>12.870891972999262</v>
      </c>
      <c r="E55" s="156">
        <v>1254757.516663752</v>
      </c>
      <c r="F55" s="160">
        <v>9.3857934138569715E-2</v>
      </c>
      <c r="G55" s="166"/>
      <c r="H55" s="164"/>
      <c r="I55" s="156"/>
      <c r="J55" s="156"/>
      <c r="K55" s="160"/>
      <c r="L55" s="320">
        <f t="shared" si="21"/>
        <v>97488</v>
      </c>
      <c r="M55" s="324">
        <f t="shared" si="17"/>
        <v>12.870891972999262</v>
      </c>
      <c r="N55" s="321" t="e">
        <f t="shared" si="22"/>
        <v>#DIV/0!</v>
      </c>
      <c r="O55" s="321" t="e">
        <f t="shared" si="23"/>
        <v>#DIV/0!</v>
      </c>
      <c r="P55" s="322">
        <f t="shared" si="18"/>
        <v>12.870891972999262</v>
      </c>
      <c r="Q55" s="322">
        <f t="shared" si="16"/>
        <v>1254757.516663752</v>
      </c>
      <c r="R55" s="323">
        <f t="shared" si="19"/>
        <v>97488</v>
      </c>
      <c r="S55" s="322">
        <f t="shared" si="20"/>
        <v>0</v>
      </c>
    </row>
    <row r="56" spans="1:19" x14ac:dyDescent="0.15">
      <c r="A56" s="163" t="s">
        <v>160</v>
      </c>
      <c r="B56" s="325"/>
      <c r="C56" s="148"/>
      <c r="D56" s="157"/>
      <c r="E56" s="157"/>
      <c r="F56" s="158"/>
      <c r="G56" s="325">
        <v>235705</v>
      </c>
      <c r="H56" s="148">
        <v>0.16806276301585332</v>
      </c>
      <c r="I56" s="157">
        <v>8.0632725409779642</v>
      </c>
      <c r="J56" s="157">
        <v>1900553.654271211</v>
      </c>
      <c r="K56" s="158">
        <v>0.13522197092721841</v>
      </c>
      <c r="L56" s="326">
        <f t="shared" si="21"/>
        <v>-235705</v>
      </c>
      <c r="M56" s="327">
        <f t="shared" si="17"/>
        <v>-8.0632725409779642</v>
      </c>
      <c r="N56" s="328">
        <f t="shared" si="22"/>
        <v>-1</v>
      </c>
      <c r="O56" s="328">
        <f t="shared" si="23"/>
        <v>-1</v>
      </c>
      <c r="P56" s="322">
        <f t="shared" si="18"/>
        <v>-8.0632725409779642</v>
      </c>
      <c r="Q56" s="322">
        <f t="shared" si="16"/>
        <v>0</v>
      </c>
      <c r="R56" s="323">
        <f t="shared" si="19"/>
        <v>-235705</v>
      </c>
      <c r="S56" s="322">
        <f t="shared" si="20"/>
        <v>-1900553.654271211</v>
      </c>
    </row>
    <row r="57" spans="1:19" x14ac:dyDescent="0.15">
      <c r="A57" s="163" t="s">
        <v>161</v>
      </c>
      <c r="B57" s="166">
        <v>32693</v>
      </c>
      <c r="C57" s="164">
        <v>2.5667558288431661E-2</v>
      </c>
      <c r="D57" s="156">
        <v>4.9092942519506169</v>
      </c>
      <c r="E57" s="156">
        <v>160499.55697902152</v>
      </c>
      <c r="F57" s="160">
        <v>1.2005631883569333E-2</v>
      </c>
      <c r="G57" s="166">
        <v>34065</v>
      </c>
      <c r="H57" s="164">
        <v>2.4289081785006866E-2</v>
      </c>
      <c r="I57" s="156">
        <v>7.0371253971384187</v>
      </c>
      <c r="J57" s="156">
        <v>239719.67665352023</v>
      </c>
      <c r="K57" s="160">
        <v>1.7055749557122895E-2</v>
      </c>
      <c r="L57" s="320">
        <f t="shared" si="21"/>
        <v>-1372</v>
      </c>
      <c r="M57" s="324">
        <f t="shared" si="17"/>
        <v>-2.1278311451878018</v>
      </c>
      <c r="N57" s="321">
        <f t="shared" si="22"/>
        <v>-4.0275943050051374E-2</v>
      </c>
      <c r="O57" s="321">
        <f t="shared" si="23"/>
        <v>-0.30237220812536103</v>
      </c>
      <c r="P57" s="322">
        <f t="shared" si="18"/>
        <v>-2.1278311451878018</v>
      </c>
      <c r="Q57" s="322">
        <f t="shared" si="16"/>
        <v>-69565.183629624808</v>
      </c>
      <c r="R57" s="323">
        <f t="shared" si="19"/>
        <v>-1372</v>
      </c>
      <c r="S57" s="322">
        <f t="shared" si="20"/>
        <v>-9654.9360448739099</v>
      </c>
    </row>
    <row r="58" spans="1:19" x14ac:dyDescent="0.15">
      <c r="A58" s="169" t="s">
        <v>9</v>
      </c>
      <c r="B58" s="166">
        <v>9804</v>
      </c>
      <c r="C58" s="171">
        <v>7.6972055626520659E-3</v>
      </c>
      <c r="D58" s="156">
        <v>6.7029043249290234</v>
      </c>
      <c r="E58" s="156">
        <v>65715.27400160415</v>
      </c>
      <c r="F58" s="172">
        <v>4.9156110062925328E-3</v>
      </c>
      <c r="G58" s="166">
        <v>9194</v>
      </c>
      <c r="H58" s="171">
        <v>6.5555208551696205E-3</v>
      </c>
      <c r="I58" s="156">
        <v>6.1993243198157622</v>
      </c>
      <c r="J58" s="156">
        <v>56996.58779638612</v>
      </c>
      <c r="K58" s="172">
        <v>4.0552345999981705E-3</v>
      </c>
      <c r="L58" s="320">
        <f t="shared" si="21"/>
        <v>610</v>
      </c>
      <c r="M58" s="303">
        <f t="shared" si="17"/>
        <v>0.50358000511326129</v>
      </c>
      <c r="N58" s="321">
        <f t="shared" si="22"/>
        <v>6.6347618011746795E-2</v>
      </c>
      <c r="O58" s="321">
        <f t="shared" si="23"/>
        <v>8.1231434126393179E-2</v>
      </c>
      <c r="P58" s="322">
        <f t="shared" si="18"/>
        <v>0.50358000511326129</v>
      </c>
      <c r="Q58" s="322">
        <f t="shared" si="16"/>
        <v>4937.098370130414</v>
      </c>
      <c r="R58" s="323">
        <f t="shared" si="19"/>
        <v>610</v>
      </c>
      <c r="S58" s="322">
        <f t="shared" si="20"/>
        <v>3781.5878350876151</v>
      </c>
    </row>
    <row r="59" spans="1:19" x14ac:dyDescent="0.15">
      <c r="A59" s="169" t="s">
        <v>162</v>
      </c>
      <c r="B59" s="166"/>
      <c r="C59" s="171"/>
      <c r="D59" s="156"/>
      <c r="E59" s="156"/>
      <c r="F59" s="172"/>
      <c r="G59" s="166">
        <v>6740</v>
      </c>
      <c r="H59" s="171">
        <v>4.805765778099113E-3</v>
      </c>
      <c r="I59" s="156">
        <v>9.8802886514884971</v>
      </c>
      <c r="J59" s="156">
        <v>66593.145511032475</v>
      </c>
      <c r="K59" s="172">
        <v>4.7380174540233499E-3</v>
      </c>
      <c r="L59" s="320">
        <f t="shared" si="21"/>
        <v>-6740</v>
      </c>
      <c r="M59" s="303">
        <f t="shared" si="17"/>
        <v>-9.8802886514884971</v>
      </c>
      <c r="N59" s="321">
        <f t="shared" si="22"/>
        <v>-1</v>
      </c>
      <c r="O59" s="321">
        <f t="shared" si="23"/>
        <v>-1</v>
      </c>
      <c r="P59" s="322">
        <f t="shared" si="18"/>
        <v>-9.8802886514884971</v>
      </c>
      <c r="Q59" s="322">
        <f t="shared" si="16"/>
        <v>0</v>
      </c>
      <c r="R59" s="323">
        <f t="shared" si="19"/>
        <v>-6740</v>
      </c>
      <c r="S59" s="322">
        <f t="shared" si="20"/>
        <v>-66593.145511032475</v>
      </c>
    </row>
    <row r="60" spans="1:19" x14ac:dyDescent="0.15">
      <c r="A60" s="169" t="s">
        <v>163</v>
      </c>
      <c r="B60" s="166"/>
      <c r="C60" s="171"/>
      <c r="D60" s="156"/>
      <c r="E60" s="156"/>
      <c r="F60" s="172"/>
      <c r="G60" s="166">
        <v>876</v>
      </c>
      <c r="H60" s="171">
        <v>6.2460694682712505E-4</v>
      </c>
      <c r="I60" s="156">
        <v>4.7479477194937543</v>
      </c>
      <c r="J60" s="156">
        <v>4159.2022022765286</v>
      </c>
      <c r="K60" s="172">
        <v>2.9592193728007331E-4</v>
      </c>
      <c r="L60" s="320">
        <f t="shared" si="21"/>
        <v>-876</v>
      </c>
      <c r="M60" s="303">
        <f t="shared" si="17"/>
        <v>-4.7479477194937543</v>
      </c>
      <c r="N60" s="321">
        <f t="shared" si="22"/>
        <v>-1</v>
      </c>
      <c r="O60" s="321">
        <f t="shared" si="23"/>
        <v>-1</v>
      </c>
      <c r="P60" s="322">
        <f t="shared" si="18"/>
        <v>-4.7479477194937543</v>
      </c>
      <c r="Q60" s="322">
        <f t="shared" si="16"/>
        <v>0</v>
      </c>
      <c r="R60" s="323">
        <f t="shared" si="19"/>
        <v>-876</v>
      </c>
      <c r="S60" s="322">
        <f t="shared" si="20"/>
        <v>-4159.2022022765286</v>
      </c>
    </row>
    <row r="61" spans="1:19" x14ac:dyDescent="0.15">
      <c r="A61" s="169" t="s">
        <v>164</v>
      </c>
      <c r="B61" s="166">
        <v>6990</v>
      </c>
      <c r="C61" s="171">
        <v>5.4879097187819194E-3</v>
      </c>
      <c r="D61" s="156">
        <v>3.4523467408853339</v>
      </c>
      <c r="E61" s="156">
        <v>24131.903718788482</v>
      </c>
      <c r="F61" s="172">
        <v>1.8051062454669626E-3</v>
      </c>
      <c r="G61" s="166">
        <v>11041</v>
      </c>
      <c r="H61" s="171">
        <v>7.87247180355969E-3</v>
      </c>
      <c r="I61" s="156">
        <v>3.685212171241858</v>
      </c>
      <c r="J61" s="156">
        <v>40688.427582681354</v>
      </c>
      <c r="K61" s="172">
        <v>2.8949297796958865E-3</v>
      </c>
      <c r="L61" s="320">
        <f t="shared" si="21"/>
        <v>-4051</v>
      </c>
      <c r="M61" s="324">
        <f t="shared" si="17"/>
        <v>-0.23286543035652407</v>
      </c>
      <c r="N61" s="321">
        <f t="shared" si="22"/>
        <v>-0.36690517163300423</v>
      </c>
      <c r="O61" s="321">
        <f t="shared" si="23"/>
        <v>-6.3189151542949601E-2</v>
      </c>
      <c r="P61" s="322">
        <f t="shared" si="18"/>
        <v>-0.23286543035652407</v>
      </c>
      <c r="Q61" s="322">
        <f t="shared" si="16"/>
        <v>-1627.7293581921033</v>
      </c>
      <c r="R61" s="323">
        <f t="shared" si="19"/>
        <v>-4051</v>
      </c>
      <c r="S61" s="322">
        <f t="shared" si="20"/>
        <v>-14928.794505700767</v>
      </c>
    </row>
    <row r="62" spans="1:19" x14ac:dyDescent="0.15">
      <c r="A62" s="163" t="s">
        <v>165</v>
      </c>
      <c r="B62" s="166">
        <v>93659</v>
      </c>
      <c r="C62" s="164">
        <v>7.3532494470872081E-2</v>
      </c>
      <c r="D62" s="156">
        <v>3.4008928315743803</v>
      </c>
      <c r="E62" s="156">
        <v>318524.22171242489</v>
      </c>
      <c r="F62" s="160">
        <v>2.3826137740552339E-2</v>
      </c>
      <c r="G62" s="166">
        <v>107680</v>
      </c>
      <c r="H62" s="164">
        <v>7.6778168988978115E-2</v>
      </c>
      <c r="I62" s="156">
        <v>3.7277777741856375</v>
      </c>
      <c r="J62" s="156">
        <v>401407.11072430946</v>
      </c>
      <c r="K62" s="160">
        <v>2.8559604478598757E-2</v>
      </c>
      <c r="L62" s="320">
        <f t="shared" si="21"/>
        <v>-14021</v>
      </c>
      <c r="M62" s="324">
        <f t="shared" si="17"/>
        <v>-0.32688494261125722</v>
      </c>
      <c r="N62" s="321">
        <f t="shared" si="22"/>
        <v>-0.13020988112927193</v>
      </c>
      <c r="O62" s="321">
        <f t="shared" si="23"/>
        <v>-8.7688956373658256E-2</v>
      </c>
      <c r="P62" s="322">
        <f t="shared" si="18"/>
        <v>-0.32688494261125722</v>
      </c>
      <c r="Q62" s="322">
        <f t="shared" si="16"/>
        <v>-30615.716840027741</v>
      </c>
      <c r="R62" s="323">
        <f t="shared" si="19"/>
        <v>-14021</v>
      </c>
      <c r="S62" s="322">
        <f t="shared" si="20"/>
        <v>-52267.172171856822</v>
      </c>
    </row>
    <row r="63" spans="1:19" x14ac:dyDescent="0.15">
      <c r="A63" s="163" t="s">
        <v>166</v>
      </c>
      <c r="B63" s="166"/>
      <c r="C63" s="164"/>
      <c r="D63" s="156"/>
      <c r="E63" s="156"/>
      <c r="F63" s="160"/>
      <c r="G63" s="166">
        <v>11594</v>
      </c>
      <c r="H63" s="164">
        <v>8.2667727642850315E-3</v>
      </c>
      <c r="I63" s="156">
        <v>4.094603904816509</v>
      </c>
      <c r="J63" s="156">
        <v>47472.837672442605</v>
      </c>
      <c r="K63" s="160">
        <v>3.3776319132843282E-3</v>
      </c>
      <c r="L63" s="320">
        <f t="shared" si="21"/>
        <v>-11594</v>
      </c>
      <c r="M63" s="303">
        <f t="shared" si="17"/>
        <v>-4.094603904816509</v>
      </c>
      <c r="N63" s="321">
        <f t="shared" si="22"/>
        <v>-1</v>
      </c>
      <c r="O63" s="321">
        <f t="shared" si="23"/>
        <v>-1</v>
      </c>
      <c r="P63" s="322">
        <f t="shared" si="18"/>
        <v>-4.094603904816509</v>
      </c>
      <c r="Q63" s="322">
        <f t="shared" si="16"/>
        <v>0</v>
      </c>
      <c r="R63" s="323">
        <f t="shared" si="19"/>
        <v>-11594</v>
      </c>
      <c r="S63" s="322">
        <f t="shared" si="20"/>
        <v>-47472.837672442605</v>
      </c>
    </row>
    <row r="64" spans="1:19" x14ac:dyDescent="0.15">
      <c r="A64" s="163" t="s">
        <v>167</v>
      </c>
      <c r="B64" s="166"/>
      <c r="C64" s="164"/>
      <c r="D64" s="156"/>
      <c r="E64" s="156"/>
      <c r="F64" s="160"/>
      <c r="G64" s="166">
        <v>22209</v>
      </c>
      <c r="H64" s="164">
        <v>1.5835497353976734E-2</v>
      </c>
      <c r="I64" s="156">
        <v>3.0635255314493852</v>
      </c>
      <c r="J64" s="156">
        <v>68037.838527959393</v>
      </c>
      <c r="K64" s="160">
        <v>4.840805521434453E-3</v>
      </c>
      <c r="L64" s="320">
        <f t="shared" si="21"/>
        <v>-22209</v>
      </c>
      <c r="M64" s="303">
        <f t="shared" si="17"/>
        <v>-3.0635255314493852</v>
      </c>
      <c r="N64" s="321">
        <f t="shared" si="22"/>
        <v>-1</v>
      </c>
      <c r="O64" s="321">
        <f t="shared" si="23"/>
        <v>-1</v>
      </c>
      <c r="P64" s="322">
        <f t="shared" si="18"/>
        <v>-3.0635255314493852</v>
      </c>
      <c r="Q64" s="322">
        <f t="shared" si="16"/>
        <v>0</v>
      </c>
      <c r="R64" s="323">
        <f t="shared" si="19"/>
        <v>-22209</v>
      </c>
      <c r="S64" s="322">
        <f t="shared" si="20"/>
        <v>-68037.838527959393</v>
      </c>
    </row>
    <row r="65" spans="1:19" x14ac:dyDescent="0.15">
      <c r="A65" s="163" t="s">
        <v>168</v>
      </c>
      <c r="B65" s="166">
        <v>2285</v>
      </c>
      <c r="C65" s="164">
        <v>1.7939733487005274E-3</v>
      </c>
      <c r="D65" s="156">
        <v>1.5128424843405359</v>
      </c>
      <c r="E65" s="156">
        <v>3456.8450767181248</v>
      </c>
      <c r="F65" s="160">
        <v>2.5857771978168989E-4</v>
      </c>
      <c r="G65" s="166">
        <v>14121</v>
      </c>
      <c r="H65" s="164">
        <v>1.0068578420257801E-2</v>
      </c>
      <c r="I65" s="156">
        <v>3.4769737833297802</v>
      </c>
      <c r="J65" s="156">
        <v>49098.346794399826</v>
      </c>
      <c r="K65" s="160">
        <v>3.493284816183044E-3</v>
      </c>
      <c r="L65" s="320">
        <f t="shared" si="21"/>
        <v>-11836</v>
      </c>
      <c r="M65" s="303">
        <f t="shared" si="17"/>
        <v>-1.9641312989892443</v>
      </c>
      <c r="N65" s="321">
        <f t="shared" si="22"/>
        <v>-0.83818426457049788</v>
      </c>
      <c r="O65" s="321">
        <f t="shared" si="23"/>
        <v>-0.56489678133502119</v>
      </c>
      <c r="P65" s="322">
        <f t="shared" si="18"/>
        <v>-1.9641312989892443</v>
      </c>
      <c r="Q65" s="322">
        <f t="shared" si="16"/>
        <v>-4488.0400181904233</v>
      </c>
      <c r="R65" s="323">
        <f t="shared" si="19"/>
        <v>-11836</v>
      </c>
      <c r="S65" s="322">
        <f t="shared" si="20"/>
        <v>-41153.461699491279</v>
      </c>
    </row>
    <row r="66" spans="1:19" x14ac:dyDescent="0.15">
      <c r="A66" s="169" t="s">
        <v>169</v>
      </c>
      <c r="B66" s="166">
        <v>249600</v>
      </c>
      <c r="C66" s="171">
        <v>0.19596312815564623</v>
      </c>
      <c r="D66" s="156">
        <v>12.065280769230769</v>
      </c>
      <c r="E66" s="174">
        <v>3011494.08</v>
      </c>
      <c r="F66" s="172">
        <v>0.22526472985065005</v>
      </c>
      <c r="G66" s="166">
        <v>196500</v>
      </c>
      <c r="H66" s="171">
        <v>0.14010875005882428</v>
      </c>
      <c r="I66" s="156">
        <v>11.584251959287533</v>
      </c>
      <c r="J66" s="174">
        <v>2276305.5100000002</v>
      </c>
      <c r="K66" s="172">
        <v>0.16195623670130954</v>
      </c>
      <c r="L66" s="320">
        <f t="shared" si="21"/>
        <v>53100</v>
      </c>
      <c r="M66" s="324">
        <f t="shared" si="17"/>
        <v>0.48102880994323627</v>
      </c>
      <c r="N66" s="321">
        <f t="shared" si="22"/>
        <v>0.27022900763358776</v>
      </c>
      <c r="O66" s="321">
        <f t="shared" si="23"/>
        <v>4.1524373920197519E-2</v>
      </c>
      <c r="P66" s="322">
        <f t="shared" si="18"/>
        <v>0.48102880994323627</v>
      </c>
      <c r="Q66" s="322">
        <f t="shared" si="16"/>
        <v>120064.79096183178</v>
      </c>
      <c r="R66" s="323">
        <f t="shared" si="19"/>
        <v>53100</v>
      </c>
      <c r="S66" s="322">
        <f t="shared" si="20"/>
        <v>615123.77903816802</v>
      </c>
    </row>
    <row r="67" spans="1:19" x14ac:dyDescent="0.15">
      <c r="A67" s="169" t="s">
        <v>170</v>
      </c>
      <c r="B67" s="166"/>
      <c r="C67" s="171"/>
      <c r="D67" s="156"/>
      <c r="E67" s="174"/>
      <c r="F67" s="172"/>
      <c r="G67" s="166"/>
      <c r="H67" s="171"/>
      <c r="I67" s="156"/>
      <c r="J67" s="174"/>
      <c r="K67" s="172"/>
      <c r="L67" s="320">
        <f t="shared" si="21"/>
        <v>0</v>
      </c>
      <c r="M67" s="303">
        <f t="shared" si="17"/>
        <v>0</v>
      </c>
      <c r="N67" s="321" t="e">
        <f t="shared" si="22"/>
        <v>#DIV/0!</v>
      </c>
      <c r="O67" s="321" t="e">
        <f t="shared" si="23"/>
        <v>#DIV/0!</v>
      </c>
      <c r="P67" s="322">
        <f t="shared" si="18"/>
        <v>0</v>
      </c>
      <c r="Q67" s="322">
        <f t="shared" si="16"/>
        <v>0</v>
      </c>
      <c r="R67" s="323">
        <f t="shared" si="19"/>
        <v>0</v>
      </c>
      <c r="S67" s="322">
        <f t="shared" si="20"/>
        <v>0</v>
      </c>
    </row>
    <row r="68" spans="1:19" x14ac:dyDescent="0.15">
      <c r="A68" s="175" t="s">
        <v>171</v>
      </c>
      <c r="B68" s="166"/>
      <c r="C68" s="164"/>
      <c r="D68" s="156"/>
      <c r="E68" s="156"/>
      <c r="F68" s="160"/>
      <c r="G68" s="166">
        <v>728</v>
      </c>
      <c r="H68" s="164">
        <v>5.19079745765008E-4</v>
      </c>
      <c r="I68" s="156">
        <v>7.9034258322110631</v>
      </c>
      <c r="J68" s="156">
        <v>5753.6940058496539</v>
      </c>
      <c r="K68" s="160">
        <v>4.0936799749621144E-4</v>
      </c>
      <c r="L68" s="320">
        <f t="shared" si="21"/>
        <v>-728</v>
      </c>
      <c r="M68" s="303">
        <f t="shared" si="17"/>
        <v>-7.9034258322110631</v>
      </c>
      <c r="N68" s="321">
        <f t="shared" si="22"/>
        <v>-1</v>
      </c>
      <c r="O68" s="321">
        <f t="shared" si="23"/>
        <v>-1</v>
      </c>
      <c r="P68" s="322">
        <f t="shared" si="18"/>
        <v>-7.9034258322110631</v>
      </c>
      <c r="Q68" s="322">
        <f t="shared" si="16"/>
        <v>0</v>
      </c>
      <c r="R68" s="323">
        <f t="shared" si="19"/>
        <v>-728</v>
      </c>
      <c r="S68" s="322">
        <f t="shared" si="20"/>
        <v>-5753.6940058496539</v>
      </c>
    </row>
    <row r="69" spans="1:19" x14ac:dyDescent="0.15">
      <c r="A69" s="175" t="s">
        <v>172</v>
      </c>
      <c r="B69" s="166"/>
      <c r="C69" s="164"/>
      <c r="D69" s="156"/>
      <c r="E69" s="156"/>
      <c r="F69" s="160"/>
      <c r="G69" s="166"/>
      <c r="H69" s="164"/>
      <c r="I69" s="156"/>
      <c r="J69" s="156"/>
      <c r="K69" s="160"/>
      <c r="L69" s="320">
        <f t="shared" si="21"/>
        <v>0</v>
      </c>
      <c r="M69" s="303">
        <f t="shared" si="17"/>
        <v>0</v>
      </c>
      <c r="N69" s="321" t="e">
        <f t="shared" si="22"/>
        <v>#DIV/0!</v>
      </c>
      <c r="O69" s="321" t="e">
        <f t="shared" si="23"/>
        <v>#DIV/0!</v>
      </c>
      <c r="P69" s="322">
        <f t="shared" si="18"/>
        <v>0</v>
      </c>
      <c r="Q69" s="322">
        <f t="shared" si="16"/>
        <v>0</v>
      </c>
      <c r="R69" s="323">
        <f t="shared" si="19"/>
        <v>0</v>
      </c>
      <c r="S69" s="322">
        <f t="shared" si="20"/>
        <v>0</v>
      </c>
    </row>
    <row r="70" spans="1:19" s="337" customFormat="1" x14ac:dyDescent="0.15">
      <c r="A70" s="329" t="s">
        <v>173</v>
      </c>
      <c r="B70" s="330">
        <v>1273709</v>
      </c>
      <c r="C70" s="331"/>
      <c r="D70" s="332">
        <v>10.495873735680599</v>
      </c>
      <c r="E70" s="332">
        <v>13368688.84</v>
      </c>
      <c r="F70" s="333"/>
      <c r="G70" s="330">
        <v>1401754</v>
      </c>
      <c r="H70" s="331"/>
      <c r="I70" s="332">
        <v>10.022665728297776</v>
      </c>
      <c r="J70" s="332">
        <v>14049311.775304321</v>
      </c>
      <c r="K70" s="333"/>
      <c r="L70" s="334">
        <f t="shared" si="21"/>
        <v>-128045</v>
      </c>
      <c r="M70" s="335">
        <f t="shared" si="17"/>
        <v>0.47320800738282287</v>
      </c>
      <c r="N70" s="336">
        <f t="shared" si="22"/>
        <v>-9.1346270458297241E-2</v>
      </c>
      <c r="O70" s="336">
        <f t="shared" si="23"/>
        <v>4.7213787250908482E-2</v>
      </c>
      <c r="P70" s="322">
        <f t="shared" si="18"/>
        <v>0.47320800738282287</v>
      </c>
      <c r="Q70" s="322">
        <f>SUM(Q52:Q67)-Q68-Q69</f>
        <v>392093.85445699852</v>
      </c>
      <c r="R70" s="323">
        <f t="shared" si="19"/>
        <v>-128045</v>
      </c>
      <c r="S70" s="322">
        <f>SUM(S52:S67)-S68-S69</f>
        <v>-1072716.7897613167</v>
      </c>
    </row>
    <row r="71" spans="1:19" ht="14.25" thickBot="1" x14ac:dyDescent="0.2">
      <c r="A71" s="187" t="s">
        <v>174</v>
      </c>
      <c r="B71" s="194">
        <v>1273709</v>
      </c>
      <c r="C71" s="195"/>
      <c r="D71" s="196">
        <v>10.495873735680599</v>
      </c>
      <c r="E71" s="196">
        <v>13368688.84</v>
      </c>
      <c r="F71" s="197"/>
      <c r="G71" s="194">
        <v>1402482</v>
      </c>
      <c r="H71" s="195"/>
      <c r="I71" s="196">
        <v>10.021565673791301</v>
      </c>
      <c r="J71" s="196">
        <v>14055065.46931017</v>
      </c>
      <c r="K71" s="197"/>
      <c r="L71" s="320">
        <f t="shared" si="21"/>
        <v>-128773</v>
      </c>
      <c r="M71" s="303">
        <f t="shared" si="17"/>
        <v>0.47430806188929786</v>
      </c>
      <c r="N71" s="321">
        <f t="shared" si="22"/>
        <v>-9.1817934205216181E-2</v>
      </c>
      <c r="O71" s="321">
        <f t="shared" si="23"/>
        <v>4.7328738575223087E-2</v>
      </c>
      <c r="P71" s="322"/>
      <c r="Q71" s="338">
        <f>E70-J70</f>
        <v>-680622.93530432135</v>
      </c>
      <c r="R71" s="323"/>
      <c r="S71" s="322">
        <f>Q70+S70</f>
        <v>-680622.93530431821</v>
      </c>
    </row>
    <row r="72" spans="1:19" x14ac:dyDescent="0.15">
      <c r="A72" s="526" t="s">
        <v>145</v>
      </c>
      <c r="B72" s="527" t="s">
        <v>182</v>
      </c>
      <c r="C72" s="528"/>
      <c r="D72" s="528"/>
      <c r="E72" s="528"/>
      <c r="F72" s="529"/>
      <c r="G72" s="530" t="s">
        <v>207</v>
      </c>
      <c r="H72" s="530"/>
      <c r="I72" s="530"/>
      <c r="J72" s="530"/>
      <c r="K72" s="527"/>
      <c r="L72" s="531" t="s">
        <v>208</v>
      </c>
      <c r="M72" s="532"/>
      <c r="N72" s="532"/>
      <c r="O72" s="533"/>
      <c r="P72" s="524" t="s">
        <v>209</v>
      </c>
      <c r="Q72" s="524" t="s">
        <v>222</v>
      </c>
      <c r="R72" s="524" t="s">
        <v>211</v>
      </c>
      <c r="S72" s="524" t="s">
        <v>223</v>
      </c>
    </row>
    <row r="73" spans="1:19" x14ac:dyDescent="0.15">
      <c r="A73" s="510"/>
      <c r="B73" s="449" t="s">
        <v>224</v>
      </c>
      <c r="C73" s="450"/>
      <c r="D73" s="450"/>
      <c r="E73" s="450"/>
      <c r="F73" s="451"/>
      <c r="G73" s="449" t="s">
        <v>224</v>
      </c>
      <c r="H73" s="450"/>
      <c r="I73" s="450"/>
      <c r="J73" s="450"/>
      <c r="K73" s="525"/>
      <c r="L73" s="508" t="s">
        <v>151</v>
      </c>
      <c r="M73" s="508" t="s">
        <v>153</v>
      </c>
      <c r="N73" s="508" t="s">
        <v>213</v>
      </c>
      <c r="O73" s="508" t="s">
        <v>214</v>
      </c>
      <c r="P73" s="502"/>
      <c r="Q73" s="502"/>
      <c r="R73" s="502"/>
      <c r="S73" s="502" t="s">
        <v>215</v>
      </c>
    </row>
    <row r="74" spans="1:19" x14ac:dyDescent="0.15">
      <c r="A74" s="511"/>
      <c r="B74" s="145" t="s">
        <v>151</v>
      </c>
      <c r="C74" s="141" t="s">
        <v>152</v>
      </c>
      <c r="D74" s="142" t="s">
        <v>153</v>
      </c>
      <c r="E74" s="143" t="s">
        <v>154</v>
      </c>
      <c r="F74" s="144" t="s">
        <v>155</v>
      </c>
      <c r="G74" s="145" t="s">
        <v>151</v>
      </c>
      <c r="H74" s="141" t="s">
        <v>152</v>
      </c>
      <c r="I74" s="142" t="s">
        <v>153</v>
      </c>
      <c r="J74" s="143" t="s">
        <v>154</v>
      </c>
      <c r="K74" s="318" t="s">
        <v>155</v>
      </c>
      <c r="L74" s="508"/>
      <c r="M74" s="508"/>
      <c r="N74" s="508"/>
      <c r="O74" s="508"/>
      <c r="P74" s="503"/>
      <c r="Q74" s="503" t="e">
        <f t="shared" ref="Q74:Q92" si="24">P74*B74</f>
        <v>#VALUE!</v>
      </c>
      <c r="R74" s="503" t="e">
        <f>B74-L74</f>
        <v>#VALUE!</v>
      </c>
      <c r="S74" s="503" t="e">
        <f>R74*N74</f>
        <v>#VALUE!</v>
      </c>
    </row>
    <row r="75" spans="1:19" x14ac:dyDescent="0.15">
      <c r="A75" s="146" t="s">
        <v>156</v>
      </c>
      <c r="B75" s="145"/>
      <c r="C75" s="141"/>
      <c r="D75" s="156"/>
      <c r="E75" s="319"/>
      <c r="F75" s="144"/>
      <c r="G75" s="145">
        <v>3533</v>
      </c>
      <c r="H75" s="141">
        <v>1.7599284272526387E-3</v>
      </c>
      <c r="I75" s="156">
        <v>49.558972730078843</v>
      </c>
      <c r="J75" s="319">
        <v>175091.85065536856</v>
      </c>
      <c r="K75" s="144">
        <v>8.5158505562690206E-3</v>
      </c>
      <c r="L75" s="320">
        <f>B75-G75</f>
        <v>-3533</v>
      </c>
      <c r="M75" s="303">
        <f t="shared" ref="M75:M94" si="25">D75-I75</f>
        <v>-49.558972730078843</v>
      </c>
      <c r="N75" s="321">
        <f>L75/G75</f>
        <v>-1</v>
      </c>
      <c r="O75" s="321">
        <f>M75/I75</f>
        <v>-1</v>
      </c>
      <c r="P75" s="322">
        <f t="shared" ref="P75:P93" si="26">D75-I75</f>
        <v>-49.558972730078843</v>
      </c>
      <c r="Q75" s="322">
        <f t="shared" si="24"/>
        <v>0</v>
      </c>
      <c r="R75" s="323">
        <f t="shared" ref="R75:R93" si="27">B75-G75</f>
        <v>-3533</v>
      </c>
      <c r="S75" s="322">
        <f t="shared" ref="S75:S92" si="28">R75*I75</f>
        <v>-175091.85065536856</v>
      </c>
    </row>
    <row r="76" spans="1:19" x14ac:dyDescent="0.15">
      <c r="A76" s="163" t="s">
        <v>157</v>
      </c>
      <c r="B76" s="166">
        <v>330759</v>
      </c>
      <c r="C76" s="164">
        <v>0.18613965581280179</v>
      </c>
      <c r="D76" s="156">
        <v>19.746001823986873</v>
      </c>
      <c r="E76" s="156">
        <v>6531167.8173000747</v>
      </c>
      <c r="F76" s="160">
        <v>0.3436015315821272</v>
      </c>
      <c r="G76" s="166">
        <v>276632</v>
      </c>
      <c r="H76" s="164">
        <v>0.13780144938798528</v>
      </c>
      <c r="I76" s="156">
        <v>18.942003762590261</v>
      </c>
      <c r="J76" s="156">
        <v>5239964.3848528694</v>
      </c>
      <c r="K76" s="160">
        <v>0.25485340096958398</v>
      </c>
      <c r="L76" s="320">
        <f t="shared" ref="L76:L94" si="29">B76-G76</f>
        <v>54127</v>
      </c>
      <c r="M76" s="303">
        <f t="shared" si="25"/>
        <v>0.80399806139661223</v>
      </c>
      <c r="N76" s="321">
        <f t="shared" ref="N76:N94" si="30">L76/G76</f>
        <v>0.19566427600566819</v>
      </c>
      <c r="O76" s="321">
        <f t="shared" ref="O76:O94" si="31">M76/I76</f>
        <v>4.2445248743138674E-2</v>
      </c>
      <c r="P76" s="322">
        <f t="shared" si="26"/>
        <v>0.80399806139661223</v>
      </c>
      <c r="Q76" s="322">
        <f t="shared" si="24"/>
        <v>265929.59478948207</v>
      </c>
      <c r="R76" s="323">
        <f t="shared" si="27"/>
        <v>54127</v>
      </c>
      <c r="S76" s="322">
        <f t="shared" si="28"/>
        <v>1025273.837657723</v>
      </c>
    </row>
    <row r="77" spans="1:19" x14ac:dyDescent="0.15">
      <c r="A77" s="163" t="s">
        <v>158</v>
      </c>
      <c r="B77" s="166">
        <v>797275</v>
      </c>
      <c r="C77" s="164">
        <v>0.44867862730311658</v>
      </c>
      <c r="D77" s="156">
        <v>7.5446847101714738</v>
      </c>
      <c r="E77" s="156">
        <v>6015188.5023019621</v>
      </c>
      <c r="F77" s="160">
        <v>0.31645611320404932</v>
      </c>
      <c r="G77" s="166">
        <v>805055</v>
      </c>
      <c r="H77" s="164">
        <v>0.40103005377918849</v>
      </c>
      <c r="I77" s="156">
        <v>9.5205806493030494</v>
      </c>
      <c r="J77" s="156">
        <v>7664591.0546246665</v>
      </c>
      <c r="K77" s="160">
        <v>0.37277869730540047</v>
      </c>
      <c r="L77" s="320">
        <f t="shared" si="29"/>
        <v>-7780</v>
      </c>
      <c r="M77" s="324">
        <f t="shared" si="25"/>
        <v>-1.9758959391315756</v>
      </c>
      <c r="N77" s="321">
        <f t="shared" si="30"/>
        <v>-9.663936004372372E-3</v>
      </c>
      <c r="O77" s="321">
        <f t="shared" si="31"/>
        <v>-0.20753943608221209</v>
      </c>
      <c r="P77" s="322">
        <f t="shared" si="26"/>
        <v>-1.9758959391315756</v>
      </c>
      <c r="Q77" s="322">
        <f t="shared" si="24"/>
        <v>-1575332.4348711269</v>
      </c>
      <c r="R77" s="323">
        <f t="shared" si="27"/>
        <v>-7780</v>
      </c>
      <c r="S77" s="322">
        <f t="shared" si="28"/>
        <v>-74070.117451577724</v>
      </c>
    </row>
    <row r="78" spans="1:19" x14ac:dyDescent="0.15">
      <c r="A78" s="163" t="s">
        <v>159</v>
      </c>
      <c r="B78" s="166">
        <v>135533</v>
      </c>
      <c r="C78" s="164">
        <v>7.6273256272018183E-2</v>
      </c>
      <c r="D78" s="156">
        <v>12.985386818749266</v>
      </c>
      <c r="E78" s="156">
        <v>1759948.4317055442</v>
      </c>
      <c r="F78" s="160">
        <v>9.2590022727294413E-2</v>
      </c>
      <c r="G78" s="166">
        <v>14910</v>
      </c>
      <c r="H78" s="164">
        <v>7.4272665865657631E-3</v>
      </c>
      <c r="I78" s="156">
        <v>14.479596920263756</v>
      </c>
      <c r="J78" s="156">
        <v>215890.79008113261</v>
      </c>
      <c r="K78" s="160">
        <v>1.0500167186104276E-2</v>
      </c>
      <c r="L78" s="320">
        <f t="shared" si="29"/>
        <v>120623</v>
      </c>
      <c r="M78" s="324">
        <f t="shared" si="25"/>
        <v>-1.49421010151449</v>
      </c>
      <c r="N78" s="321">
        <f t="shared" si="30"/>
        <v>8.0900737759892696</v>
      </c>
      <c r="O78" s="321">
        <f t="shared" si="31"/>
        <v>-0.10319417796937347</v>
      </c>
      <c r="P78" s="322">
        <f t="shared" si="26"/>
        <v>-1.49421010151449</v>
      </c>
      <c r="Q78" s="322">
        <f t="shared" si="24"/>
        <v>-202514.77768856336</v>
      </c>
      <c r="R78" s="323">
        <f t="shared" si="27"/>
        <v>120623</v>
      </c>
      <c r="S78" s="322">
        <f t="shared" si="28"/>
        <v>1746572.4193129749</v>
      </c>
    </row>
    <row r="79" spans="1:19" x14ac:dyDescent="0.15">
      <c r="A79" s="163" t="s">
        <v>160</v>
      </c>
      <c r="B79" s="325"/>
      <c r="C79" s="148"/>
      <c r="D79" s="157"/>
      <c r="E79" s="157"/>
      <c r="F79" s="158"/>
      <c r="G79" s="325">
        <v>344747</v>
      </c>
      <c r="H79" s="148">
        <v>0.17173225177188378</v>
      </c>
      <c r="I79" s="157">
        <v>8.0970313639679841</v>
      </c>
      <c r="J79" s="157">
        <v>2791427.2716338709</v>
      </c>
      <c r="K79" s="158">
        <v>0.13576518492980444</v>
      </c>
      <c r="L79" s="326">
        <f t="shared" si="29"/>
        <v>-344747</v>
      </c>
      <c r="M79" s="327">
        <f t="shared" si="25"/>
        <v>-8.0970313639679841</v>
      </c>
      <c r="N79" s="328">
        <f t="shared" si="30"/>
        <v>-1</v>
      </c>
      <c r="O79" s="328">
        <f t="shared" si="31"/>
        <v>-1</v>
      </c>
      <c r="P79" s="322">
        <f t="shared" si="26"/>
        <v>-8.0970313639679841</v>
      </c>
      <c r="Q79" s="322">
        <f t="shared" si="24"/>
        <v>0</v>
      </c>
      <c r="R79" s="323">
        <f t="shared" si="27"/>
        <v>-344747</v>
      </c>
      <c r="S79" s="322">
        <f t="shared" si="28"/>
        <v>-2791427.2716338704</v>
      </c>
    </row>
    <row r="80" spans="1:19" x14ac:dyDescent="0.15">
      <c r="A80" s="163" t="s">
        <v>161</v>
      </c>
      <c r="B80" s="166">
        <v>44292</v>
      </c>
      <c r="C80" s="164">
        <v>2.4925996375792091E-2</v>
      </c>
      <c r="D80" s="156">
        <v>5.0091223508793998</v>
      </c>
      <c r="E80" s="156">
        <v>221864.04716515038</v>
      </c>
      <c r="F80" s="160">
        <v>1.1672158569716392E-2</v>
      </c>
      <c r="G80" s="166">
        <v>44740</v>
      </c>
      <c r="H80" s="164">
        <v>2.2286781159151729E-2</v>
      </c>
      <c r="I80" s="156">
        <v>7.0076759224632736</v>
      </c>
      <c r="J80" s="156">
        <v>313523.42077100684</v>
      </c>
      <c r="K80" s="160">
        <v>1.5248674265436359E-2</v>
      </c>
      <c r="L80" s="320">
        <f t="shared" si="29"/>
        <v>-448</v>
      </c>
      <c r="M80" s="324">
        <f t="shared" si="25"/>
        <v>-1.9985535715838738</v>
      </c>
      <c r="N80" s="321">
        <f t="shared" si="30"/>
        <v>-1.0013410818059901E-2</v>
      </c>
      <c r="O80" s="321">
        <f t="shared" si="31"/>
        <v>-0.28519491964196891</v>
      </c>
      <c r="P80" s="322">
        <f t="shared" si="26"/>
        <v>-1.9985535715838738</v>
      </c>
      <c r="Q80" s="322">
        <f t="shared" si="24"/>
        <v>-88519.934792592932</v>
      </c>
      <c r="R80" s="323">
        <f t="shared" si="27"/>
        <v>-448</v>
      </c>
      <c r="S80" s="322">
        <f t="shared" si="28"/>
        <v>-3139.4388132635468</v>
      </c>
    </row>
    <row r="81" spans="1:19" x14ac:dyDescent="0.15">
      <c r="A81" s="169" t="s">
        <v>9</v>
      </c>
      <c r="B81" s="166">
        <v>13952</v>
      </c>
      <c r="C81" s="171">
        <v>7.8517001136785714E-3</v>
      </c>
      <c r="D81" s="156">
        <v>6.9034660689320022</v>
      </c>
      <c r="E81" s="156">
        <v>96317.158593739296</v>
      </c>
      <c r="F81" s="172">
        <v>5.0671984147742394E-3</v>
      </c>
      <c r="G81" s="166">
        <v>11895</v>
      </c>
      <c r="H81" s="171">
        <v>5.9253746510529682E-3</v>
      </c>
      <c r="I81" s="156">
        <v>6.3953261413921885</v>
      </c>
      <c r="J81" s="156">
        <v>76072.404451860086</v>
      </c>
      <c r="K81" s="172">
        <v>3.6998936577761939E-3</v>
      </c>
      <c r="L81" s="320">
        <f t="shared" si="29"/>
        <v>2057</v>
      </c>
      <c r="M81" s="303">
        <f t="shared" si="25"/>
        <v>0.50813992753981374</v>
      </c>
      <c r="N81" s="321">
        <f t="shared" si="30"/>
        <v>0.17292980243799916</v>
      </c>
      <c r="O81" s="321">
        <f t="shared" si="31"/>
        <v>7.9454888821228684E-2</v>
      </c>
      <c r="P81" s="322">
        <f t="shared" si="26"/>
        <v>0.50813992753981374</v>
      </c>
      <c r="Q81" s="322">
        <f t="shared" si="24"/>
        <v>7089.5682690354815</v>
      </c>
      <c r="R81" s="323">
        <f t="shared" si="27"/>
        <v>2057</v>
      </c>
      <c r="S81" s="322">
        <f t="shared" si="28"/>
        <v>13155.185872843731</v>
      </c>
    </row>
    <row r="82" spans="1:19" x14ac:dyDescent="0.15">
      <c r="A82" s="169" t="s">
        <v>162</v>
      </c>
      <c r="B82" s="166"/>
      <c r="C82" s="171"/>
      <c r="D82" s="156"/>
      <c r="E82" s="156"/>
      <c r="F82" s="172"/>
      <c r="G82" s="166">
        <v>8795</v>
      </c>
      <c r="H82" s="171">
        <v>4.3811408201774576E-3</v>
      </c>
      <c r="I82" s="156">
        <v>10.036591986189149</v>
      </c>
      <c r="J82" s="156">
        <v>88271.826518533562</v>
      </c>
      <c r="K82" s="172">
        <v>4.2932305538326779E-3</v>
      </c>
      <c r="L82" s="320">
        <f t="shared" si="29"/>
        <v>-8795</v>
      </c>
      <c r="M82" s="303">
        <f t="shared" si="25"/>
        <v>-10.036591986189149</v>
      </c>
      <c r="N82" s="321">
        <f t="shared" si="30"/>
        <v>-1</v>
      </c>
      <c r="O82" s="321">
        <f t="shared" si="31"/>
        <v>-1</v>
      </c>
      <c r="P82" s="322">
        <f t="shared" si="26"/>
        <v>-10.036591986189149</v>
      </c>
      <c r="Q82" s="322">
        <f t="shared" si="24"/>
        <v>0</v>
      </c>
      <c r="R82" s="323">
        <f t="shared" si="27"/>
        <v>-8795</v>
      </c>
      <c r="S82" s="322">
        <f t="shared" si="28"/>
        <v>-88271.826518533577</v>
      </c>
    </row>
    <row r="83" spans="1:19" x14ac:dyDescent="0.15">
      <c r="A83" s="169" t="s">
        <v>163</v>
      </c>
      <c r="B83" s="166"/>
      <c r="C83" s="171"/>
      <c r="D83" s="156"/>
      <c r="E83" s="156"/>
      <c r="F83" s="172"/>
      <c r="G83" s="166">
        <v>1105</v>
      </c>
      <c r="H83" s="171">
        <v>5.5044463971530306E-4</v>
      </c>
      <c r="I83" s="156">
        <v>4.8908271489757951</v>
      </c>
      <c r="J83" s="156">
        <v>5404.3639996182537</v>
      </c>
      <c r="K83" s="172">
        <v>2.6284921885379734E-4</v>
      </c>
      <c r="L83" s="320">
        <f t="shared" si="29"/>
        <v>-1105</v>
      </c>
      <c r="M83" s="303">
        <f t="shared" si="25"/>
        <v>-4.8908271489757951</v>
      </c>
      <c r="N83" s="321">
        <f t="shared" si="30"/>
        <v>-1</v>
      </c>
      <c r="O83" s="321">
        <f t="shared" si="31"/>
        <v>-1</v>
      </c>
      <c r="P83" s="322">
        <f t="shared" si="26"/>
        <v>-4.8908271489757951</v>
      </c>
      <c r="Q83" s="322">
        <f t="shared" si="24"/>
        <v>0</v>
      </c>
      <c r="R83" s="323">
        <f t="shared" si="27"/>
        <v>-1105</v>
      </c>
      <c r="S83" s="322">
        <f t="shared" si="28"/>
        <v>-5404.3639996182537</v>
      </c>
    </row>
    <row r="84" spans="1:19" x14ac:dyDescent="0.15">
      <c r="A84" s="169" t="s">
        <v>164</v>
      </c>
      <c r="B84" s="166">
        <v>6990</v>
      </c>
      <c r="C84" s="171">
        <v>3.9337287696827126E-3</v>
      </c>
      <c r="D84" s="156">
        <v>3.4523467408853339</v>
      </c>
      <c r="E84" s="156">
        <v>24131.903718788482</v>
      </c>
      <c r="F84" s="172">
        <v>1.2695676040974692E-3</v>
      </c>
      <c r="G84" s="166">
        <v>15018</v>
      </c>
      <c r="H84" s="171">
        <v>7.4810657006736843E-3</v>
      </c>
      <c r="I84" s="156">
        <v>3.6856611136283299</v>
      </c>
      <c r="J84" s="156">
        <v>55351.258604470262</v>
      </c>
      <c r="K84" s="172">
        <v>2.6920901493288078E-3</v>
      </c>
      <c r="L84" s="320">
        <f t="shared" si="29"/>
        <v>-8028</v>
      </c>
      <c r="M84" s="324">
        <f t="shared" si="25"/>
        <v>-0.23331437274299605</v>
      </c>
      <c r="N84" s="321">
        <f t="shared" si="30"/>
        <v>-0.53455852976428286</v>
      </c>
      <c r="O84" s="321">
        <f t="shared" si="31"/>
        <v>-6.330326244056414E-2</v>
      </c>
      <c r="P84" s="322">
        <f t="shared" si="26"/>
        <v>-0.23331437274299605</v>
      </c>
      <c r="Q84" s="322">
        <f t="shared" si="24"/>
        <v>-1630.8674654735423</v>
      </c>
      <c r="R84" s="323">
        <f t="shared" si="27"/>
        <v>-8028</v>
      </c>
      <c r="S84" s="322">
        <f t="shared" si="28"/>
        <v>-29588.487420208232</v>
      </c>
    </row>
    <row r="85" spans="1:19" x14ac:dyDescent="0.15">
      <c r="A85" s="163" t="s">
        <v>165</v>
      </c>
      <c r="B85" s="166">
        <v>121454</v>
      </c>
      <c r="C85" s="164">
        <v>6.8350084977545675E-2</v>
      </c>
      <c r="D85" s="156">
        <v>3.486563753668241</v>
      </c>
      <c r="E85" s="156">
        <v>423457.11413802253</v>
      </c>
      <c r="F85" s="160">
        <v>2.2277870826066259E-2</v>
      </c>
      <c r="G85" s="166">
        <v>146137</v>
      </c>
      <c r="H85" s="164">
        <v>7.2796677207307911E-2</v>
      </c>
      <c r="I85" s="156">
        <v>3.7703693482231713</v>
      </c>
      <c r="J85" s="156">
        <v>550990.46544128959</v>
      </c>
      <c r="K85" s="160">
        <v>2.6798234435608581E-2</v>
      </c>
      <c r="L85" s="320">
        <f t="shared" si="29"/>
        <v>-24683</v>
      </c>
      <c r="M85" s="324">
        <f t="shared" si="25"/>
        <v>-0.28380559455493026</v>
      </c>
      <c r="N85" s="321">
        <f t="shared" si="30"/>
        <v>-0.16890315252126428</v>
      </c>
      <c r="O85" s="321">
        <f t="shared" si="31"/>
        <v>-7.5272624070285538E-2</v>
      </c>
      <c r="P85" s="322">
        <f t="shared" si="26"/>
        <v>-0.28380559455493026</v>
      </c>
      <c r="Q85" s="322">
        <f t="shared" si="24"/>
        <v>-34469.324681074497</v>
      </c>
      <c r="R85" s="323">
        <f t="shared" si="27"/>
        <v>-24683</v>
      </c>
      <c r="S85" s="322">
        <f t="shared" si="28"/>
        <v>-93064.026622192541</v>
      </c>
    </row>
    <row r="86" spans="1:19" x14ac:dyDescent="0.15">
      <c r="A86" s="163" t="s">
        <v>166</v>
      </c>
      <c r="B86" s="166"/>
      <c r="C86" s="164"/>
      <c r="D86" s="156"/>
      <c r="E86" s="156"/>
      <c r="F86" s="160"/>
      <c r="G86" s="166">
        <v>14902</v>
      </c>
      <c r="H86" s="164">
        <v>7.4232814670022141E-3</v>
      </c>
      <c r="I86" s="156">
        <v>4.092488264239198</v>
      </c>
      <c r="J86" s="156">
        <v>60986.260113692522</v>
      </c>
      <c r="K86" s="160">
        <v>2.9661567638358368E-3</v>
      </c>
      <c r="L86" s="320">
        <f t="shared" si="29"/>
        <v>-14902</v>
      </c>
      <c r="M86" s="303">
        <f t="shared" si="25"/>
        <v>-4.092488264239198</v>
      </c>
      <c r="N86" s="321">
        <f t="shared" si="30"/>
        <v>-1</v>
      </c>
      <c r="O86" s="321">
        <f t="shared" si="31"/>
        <v>-1</v>
      </c>
      <c r="P86" s="322">
        <f t="shared" si="26"/>
        <v>-4.092488264239198</v>
      </c>
      <c r="Q86" s="322">
        <f t="shared" si="24"/>
        <v>0</v>
      </c>
      <c r="R86" s="323">
        <f t="shared" si="27"/>
        <v>-14902</v>
      </c>
      <c r="S86" s="322">
        <f t="shared" si="28"/>
        <v>-60986.26011369253</v>
      </c>
    </row>
    <row r="87" spans="1:19" x14ac:dyDescent="0.15">
      <c r="A87" s="163" t="s">
        <v>167</v>
      </c>
      <c r="B87" s="166"/>
      <c r="C87" s="164"/>
      <c r="D87" s="156"/>
      <c r="E87" s="156"/>
      <c r="F87" s="160"/>
      <c r="G87" s="166">
        <v>29805</v>
      </c>
      <c r="H87" s="164">
        <v>1.484706107394987E-2</v>
      </c>
      <c r="I87" s="156">
        <v>3.0807388285362762</v>
      </c>
      <c r="J87" s="156">
        <v>91821.420784523711</v>
      </c>
      <c r="K87" s="160">
        <v>4.4658703094319187E-3</v>
      </c>
      <c r="L87" s="320">
        <f t="shared" si="29"/>
        <v>-29805</v>
      </c>
      <c r="M87" s="303">
        <f t="shared" si="25"/>
        <v>-3.0807388285362762</v>
      </c>
      <c r="N87" s="321">
        <f t="shared" si="30"/>
        <v>-1</v>
      </c>
      <c r="O87" s="321">
        <f t="shared" si="31"/>
        <v>-1</v>
      </c>
      <c r="P87" s="322">
        <f t="shared" si="26"/>
        <v>-3.0807388285362762</v>
      </c>
      <c r="Q87" s="322">
        <f t="shared" si="24"/>
        <v>0</v>
      </c>
      <c r="R87" s="323">
        <f t="shared" si="27"/>
        <v>-29805</v>
      </c>
      <c r="S87" s="322">
        <f t="shared" si="28"/>
        <v>-91821.420784523711</v>
      </c>
    </row>
    <row r="88" spans="1:19" x14ac:dyDescent="0.15">
      <c r="A88" s="163" t="s">
        <v>168</v>
      </c>
      <c r="B88" s="166">
        <v>2285</v>
      </c>
      <c r="C88" s="164">
        <v>1.2859184890879826E-3</v>
      </c>
      <c r="D88" s="156">
        <v>1.5128424843405359</v>
      </c>
      <c r="E88" s="156">
        <v>3456.8450767181248</v>
      </c>
      <c r="F88" s="160">
        <v>1.8186292191975858E-4</v>
      </c>
      <c r="G88" s="166">
        <v>18939</v>
      </c>
      <c r="H88" s="164">
        <v>9.4342724267584832E-3</v>
      </c>
      <c r="I88" s="156">
        <v>3.4550877436645919</v>
      </c>
      <c r="J88" s="156">
        <v>65435.906777263706</v>
      </c>
      <c r="K88" s="160">
        <v>3.1825718960840914E-3</v>
      </c>
      <c r="L88" s="320">
        <f t="shared" si="29"/>
        <v>-16654</v>
      </c>
      <c r="M88" s="303">
        <f t="shared" si="25"/>
        <v>-1.942245259324056</v>
      </c>
      <c r="N88" s="321">
        <f t="shared" si="30"/>
        <v>-0.87934949046940181</v>
      </c>
      <c r="O88" s="321">
        <f t="shared" si="31"/>
        <v>-0.56214064690121013</v>
      </c>
      <c r="P88" s="322">
        <f t="shared" si="26"/>
        <v>-1.942245259324056</v>
      </c>
      <c r="Q88" s="322">
        <f t="shared" si="24"/>
        <v>-4438.0304175554684</v>
      </c>
      <c r="R88" s="323">
        <f t="shared" si="27"/>
        <v>-16654</v>
      </c>
      <c r="S88" s="322">
        <f t="shared" si="28"/>
        <v>-57541.031282990116</v>
      </c>
    </row>
    <row r="89" spans="1:19" x14ac:dyDescent="0.15">
      <c r="A89" s="169" t="s">
        <v>169</v>
      </c>
      <c r="B89" s="166">
        <v>324400</v>
      </c>
      <c r="C89" s="171">
        <v>0.1825610318862764</v>
      </c>
      <c r="D89" s="156">
        <v>12.122191122071518</v>
      </c>
      <c r="E89" s="174">
        <v>3932438.8000000003</v>
      </c>
      <c r="F89" s="172">
        <v>0.20688367414995515</v>
      </c>
      <c r="G89" s="166">
        <v>271255</v>
      </c>
      <c r="H89" s="171">
        <v>0.13512295090133442</v>
      </c>
      <c r="I89" s="156">
        <v>11.671222908333489</v>
      </c>
      <c r="J89" s="174">
        <v>3165877.5700000003</v>
      </c>
      <c r="K89" s="172">
        <v>0.15397712780264958</v>
      </c>
      <c r="L89" s="320">
        <f t="shared" si="29"/>
        <v>53145</v>
      </c>
      <c r="M89" s="324">
        <f t="shared" si="25"/>
        <v>0.45096821373802953</v>
      </c>
      <c r="N89" s="321">
        <f t="shared" si="30"/>
        <v>0.19592265580357965</v>
      </c>
      <c r="O89" s="321">
        <f t="shared" si="31"/>
        <v>3.8639328310320346E-2</v>
      </c>
      <c r="P89" s="322">
        <f t="shared" si="26"/>
        <v>0.45096821373802953</v>
      </c>
      <c r="Q89" s="322">
        <f t="shared" si="24"/>
        <v>146294.08853661679</v>
      </c>
      <c r="R89" s="323">
        <f t="shared" si="27"/>
        <v>53145</v>
      </c>
      <c r="S89" s="322">
        <f t="shared" si="28"/>
        <v>620267.14146338322</v>
      </c>
    </row>
    <row r="90" spans="1:19" x14ac:dyDescent="0.15">
      <c r="A90" s="169" t="s">
        <v>170</v>
      </c>
      <c r="B90" s="166"/>
      <c r="C90" s="171"/>
      <c r="D90" s="156"/>
      <c r="E90" s="174"/>
      <c r="F90" s="172"/>
      <c r="G90" s="166"/>
      <c r="H90" s="171"/>
      <c r="I90" s="156"/>
      <c r="J90" s="174"/>
      <c r="K90" s="172"/>
      <c r="L90" s="320">
        <f t="shared" si="29"/>
        <v>0</v>
      </c>
      <c r="M90" s="303">
        <f t="shared" si="25"/>
        <v>0</v>
      </c>
      <c r="N90" s="321" t="e">
        <f t="shared" si="30"/>
        <v>#DIV/0!</v>
      </c>
      <c r="O90" s="321" t="e">
        <f t="shared" si="31"/>
        <v>#DIV/0!</v>
      </c>
      <c r="P90" s="322">
        <f t="shared" si="26"/>
        <v>0</v>
      </c>
      <c r="Q90" s="322">
        <f t="shared" si="24"/>
        <v>0</v>
      </c>
      <c r="R90" s="323">
        <f t="shared" si="27"/>
        <v>0</v>
      </c>
      <c r="S90" s="322">
        <f t="shared" si="28"/>
        <v>0</v>
      </c>
    </row>
    <row r="91" spans="1:19" x14ac:dyDescent="0.15">
      <c r="A91" s="175" t="s">
        <v>171</v>
      </c>
      <c r="B91" s="166"/>
      <c r="C91" s="164"/>
      <c r="D91" s="156"/>
      <c r="E91" s="156"/>
      <c r="F91" s="160"/>
      <c r="G91" s="166">
        <v>823</v>
      </c>
      <c r="H91" s="164">
        <v>4.0996917510017594E-4</v>
      </c>
      <c r="I91" s="156">
        <v>6.9911227288574169</v>
      </c>
      <c r="J91" s="156">
        <v>5753.6940058496539</v>
      </c>
      <c r="K91" s="160">
        <v>2.7983939924627307E-4</v>
      </c>
      <c r="L91" s="320">
        <f t="shared" si="29"/>
        <v>-823</v>
      </c>
      <c r="M91" s="303">
        <f t="shared" si="25"/>
        <v>-6.9911227288574169</v>
      </c>
      <c r="N91" s="321">
        <f t="shared" si="30"/>
        <v>-1</v>
      </c>
      <c r="O91" s="321">
        <f t="shared" si="31"/>
        <v>-1</v>
      </c>
      <c r="P91" s="322">
        <f t="shared" si="26"/>
        <v>-6.9911227288574169</v>
      </c>
      <c r="Q91" s="322">
        <f t="shared" si="24"/>
        <v>0</v>
      </c>
      <c r="R91" s="323">
        <f t="shared" si="27"/>
        <v>-823</v>
      </c>
      <c r="S91" s="322">
        <f t="shared" si="28"/>
        <v>-5753.6940058496539</v>
      </c>
    </row>
    <row r="92" spans="1:19" x14ac:dyDescent="0.15">
      <c r="A92" s="175" t="s">
        <v>172</v>
      </c>
      <c r="B92" s="166"/>
      <c r="C92" s="164"/>
      <c r="D92" s="156"/>
      <c r="E92" s="156"/>
      <c r="F92" s="160"/>
      <c r="G92" s="166"/>
      <c r="H92" s="164"/>
      <c r="I92" s="156"/>
      <c r="J92" s="156"/>
      <c r="K92" s="160"/>
      <c r="L92" s="320">
        <f t="shared" si="29"/>
        <v>0</v>
      </c>
      <c r="M92" s="303">
        <f t="shared" si="25"/>
        <v>0</v>
      </c>
      <c r="N92" s="321" t="e">
        <f t="shared" si="30"/>
        <v>#DIV/0!</v>
      </c>
      <c r="O92" s="321" t="e">
        <f t="shared" si="31"/>
        <v>#DIV/0!</v>
      </c>
      <c r="P92" s="322">
        <f t="shared" si="26"/>
        <v>0</v>
      </c>
      <c r="Q92" s="322">
        <f t="shared" si="24"/>
        <v>0</v>
      </c>
      <c r="R92" s="323">
        <f t="shared" si="27"/>
        <v>0</v>
      </c>
      <c r="S92" s="322">
        <f t="shared" si="28"/>
        <v>0</v>
      </c>
    </row>
    <row r="93" spans="1:19" s="337" customFormat="1" x14ac:dyDescent="0.15">
      <c r="A93" s="329" t="s">
        <v>173</v>
      </c>
      <c r="B93" s="330">
        <v>1776940</v>
      </c>
      <c r="C93" s="331"/>
      <c r="D93" s="332">
        <v>10.697024446520421</v>
      </c>
      <c r="E93" s="332">
        <v>19007970.619999997</v>
      </c>
      <c r="F93" s="333"/>
      <c r="G93" s="330">
        <v>2006645</v>
      </c>
      <c r="H93" s="331"/>
      <c r="I93" s="332">
        <v>10.24343945007927</v>
      </c>
      <c r="J93" s="332">
        <v>20554946.555304319</v>
      </c>
      <c r="K93" s="333"/>
      <c r="L93" s="334">
        <f t="shared" si="29"/>
        <v>-229705</v>
      </c>
      <c r="M93" s="335">
        <f t="shared" si="25"/>
        <v>0.45358499644115113</v>
      </c>
      <c r="N93" s="336">
        <f t="shared" si="30"/>
        <v>-0.11447216622770844</v>
      </c>
      <c r="O93" s="336">
        <f t="shared" si="31"/>
        <v>4.4280536693916905E-2</v>
      </c>
      <c r="P93" s="322">
        <f t="shared" si="26"/>
        <v>0.45358499644115113</v>
      </c>
      <c r="Q93" s="322">
        <f>SUM(Q75:Q90)-Q91-Q92</f>
        <v>-1487592.1183212521</v>
      </c>
      <c r="R93" s="323">
        <f t="shared" si="27"/>
        <v>-229705</v>
      </c>
      <c r="S93" s="322">
        <f>SUM(S75:S90)-S91-S92</f>
        <v>-59383.816983064753</v>
      </c>
    </row>
    <row r="94" spans="1:19" ht="14.25" thickBot="1" x14ac:dyDescent="0.2">
      <c r="A94" s="339" t="s">
        <v>174</v>
      </c>
      <c r="B94" s="194">
        <v>1776940</v>
      </c>
      <c r="C94" s="195"/>
      <c r="D94" s="196">
        <v>10.697024446520421</v>
      </c>
      <c r="E94" s="196">
        <v>19007970.619999997</v>
      </c>
      <c r="F94" s="197"/>
      <c r="G94" s="194">
        <v>2007468</v>
      </c>
      <c r="H94" s="195"/>
      <c r="I94" s="196">
        <v>10.242106100475906</v>
      </c>
      <c r="J94" s="196">
        <v>20560700.249310166</v>
      </c>
      <c r="K94" s="197"/>
      <c r="L94" s="340">
        <f t="shared" si="29"/>
        <v>-230528</v>
      </c>
      <c r="M94" s="341">
        <f t="shared" si="25"/>
        <v>0.45491834604451498</v>
      </c>
      <c r="N94" s="342">
        <f t="shared" si="30"/>
        <v>-0.11483520534324831</v>
      </c>
      <c r="O94" s="342">
        <f t="shared" si="31"/>
        <v>4.4416484420462789E-2</v>
      </c>
      <c r="P94" s="343"/>
      <c r="Q94" s="344">
        <f>E93-J93</f>
        <v>-1546975.9353043213</v>
      </c>
      <c r="R94" s="345"/>
      <c r="S94" s="343">
        <f>Q93+S93</f>
        <v>-1546975.9353043167</v>
      </c>
    </row>
    <row r="95" spans="1:19" x14ac:dyDescent="0.15">
      <c r="A95" s="509" t="s">
        <v>145</v>
      </c>
      <c r="B95" s="512" t="s">
        <v>182</v>
      </c>
      <c r="C95" s="513"/>
      <c r="D95" s="513"/>
      <c r="E95" s="513"/>
      <c r="F95" s="514"/>
      <c r="G95" s="515" t="s">
        <v>207</v>
      </c>
      <c r="H95" s="516"/>
      <c r="I95" s="516"/>
      <c r="J95" s="516"/>
      <c r="K95" s="517"/>
      <c r="L95" s="518" t="s">
        <v>208</v>
      </c>
      <c r="M95" s="519"/>
      <c r="N95" s="519"/>
      <c r="O95" s="520"/>
      <c r="P95" s="501" t="s">
        <v>209</v>
      </c>
      <c r="Q95" s="501" t="s">
        <v>225</v>
      </c>
      <c r="R95" s="501" t="s">
        <v>211</v>
      </c>
      <c r="S95" s="504" t="s">
        <v>226</v>
      </c>
    </row>
    <row r="96" spans="1:19" x14ac:dyDescent="0.15">
      <c r="A96" s="510"/>
      <c r="B96" s="449" t="s">
        <v>227</v>
      </c>
      <c r="C96" s="450"/>
      <c r="D96" s="450"/>
      <c r="E96" s="450"/>
      <c r="F96" s="451"/>
      <c r="G96" s="521" t="s">
        <v>227</v>
      </c>
      <c r="H96" s="522"/>
      <c r="I96" s="522"/>
      <c r="J96" s="522"/>
      <c r="K96" s="523"/>
      <c r="L96" s="507" t="s">
        <v>151</v>
      </c>
      <c r="M96" s="508" t="s">
        <v>153</v>
      </c>
      <c r="N96" s="508" t="s">
        <v>213</v>
      </c>
      <c r="O96" s="508" t="s">
        <v>214</v>
      </c>
      <c r="P96" s="502"/>
      <c r="Q96" s="502"/>
      <c r="R96" s="502"/>
      <c r="S96" s="505" t="s">
        <v>215</v>
      </c>
    </row>
    <row r="97" spans="1:19" x14ac:dyDescent="0.15">
      <c r="A97" s="511"/>
      <c r="B97" s="145" t="s">
        <v>151</v>
      </c>
      <c r="C97" s="141" t="s">
        <v>152</v>
      </c>
      <c r="D97" s="142" t="s">
        <v>153</v>
      </c>
      <c r="E97" s="143" t="s">
        <v>154</v>
      </c>
      <c r="F97" s="144" t="s">
        <v>155</v>
      </c>
      <c r="G97" s="145" t="s">
        <v>151</v>
      </c>
      <c r="H97" s="141" t="s">
        <v>152</v>
      </c>
      <c r="I97" s="142" t="s">
        <v>153</v>
      </c>
      <c r="J97" s="143" t="s">
        <v>154</v>
      </c>
      <c r="K97" s="144" t="s">
        <v>155</v>
      </c>
      <c r="L97" s="507"/>
      <c r="M97" s="508"/>
      <c r="N97" s="508"/>
      <c r="O97" s="508"/>
      <c r="P97" s="503"/>
      <c r="Q97" s="503" t="e">
        <f t="shared" ref="Q97:Q115" si="32">P97*B97</f>
        <v>#VALUE!</v>
      </c>
      <c r="R97" s="503" t="e">
        <f>B97-L97</f>
        <v>#VALUE!</v>
      </c>
      <c r="S97" s="506" t="e">
        <f>R97*N97</f>
        <v>#VALUE!</v>
      </c>
    </row>
    <row r="98" spans="1:19" x14ac:dyDescent="0.15">
      <c r="A98" s="346" t="s">
        <v>156</v>
      </c>
      <c r="B98" s="347"/>
      <c r="C98" s="127"/>
      <c r="D98" s="127"/>
      <c r="E98" s="127"/>
      <c r="F98" s="348"/>
      <c r="G98" s="166">
        <v>4433</v>
      </c>
      <c r="H98" s="164">
        <v>1.7078876438778798E-3</v>
      </c>
      <c r="I98" s="149">
        <v>49.359469017649566</v>
      </c>
      <c r="J98" s="149">
        <v>218810.52615524051</v>
      </c>
      <c r="K98" s="160">
        <v>8.1191378156872263E-3</v>
      </c>
      <c r="L98" s="349">
        <f>B98-G98</f>
        <v>-4433</v>
      </c>
      <c r="M98" s="303">
        <f t="shared" ref="M98:M117" si="33">D98-I98</f>
        <v>-49.359469017649566</v>
      </c>
      <c r="N98" s="321">
        <f>L98/G98</f>
        <v>-1</v>
      </c>
      <c r="O98" s="321">
        <f>M98/I98</f>
        <v>-1</v>
      </c>
      <c r="P98" s="322">
        <f t="shared" ref="P98:P116" si="34">D98-I98</f>
        <v>-49.359469017649566</v>
      </c>
      <c r="Q98" s="322">
        <f t="shared" si="32"/>
        <v>0</v>
      </c>
      <c r="R98" s="323">
        <f t="shared" ref="R98:R116" si="35">B98-G98</f>
        <v>-4433</v>
      </c>
      <c r="S98" s="350">
        <f t="shared" ref="S98:S115" si="36">R98*I98</f>
        <v>-218810.52615524051</v>
      </c>
    </row>
    <row r="99" spans="1:19" x14ac:dyDescent="0.15">
      <c r="A99" s="351" t="s">
        <v>228</v>
      </c>
      <c r="B99" s="166">
        <v>449383</v>
      </c>
      <c r="C99" s="164">
        <v>0.195131006291411</v>
      </c>
      <c r="D99" s="149">
        <v>19.847868825388499</v>
      </c>
      <c r="E99" s="149">
        <v>8919294.8363595605</v>
      </c>
      <c r="F99" s="209">
        <v>0.35606974455455026</v>
      </c>
      <c r="G99" s="166">
        <v>369311</v>
      </c>
      <c r="H99" s="164">
        <v>0.14228326046654266</v>
      </c>
      <c r="I99" s="149">
        <v>19.028249562267071</v>
      </c>
      <c r="J99" s="149">
        <v>7027341.8740904145</v>
      </c>
      <c r="K99" s="160">
        <v>0.26075508411880549</v>
      </c>
      <c r="L99" s="349">
        <f t="shared" ref="L99:L117" si="37">B99-G99</f>
        <v>80072</v>
      </c>
      <c r="M99" s="303">
        <f t="shared" si="33"/>
        <v>0.81961926312142808</v>
      </c>
      <c r="N99" s="321">
        <f t="shared" ref="N99:N117" si="38">L99/G99</f>
        <v>0.21681455467072466</v>
      </c>
      <c r="O99" s="321">
        <f t="shared" ref="O99:O117" si="39">M99/I99</f>
        <v>4.3073812987334856E-2</v>
      </c>
      <c r="P99" s="322">
        <f t="shared" si="34"/>
        <v>0.81961926312142808</v>
      </c>
      <c r="Q99" s="322">
        <f t="shared" si="32"/>
        <v>368322.96331929672</v>
      </c>
      <c r="R99" s="323">
        <f t="shared" si="35"/>
        <v>80072</v>
      </c>
      <c r="S99" s="350">
        <f t="shared" si="36"/>
        <v>1523629.9989498488</v>
      </c>
    </row>
    <row r="100" spans="1:19" x14ac:dyDescent="0.15">
      <c r="A100" s="351" t="s">
        <v>229</v>
      </c>
      <c r="B100" s="166">
        <v>1032518</v>
      </c>
      <c r="C100" s="164">
        <v>0.44833978222139043</v>
      </c>
      <c r="D100" s="149">
        <v>7.6107900084699684</v>
      </c>
      <c r="E100" s="149">
        <v>7858277.6779653952</v>
      </c>
      <c r="F100" s="209">
        <v>0.31371257221203314</v>
      </c>
      <c r="G100" s="166">
        <v>1033680</v>
      </c>
      <c r="H100" s="164">
        <v>0.39824256704797806</v>
      </c>
      <c r="I100" s="149">
        <v>9.5895445033713962</v>
      </c>
      <c r="J100" s="149">
        <v>9912520.362244945</v>
      </c>
      <c r="K100" s="160">
        <v>0.36781191625476584</v>
      </c>
      <c r="L100" s="349">
        <f t="shared" si="37"/>
        <v>-1162</v>
      </c>
      <c r="M100" s="324">
        <f t="shared" si="33"/>
        <v>-1.9787544949014277</v>
      </c>
      <c r="N100" s="321">
        <f t="shared" si="38"/>
        <v>-1.1241389985295256E-3</v>
      </c>
      <c r="O100" s="321">
        <f t="shared" si="39"/>
        <v>-0.2063449931543419</v>
      </c>
      <c r="P100" s="322">
        <f t="shared" si="34"/>
        <v>-1.9787544949014277</v>
      </c>
      <c r="Q100" s="322">
        <f t="shared" si="32"/>
        <v>-2043099.6335666324</v>
      </c>
      <c r="R100" s="323">
        <f t="shared" si="35"/>
        <v>-1162</v>
      </c>
      <c r="S100" s="350">
        <f t="shared" si="36"/>
        <v>-11143.050712917562</v>
      </c>
    </row>
    <row r="101" spans="1:19" x14ac:dyDescent="0.15">
      <c r="A101" s="351" t="s">
        <v>159</v>
      </c>
      <c r="B101" s="166">
        <v>174626</v>
      </c>
      <c r="C101" s="164">
        <v>7.5826070644959734E-2</v>
      </c>
      <c r="D101" s="149">
        <v>13.034005235290362</v>
      </c>
      <c r="E101" s="149">
        <v>2276076.1982178148</v>
      </c>
      <c r="F101" s="209">
        <v>9.0863895112238913E-2</v>
      </c>
      <c r="G101" s="166">
        <v>38466</v>
      </c>
      <c r="H101" s="164">
        <v>1.4819672030093959E-2</v>
      </c>
      <c r="I101" s="149">
        <v>13.498813780740353</v>
      </c>
      <c r="J101" s="149">
        <v>519245.3708899584</v>
      </c>
      <c r="K101" s="160">
        <v>1.9267010598119853E-2</v>
      </c>
      <c r="L101" s="349">
        <f t="shared" si="37"/>
        <v>136160</v>
      </c>
      <c r="M101" s="324">
        <f t="shared" si="33"/>
        <v>-0.46480854544999062</v>
      </c>
      <c r="N101" s="321">
        <f t="shared" si="38"/>
        <v>3.5397493890708676</v>
      </c>
      <c r="O101" s="321">
        <f t="shared" si="39"/>
        <v>-3.443328821330683E-2</v>
      </c>
      <c r="P101" s="322">
        <f t="shared" si="34"/>
        <v>-0.46480854544999062</v>
      </c>
      <c r="Q101" s="322">
        <f t="shared" si="32"/>
        <v>-81167.657057750068</v>
      </c>
      <c r="R101" s="323">
        <f t="shared" si="35"/>
        <v>136160</v>
      </c>
      <c r="S101" s="350">
        <f t="shared" si="36"/>
        <v>1837998.4843856064</v>
      </c>
    </row>
    <row r="102" spans="1:19" x14ac:dyDescent="0.15">
      <c r="A102" s="351" t="s">
        <v>230</v>
      </c>
      <c r="B102" s="166"/>
      <c r="C102" s="164"/>
      <c r="D102" s="149"/>
      <c r="E102" s="149"/>
      <c r="F102" s="209"/>
      <c r="G102" s="166">
        <v>436779</v>
      </c>
      <c r="H102" s="164">
        <v>0.16827643970343703</v>
      </c>
      <c r="I102" s="149">
        <v>8.1734932048320754</v>
      </c>
      <c r="J102" s="149">
        <v>3570010.1885133493</v>
      </c>
      <c r="K102" s="160">
        <v>0.13246805459159222</v>
      </c>
      <c r="L102" s="352">
        <f t="shared" si="37"/>
        <v>-436779</v>
      </c>
      <c r="M102" s="327">
        <f t="shared" si="33"/>
        <v>-8.1734932048320754</v>
      </c>
      <c r="N102" s="328">
        <f t="shared" si="38"/>
        <v>-1</v>
      </c>
      <c r="O102" s="328">
        <f t="shared" si="39"/>
        <v>-1</v>
      </c>
      <c r="P102" s="322">
        <f t="shared" si="34"/>
        <v>-8.1734932048320754</v>
      </c>
      <c r="Q102" s="322">
        <f t="shared" si="32"/>
        <v>0</v>
      </c>
      <c r="R102" s="323">
        <f t="shared" si="35"/>
        <v>-436779</v>
      </c>
      <c r="S102" s="350">
        <f t="shared" si="36"/>
        <v>-3570010.1885133493</v>
      </c>
    </row>
    <row r="103" spans="1:19" x14ac:dyDescent="0.15">
      <c r="A103" s="351" t="s">
        <v>231</v>
      </c>
      <c r="B103" s="166">
        <v>55224</v>
      </c>
      <c r="C103" s="164">
        <v>2.397935545278055E-2</v>
      </c>
      <c r="D103" s="149">
        <v>5.0499016582518124</v>
      </c>
      <c r="E103" s="149">
        <v>278875.7691752981</v>
      </c>
      <c r="F103" s="209">
        <v>1.1133080104932537E-2</v>
      </c>
      <c r="G103" s="166">
        <v>55754</v>
      </c>
      <c r="H103" s="164">
        <v>2.1480164154470405E-2</v>
      </c>
      <c r="I103" s="149">
        <v>7.0625554875712497</v>
      </c>
      <c r="J103" s="149">
        <v>393765.71865404746</v>
      </c>
      <c r="K103" s="160">
        <v>1.4610988753699702E-2</v>
      </c>
      <c r="L103" s="349">
        <f t="shared" si="37"/>
        <v>-530</v>
      </c>
      <c r="M103" s="324">
        <f t="shared" si="33"/>
        <v>-2.0126538293194374</v>
      </c>
      <c r="N103" s="321">
        <f t="shared" si="38"/>
        <v>-9.5060444093697308E-3</v>
      </c>
      <c r="O103" s="321">
        <f t="shared" si="39"/>
        <v>-0.28497529440459962</v>
      </c>
      <c r="P103" s="322">
        <f t="shared" si="34"/>
        <v>-2.0126538293194374</v>
      </c>
      <c r="Q103" s="322">
        <f t="shared" si="32"/>
        <v>-111146.79507033661</v>
      </c>
      <c r="R103" s="323">
        <f t="shared" si="35"/>
        <v>-530</v>
      </c>
      <c r="S103" s="350">
        <f t="shared" si="36"/>
        <v>-3743.1544084127622</v>
      </c>
    </row>
    <row r="104" spans="1:19" x14ac:dyDescent="0.15">
      <c r="A104" s="353" t="s">
        <v>9</v>
      </c>
      <c r="B104" s="166">
        <v>18571</v>
      </c>
      <c r="C104" s="171">
        <v>8.0638963152540113E-3</v>
      </c>
      <c r="D104" s="149">
        <v>7.0442957158879995</v>
      </c>
      <c r="E104" s="149">
        <v>130819.61573975603</v>
      </c>
      <c r="F104" s="225">
        <v>5.2224876533167172E-3</v>
      </c>
      <c r="G104" s="166">
        <v>14573</v>
      </c>
      <c r="H104" s="171">
        <v>5.6144928116923848E-3</v>
      </c>
      <c r="I104" s="149">
        <v>6.4315771868254643</v>
      </c>
      <c r="J104" s="149">
        <v>93727.374343607487</v>
      </c>
      <c r="K104" s="172">
        <v>3.4778284334381444E-3</v>
      </c>
      <c r="L104" s="349">
        <f t="shared" si="37"/>
        <v>3998</v>
      </c>
      <c r="M104" s="303">
        <f t="shared" si="33"/>
        <v>0.61271852906253521</v>
      </c>
      <c r="N104" s="321">
        <f t="shared" si="38"/>
        <v>0.27434296301379263</v>
      </c>
      <c r="O104" s="321">
        <f t="shared" si="39"/>
        <v>9.5267227814296737E-2</v>
      </c>
      <c r="P104" s="322">
        <f t="shared" si="34"/>
        <v>0.61271852906253521</v>
      </c>
      <c r="Q104" s="322">
        <f t="shared" si="32"/>
        <v>11378.795803220341</v>
      </c>
      <c r="R104" s="323">
        <f t="shared" si="35"/>
        <v>3998</v>
      </c>
      <c r="S104" s="350">
        <f t="shared" si="36"/>
        <v>25713.445592928205</v>
      </c>
    </row>
    <row r="105" spans="1:19" x14ac:dyDescent="0.15">
      <c r="A105" s="353" t="s">
        <v>162</v>
      </c>
      <c r="B105" s="166"/>
      <c r="C105" s="171"/>
      <c r="D105" s="149"/>
      <c r="E105" s="149"/>
      <c r="F105" s="225"/>
      <c r="G105" s="166">
        <v>10604</v>
      </c>
      <c r="H105" s="171">
        <v>4.0853689545862926E-3</v>
      </c>
      <c r="I105" s="149">
        <v>10.116576652537885</v>
      </c>
      <c r="J105" s="149">
        <v>107276.17882351173</v>
      </c>
      <c r="K105" s="172">
        <v>3.9805675508976833E-3</v>
      </c>
      <c r="L105" s="349">
        <f t="shared" si="37"/>
        <v>-10604</v>
      </c>
      <c r="M105" s="303">
        <f t="shared" si="33"/>
        <v>-10.116576652537885</v>
      </c>
      <c r="N105" s="321">
        <f t="shared" si="38"/>
        <v>-1</v>
      </c>
      <c r="O105" s="321">
        <f t="shared" si="39"/>
        <v>-1</v>
      </c>
      <c r="P105" s="322">
        <f t="shared" si="34"/>
        <v>-10.116576652537885</v>
      </c>
      <c r="Q105" s="322">
        <f t="shared" si="32"/>
        <v>0</v>
      </c>
      <c r="R105" s="323">
        <f t="shared" si="35"/>
        <v>-10604</v>
      </c>
      <c r="S105" s="350">
        <f t="shared" si="36"/>
        <v>-107276.17882351174</v>
      </c>
    </row>
    <row r="106" spans="1:19" x14ac:dyDescent="0.15">
      <c r="A106" s="353" t="s">
        <v>163</v>
      </c>
      <c r="B106" s="166"/>
      <c r="C106" s="171"/>
      <c r="D106" s="149"/>
      <c r="E106" s="149"/>
      <c r="F106" s="225"/>
      <c r="G106" s="166">
        <v>1175</v>
      </c>
      <c r="H106" s="171">
        <v>4.5268846865700624E-4</v>
      </c>
      <c r="I106" s="149">
        <v>4.9598824249188542</v>
      </c>
      <c r="J106" s="149">
        <v>5827.8618492796541</v>
      </c>
      <c r="K106" s="172">
        <v>2.1624742811283661E-4</v>
      </c>
      <c r="L106" s="349">
        <f t="shared" si="37"/>
        <v>-1175</v>
      </c>
      <c r="M106" s="303">
        <f t="shared" si="33"/>
        <v>-4.9598824249188542</v>
      </c>
      <c r="N106" s="321">
        <f t="shared" si="38"/>
        <v>-1</v>
      </c>
      <c r="O106" s="321">
        <f t="shared" si="39"/>
        <v>-1</v>
      </c>
      <c r="P106" s="322">
        <f t="shared" si="34"/>
        <v>-4.9598824249188542</v>
      </c>
      <c r="Q106" s="322">
        <f t="shared" si="32"/>
        <v>0</v>
      </c>
      <c r="R106" s="323">
        <f t="shared" si="35"/>
        <v>-1175</v>
      </c>
      <c r="S106" s="350">
        <f t="shared" si="36"/>
        <v>-5827.8618492796541</v>
      </c>
    </row>
    <row r="107" spans="1:19" x14ac:dyDescent="0.15">
      <c r="A107" s="353" t="s">
        <v>164</v>
      </c>
      <c r="B107" s="166">
        <v>6990</v>
      </c>
      <c r="C107" s="171">
        <v>3.0351965561157472E-3</v>
      </c>
      <c r="D107" s="149">
        <v>3.4523467408853339</v>
      </c>
      <c r="E107" s="149">
        <v>24131.903718788482</v>
      </c>
      <c r="F107" s="225">
        <v>9.6337669629846339E-4</v>
      </c>
      <c r="G107" s="166">
        <v>18866</v>
      </c>
      <c r="H107" s="171">
        <v>7.2684431061132591E-3</v>
      </c>
      <c r="I107" s="149">
        <v>3.7046498584135823</v>
      </c>
      <c r="J107" s="149">
        <v>69891.924228830641</v>
      </c>
      <c r="K107" s="172">
        <v>2.5933951852702237E-3</v>
      </c>
      <c r="L107" s="349">
        <f t="shared" si="37"/>
        <v>-11876</v>
      </c>
      <c r="M107" s="324">
        <f t="shared" si="33"/>
        <v>-0.25230311752824841</v>
      </c>
      <c r="N107" s="321">
        <f t="shared" si="38"/>
        <v>-0.62949220820523688</v>
      </c>
      <c r="O107" s="321">
        <f t="shared" si="39"/>
        <v>-6.8104443650793628E-2</v>
      </c>
      <c r="P107" s="322">
        <f t="shared" si="34"/>
        <v>-0.25230311752824841</v>
      </c>
      <c r="Q107" s="322">
        <f t="shared" si="32"/>
        <v>-1763.5987915224564</v>
      </c>
      <c r="R107" s="323">
        <f t="shared" si="35"/>
        <v>-11876</v>
      </c>
      <c r="S107" s="350">
        <f t="shared" si="36"/>
        <v>-43996.421718519705</v>
      </c>
    </row>
    <row r="108" spans="1:19" x14ac:dyDescent="0.15">
      <c r="A108" s="351" t="s">
        <v>232</v>
      </c>
      <c r="B108" s="166">
        <v>149084</v>
      </c>
      <c r="C108" s="164">
        <v>6.4735227950208876E-2</v>
      </c>
      <c r="D108" s="149">
        <v>3.5283067515405295</v>
      </c>
      <c r="E108" s="149">
        <v>526014.0837466683</v>
      </c>
      <c r="F108" s="209">
        <v>2.0999160120624309E-2</v>
      </c>
      <c r="G108" s="166">
        <v>185374</v>
      </c>
      <c r="H108" s="164">
        <v>7.1418444416020313E-2</v>
      </c>
      <c r="I108" s="149">
        <v>3.8298983458606117</v>
      </c>
      <c r="J108" s="149">
        <v>709963.57596556505</v>
      </c>
      <c r="K108" s="160">
        <v>2.6343760598121001E-2</v>
      </c>
      <c r="L108" s="349">
        <f t="shared" si="37"/>
        <v>-36290</v>
      </c>
      <c r="M108" s="324">
        <f t="shared" si="33"/>
        <v>-0.3015915943200822</v>
      </c>
      <c r="N108" s="321">
        <f t="shared" si="38"/>
        <v>-0.19576639658204495</v>
      </c>
      <c r="O108" s="321">
        <f t="shared" si="39"/>
        <v>-7.8746631655653487E-2</v>
      </c>
      <c r="P108" s="322">
        <f t="shared" si="34"/>
        <v>-0.3015915943200822</v>
      </c>
      <c r="Q108" s="322">
        <f t="shared" si="32"/>
        <v>-44962.481247615135</v>
      </c>
      <c r="R108" s="323">
        <f t="shared" si="35"/>
        <v>-36290</v>
      </c>
      <c r="S108" s="350">
        <f t="shared" si="36"/>
        <v>-138987.01097128159</v>
      </c>
    </row>
    <row r="109" spans="1:19" x14ac:dyDescent="0.15">
      <c r="A109" s="351" t="s">
        <v>233</v>
      </c>
      <c r="B109" s="166"/>
      <c r="C109" s="164"/>
      <c r="D109" s="149"/>
      <c r="E109" s="149"/>
      <c r="F109" s="209"/>
      <c r="G109" s="166">
        <v>17386</v>
      </c>
      <c r="H109" s="164">
        <v>6.698248268996349E-3</v>
      </c>
      <c r="I109" s="149">
        <v>4.129640879623051</v>
      </c>
      <c r="J109" s="149">
        <v>71797.936333126359</v>
      </c>
      <c r="K109" s="160">
        <v>2.6641192734805216E-3</v>
      </c>
      <c r="L109" s="349">
        <f t="shared" si="37"/>
        <v>-17386</v>
      </c>
      <c r="M109" s="303">
        <f t="shared" si="33"/>
        <v>-4.129640879623051</v>
      </c>
      <c r="N109" s="321">
        <f t="shared" si="38"/>
        <v>-1</v>
      </c>
      <c r="O109" s="321">
        <f t="shared" si="39"/>
        <v>-1</v>
      </c>
      <c r="P109" s="322">
        <f t="shared" si="34"/>
        <v>-4.129640879623051</v>
      </c>
      <c r="Q109" s="322">
        <f t="shared" si="32"/>
        <v>0</v>
      </c>
      <c r="R109" s="323">
        <f t="shared" si="35"/>
        <v>-17386</v>
      </c>
      <c r="S109" s="350">
        <f t="shared" si="36"/>
        <v>-71797.936333126359</v>
      </c>
    </row>
    <row r="110" spans="1:19" x14ac:dyDescent="0.15">
      <c r="A110" s="351" t="s">
        <v>234</v>
      </c>
      <c r="B110" s="166"/>
      <c r="C110" s="164"/>
      <c r="D110" s="149"/>
      <c r="E110" s="149"/>
      <c r="F110" s="209"/>
      <c r="G110" s="166">
        <v>36797</v>
      </c>
      <c r="H110" s="164">
        <v>1.4176661771210092E-2</v>
      </c>
      <c r="I110" s="149">
        <v>3.1370631348962359</v>
      </c>
      <c r="J110" s="149">
        <v>115434.5121747768</v>
      </c>
      <c r="K110" s="160">
        <v>4.2832889692367808E-3</v>
      </c>
      <c r="L110" s="349">
        <f t="shared" si="37"/>
        <v>-36797</v>
      </c>
      <c r="M110" s="303">
        <f t="shared" si="33"/>
        <v>-3.1370631348962359</v>
      </c>
      <c r="N110" s="321">
        <f t="shared" si="38"/>
        <v>-1</v>
      </c>
      <c r="O110" s="321">
        <f t="shared" si="39"/>
        <v>-1</v>
      </c>
      <c r="P110" s="322">
        <f t="shared" si="34"/>
        <v>-3.1370631348962359</v>
      </c>
      <c r="Q110" s="322">
        <f t="shared" si="32"/>
        <v>0</v>
      </c>
      <c r="R110" s="323">
        <f t="shared" si="35"/>
        <v>-36797</v>
      </c>
      <c r="S110" s="350">
        <f t="shared" si="36"/>
        <v>-115434.5121747768</v>
      </c>
    </row>
    <row r="111" spans="1:19" x14ac:dyDescent="0.15">
      <c r="A111" s="351" t="s">
        <v>168</v>
      </c>
      <c r="B111" s="166">
        <v>2285</v>
      </c>
      <c r="C111" s="164">
        <v>9.9219229337975433E-4</v>
      </c>
      <c r="D111" s="149">
        <v>1.5128424843405359</v>
      </c>
      <c r="E111" s="149">
        <v>3456.8450767181248</v>
      </c>
      <c r="F111" s="209">
        <v>1.3800171045069571E-4</v>
      </c>
      <c r="G111" s="166">
        <v>23851</v>
      </c>
      <c r="H111" s="164">
        <v>9.1889980135644728E-3</v>
      </c>
      <c r="I111" s="149">
        <v>3.5172921489042279</v>
      </c>
      <c r="J111" s="149">
        <v>83890.935043514735</v>
      </c>
      <c r="K111" s="160">
        <v>3.11283956523153E-3</v>
      </c>
      <c r="L111" s="349">
        <f t="shared" si="37"/>
        <v>-21566</v>
      </c>
      <c r="M111" s="303">
        <f t="shared" si="33"/>
        <v>-2.0044496645636922</v>
      </c>
      <c r="N111" s="321">
        <f t="shared" si="38"/>
        <v>-0.90419688901932838</v>
      </c>
      <c r="O111" s="321">
        <f t="shared" si="39"/>
        <v>-0.56988432569872127</v>
      </c>
      <c r="P111" s="322">
        <f t="shared" si="34"/>
        <v>-2.0044496645636922</v>
      </c>
      <c r="Q111" s="322">
        <f t="shared" si="32"/>
        <v>-4580.1674835280364</v>
      </c>
      <c r="R111" s="323">
        <f t="shared" si="35"/>
        <v>-21566</v>
      </c>
      <c r="S111" s="350">
        <f t="shared" si="36"/>
        <v>-75853.922483268572</v>
      </c>
    </row>
    <row r="112" spans="1:19" x14ac:dyDescent="0.15">
      <c r="A112" s="353" t="s">
        <v>133</v>
      </c>
      <c r="B112" s="166">
        <v>414300</v>
      </c>
      <c r="C112" s="171">
        <v>0.17989727227449986</v>
      </c>
      <c r="D112" s="149">
        <v>12.146619840695147</v>
      </c>
      <c r="E112" s="149">
        <v>5032344.5999999996</v>
      </c>
      <c r="F112" s="225">
        <v>0.20089768183555487</v>
      </c>
      <c r="G112" s="166">
        <v>348555</v>
      </c>
      <c r="H112" s="171">
        <v>0.13428666314275983</v>
      </c>
      <c r="I112" s="149">
        <v>11.620738047080089</v>
      </c>
      <c r="J112" s="149">
        <v>4050466.35</v>
      </c>
      <c r="K112" s="172">
        <v>0.15029576086354099</v>
      </c>
      <c r="L112" s="349">
        <f t="shared" si="37"/>
        <v>65745</v>
      </c>
      <c r="M112" s="324">
        <f t="shared" si="33"/>
        <v>0.52588179361505816</v>
      </c>
      <c r="N112" s="321">
        <f t="shared" si="38"/>
        <v>0.18862159487025004</v>
      </c>
      <c r="O112" s="321">
        <f t="shared" si="39"/>
        <v>4.5253734443071375E-2</v>
      </c>
      <c r="P112" s="322">
        <f t="shared" si="34"/>
        <v>0.52588179361505816</v>
      </c>
      <c r="Q112" s="322">
        <f t="shared" si="32"/>
        <v>217872.82709471858</v>
      </c>
      <c r="R112" s="323">
        <f t="shared" si="35"/>
        <v>65745</v>
      </c>
      <c r="S112" s="350">
        <f t="shared" si="36"/>
        <v>764005.42290528037</v>
      </c>
    </row>
    <row r="113" spans="1:19" x14ac:dyDescent="0.15">
      <c r="A113" s="353" t="s">
        <v>170</v>
      </c>
      <c r="B113" s="166"/>
      <c r="C113" s="171"/>
      <c r="D113" s="149"/>
      <c r="E113" s="149"/>
      <c r="F113" s="225"/>
      <c r="G113" s="166"/>
      <c r="H113" s="171"/>
      <c r="I113" s="149"/>
      <c r="J113" s="149"/>
      <c r="K113" s="172"/>
      <c r="L113" s="349"/>
      <c r="M113" s="303"/>
      <c r="N113" s="321"/>
      <c r="O113" s="321"/>
      <c r="P113" s="322"/>
      <c r="Q113" s="322"/>
      <c r="R113" s="323"/>
      <c r="S113" s="350"/>
    </row>
    <row r="114" spans="1:19" x14ac:dyDescent="0.15">
      <c r="A114" s="354" t="s">
        <v>235</v>
      </c>
      <c r="B114" s="166"/>
      <c r="C114" s="164"/>
      <c r="D114" s="176"/>
      <c r="E114" s="149"/>
      <c r="F114" s="209"/>
      <c r="G114" s="166">
        <v>880</v>
      </c>
      <c r="H114" s="164">
        <v>3.3903476801545998E-4</v>
      </c>
      <c r="I114" s="176">
        <v>6.5382886430109703</v>
      </c>
      <c r="J114" s="149">
        <v>5753.6940058496539</v>
      </c>
      <c r="K114" s="160">
        <v>2.1349537156015847E-4</v>
      </c>
      <c r="L114" s="349">
        <f t="shared" si="37"/>
        <v>-880</v>
      </c>
      <c r="M114" s="303">
        <f t="shared" si="33"/>
        <v>-6.5382886430109703</v>
      </c>
      <c r="N114" s="321">
        <f t="shared" si="38"/>
        <v>-1</v>
      </c>
      <c r="O114" s="321">
        <f t="shared" si="39"/>
        <v>-1</v>
      </c>
      <c r="P114" s="322">
        <f t="shared" si="34"/>
        <v>-6.5382886430109703</v>
      </c>
      <c r="Q114" s="322">
        <f t="shared" si="32"/>
        <v>0</v>
      </c>
      <c r="R114" s="323">
        <f t="shared" si="35"/>
        <v>-880</v>
      </c>
      <c r="S114" s="350">
        <f t="shared" si="36"/>
        <v>-5753.6940058496539</v>
      </c>
    </row>
    <row r="115" spans="1:19" x14ac:dyDescent="0.15">
      <c r="A115" s="354" t="s">
        <v>172</v>
      </c>
      <c r="B115" s="166">
        <v>12</v>
      </c>
      <c r="C115" s="164">
        <v>5.2106378645763905E-6</v>
      </c>
      <c r="D115" s="176">
        <v>11.673587032258153</v>
      </c>
      <c r="E115" s="149">
        <v>140.08304438709783</v>
      </c>
      <c r="F115" s="209">
        <v>5.5922956631060382E-6</v>
      </c>
      <c r="G115" s="166"/>
      <c r="H115" s="164"/>
      <c r="I115" s="176"/>
      <c r="J115" s="149"/>
      <c r="K115" s="160"/>
      <c r="L115" s="349">
        <f t="shared" si="37"/>
        <v>12</v>
      </c>
      <c r="M115" s="303">
        <f t="shared" si="33"/>
        <v>11.673587032258153</v>
      </c>
      <c r="N115" s="321" t="e">
        <f t="shared" si="38"/>
        <v>#DIV/0!</v>
      </c>
      <c r="O115" s="321" t="e">
        <f t="shared" si="39"/>
        <v>#DIV/0!</v>
      </c>
      <c r="P115" s="322">
        <f t="shared" si="34"/>
        <v>11.673587032258153</v>
      </c>
      <c r="Q115" s="322">
        <f t="shared" si="32"/>
        <v>140.08304438709783</v>
      </c>
      <c r="R115" s="323">
        <f t="shared" si="35"/>
        <v>12</v>
      </c>
      <c r="S115" s="350">
        <f t="shared" si="36"/>
        <v>0</v>
      </c>
    </row>
    <row r="116" spans="1:19" x14ac:dyDescent="0.15">
      <c r="A116" s="355" t="s">
        <v>236</v>
      </c>
      <c r="B116" s="356">
        <v>2302969</v>
      </c>
      <c r="C116" s="181"/>
      <c r="D116" s="182">
        <v>10.876894759310964</v>
      </c>
      <c r="E116" s="183">
        <v>25049151.446955614</v>
      </c>
      <c r="F116" s="357"/>
      <c r="G116" s="356">
        <v>2594724</v>
      </c>
      <c r="H116" s="181"/>
      <c r="I116" s="182">
        <v>10.384232386683253</v>
      </c>
      <c r="J116" s="183">
        <v>26944216.995304316</v>
      </c>
      <c r="K116" s="184"/>
      <c r="L116" s="358">
        <f t="shared" si="37"/>
        <v>-291755</v>
      </c>
      <c r="M116" s="335">
        <f t="shared" si="33"/>
        <v>0.49266237262771106</v>
      </c>
      <c r="N116" s="336">
        <f t="shared" si="38"/>
        <v>-0.11244163155695942</v>
      </c>
      <c r="O116" s="336">
        <f t="shared" si="39"/>
        <v>4.7443311578764517E-2</v>
      </c>
      <c r="P116" s="322">
        <f t="shared" si="34"/>
        <v>0.49266237262771106</v>
      </c>
      <c r="Q116" s="322">
        <f>SUM(Q98:Q113)-Q114-Q115</f>
        <v>-1689285.8300445364</v>
      </c>
      <c r="R116" s="323">
        <f t="shared" si="35"/>
        <v>-291755</v>
      </c>
      <c r="S116" s="350">
        <f>SUM(S98:S113)-S114-S115</f>
        <v>-205779.71830417099</v>
      </c>
    </row>
    <row r="117" spans="1:19" ht="14.25" thickBot="1" x14ac:dyDescent="0.2">
      <c r="A117" s="359" t="s">
        <v>174</v>
      </c>
      <c r="B117" s="360">
        <v>2302981</v>
      </c>
      <c r="C117" s="256"/>
      <c r="D117" s="361">
        <v>10.876898910585888</v>
      </c>
      <c r="E117" s="362">
        <v>25049291.530000001</v>
      </c>
      <c r="F117" s="363"/>
      <c r="G117" s="360">
        <v>2595604</v>
      </c>
      <c r="H117" s="256"/>
      <c r="I117" s="361">
        <v>10.382928478038316</v>
      </c>
      <c r="J117" s="362">
        <v>26949970.689310167</v>
      </c>
      <c r="K117" s="257"/>
      <c r="L117" s="364">
        <f t="shared" si="37"/>
        <v>-292623</v>
      </c>
      <c r="M117" s="365">
        <f t="shared" si="33"/>
        <v>0.493970432547572</v>
      </c>
      <c r="N117" s="366">
        <f t="shared" si="38"/>
        <v>-0.11273792150112266</v>
      </c>
      <c r="O117" s="366">
        <f t="shared" si="39"/>
        <v>4.7575251393901501E-2</v>
      </c>
      <c r="P117" s="367"/>
      <c r="Q117" s="368">
        <f>E116-J116</f>
        <v>-1895065.5483487025</v>
      </c>
      <c r="R117" s="369"/>
      <c r="S117" s="370">
        <f>Q116+S116</f>
        <v>-1895065.5483487074</v>
      </c>
    </row>
    <row r="118" spans="1:19" x14ac:dyDescent="0.15">
      <c r="A118" s="509" t="s">
        <v>145</v>
      </c>
      <c r="B118" s="512" t="s">
        <v>182</v>
      </c>
      <c r="C118" s="513"/>
      <c r="D118" s="513"/>
      <c r="E118" s="513"/>
      <c r="F118" s="514"/>
      <c r="G118" s="515" t="s">
        <v>207</v>
      </c>
      <c r="H118" s="516"/>
      <c r="I118" s="516"/>
      <c r="J118" s="516"/>
      <c r="K118" s="517"/>
      <c r="L118" s="518" t="s">
        <v>208</v>
      </c>
      <c r="M118" s="519"/>
      <c r="N118" s="519"/>
      <c r="O118" s="520"/>
      <c r="P118" s="501" t="s">
        <v>209</v>
      </c>
      <c r="Q118" s="501" t="s">
        <v>237</v>
      </c>
      <c r="R118" s="501" t="s">
        <v>211</v>
      </c>
      <c r="S118" s="504" t="s">
        <v>238</v>
      </c>
    </row>
    <row r="119" spans="1:19" x14ac:dyDescent="0.15">
      <c r="A119" s="510"/>
      <c r="B119" s="449" t="s">
        <v>239</v>
      </c>
      <c r="C119" s="450"/>
      <c r="D119" s="450"/>
      <c r="E119" s="450"/>
      <c r="F119" s="451"/>
      <c r="G119" s="521" t="s">
        <v>239</v>
      </c>
      <c r="H119" s="522"/>
      <c r="I119" s="522"/>
      <c r="J119" s="522"/>
      <c r="K119" s="523"/>
      <c r="L119" s="507" t="s">
        <v>151</v>
      </c>
      <c r="M119" s="508" t="s">
        <v>153</v>
      </c>
      <c r="N119" s="508" t="s">
        <v>213</v>
      </c>
      <c r="O119" s="508" t="s">
        <v>214</v>
      </c>
      <c r="P119" s="502"/>
      <c r="Q119" s="502"/>
      <c r="R119" s="502"/>
      <c r="S119" s="505" t="s">
        <v>215</v>
      </c>
    </row>
    <row r="120" spans="1:19" x14ac:dyDescent="0.15">
      <c r="A120" s="511"/>
      <c r="B120" s="145" t="s">
        <v>151</v>
      </c>
      <c r="C120" s="141" t="s">
        <v>152</v>
      </c>
      <c r="D120" s="142" t="s">
        <v>153</v>
      </c>
      <c r="E120" s="143" t="s">
        <v>154</v>
      </c>
      <c r="F120" s="144" t="s">
        <v>155</v>
      </c>
      <c r="G120" s="145" t="s">
        <v>151</v>
      </c>
      <c r="H120" s="141" t="s">
        <v>152</v>
      </c>
      <c r="I120" s="142" t="s">
        <v>153</v>
      </c>
      <c r="J120" s="143" t="s">
        <v>154</v>
      </c>
      <c r="K120" s="144" t="s">
        <v>155</v>
      </c>
      <c r="L120" s="507"/>
      <c r="M120" s="508"/>
      <c r="N120" s="508"/>
      <c r="O120" s="508"/>
      <c r="P120" s="503"/>
      <c r="Q120" s="503" t="e">
        <f t="shared" ref="Q120:Q135" si="40">P120*B120</f>
        <v>#VALUE!</v>
      </c>
      <c r="R120" s="503" t="e">
        <f>B120-L120</f>
        <v>#VALUE!</v>
      </c>
      <c r="S120" s="506" t="e">
        <f>R120*N120</f>
        <v>#VALUE!</v>
      </c>
    </row>
    <row r="121" spans="1:19" x14ac:dyDescent="0.15">
      <c r="A121" s="346" t="s">
        <v>156</v>
      </c>
      <c r="B121" s="347"/>
      <c r="C121" s="127"/>
      <c r="D121" s="127"/>
      <c r="E121" s="127"/>
      <c r="F121" s="348"/>
      <c r="G121" s="166">
        <v>5363</v>
      </c>
      <c r="H121" s="164">
        <v>1.714082258050082E-3</v>
      </c>
      <c r="I121" s="149">
        <v>49.513826478178579</v>
      </c>
      <c r="J121" s="149">
        <v>265542.6514024717</v>
      </c>
      <c r="K121" s="160">
        <v>8.1264762401433172E-3</v>
      </c>
      <c r="L121" s="349">
        <f>B121-G121</f>
        <v>-5363</v>
      </c>
      <c r="M121" s="303">
        <f t="shared" ref="M121:M135" si="41">D121-I121</f>
        <v>-49.513826478178579</v>
      </c>
      <c r="N121" s="321">
        <f>L121/G121</f>
        <v>-1</v>
      </c>
      <c r="O121" s="321">
        <f>M121/I121</f>
        <v>-1</v>
      </c>
      <c r="P121" s="322">
        <f t="shared" ref="P121:P135" si="42">D121-I121</f>
        <v>-49.513826478178579</v>
      </c>
      <c r="Q121" s="322">
        <f t="shared" si="40"/>
        <v>0</v>
      </c>
      <c r="R121" s="323">
        <f t="shared" ref="R121:R135" si="43">B121-G121</f>
        <v>-5363</v>
      </c>
      <c r="S121" s="350">
        <f t="shared" ref="S121:S135" si="44">R121*I121</f>
        <v>-265542.6514024717</v>
      </c>
    </row>
    <row r="122" spans="1:19" x14ac:dyDescent="0.15">
      <c r="A122" s="351" t="s">
        <v>228</v>
      </c>
      <c r="B122" s="166">
        <v>573320</v>
      </c>
      <c r="C122" s="164">
        <v>0.20503855827837994</v>
      </c>
      <c r="D122" s="149">
        <v>19.996420144074058</v>
      </c>
      <c r="E122" s="149">
        <v>11464347.597000539</v>
      </c>
      <c r="F122" s="209">
        <v>0.37193788227965185</v>
      </c>
      <c r="G122" s="166">
        <v>462848</v>
      </c>
      <c r="H122" s="164">
        <v>0.14793204269512666</v>
      </c>
      <c r="I122" s="149">
        <v>18.96119734490609</v>
      </c>
      <c r="J122" s="149">
        <v>8776152.2686950937</v>
      </c>
      <c r="K122" s="160">
        <v>0.26857904940978794</v>
      </c>
      <c r="L122" s="349">
        <f t="shared" ref="L122:L135" si="45">B122-G122</f>
        <v>110472</v>
      </c>
      <c r="M122" s="303">
        <f t="shared" si="41"/>
        <v>1.0352227991679683</v>
      </c>
      <c r="N122" s="321">
        <f t="shared" ref="N122:N135" si="46">L122/G122</f>
        <v>0.23867878871681417</v>
      </c>
      <c r="O122" s="321">
        <f t="shared" ref="O122:O135" si="47">M122/I122</f>
        <v>5.4596910750790748E-2</v>
      </c>
      <c r="P122" s="322">
        <f t="shared" si="42"/>
        <v>1.0352227991679683</v>
      </c>
      <c r="Q122" s="322">
        <f t="shared" si="40"/>
        <v>593513.9352189796</v>
      </c>
      <c r="R122" s="323">
        <f t="shared" si="43"/>
        <v>110472</v>
      </c>
      <c r="S122" s="350">
        <f t="shared" si="44"/>
        <v>2094681.3930864655</v>
      </c>
    </row>
    <row r="123" spans="1:19" x14ac:dyDescent="0.15">
      <c r="A123" s="351" t="s">
        <v>229</v>
      </c>
      <c r="B123" s="166">
        <v>1259022</v>
      </c>
      <c r="C123" s="164">
        <v>0.45026870808756447</v>
      </c>
      <c r="D123" s="149">
        <v>7.657479359804845</v>
      </c>
      <c r="E123" s="149">
        <v>9640934.9785402156</v>
      </c>
      <c r="F123" s="209">
        <v>0.31278089823901034</v>
      </c>
      <c r="G123" s="166">
        <v>1255294</v>
      </c>
      <c r="H123" s="164">
        <v>0.40120775201132197</v>
      </c>
      <c r="I123" s="149">
        <v>9.5977486790450168</v>
      </c>
      <c r="J123" s="149">
        <v>12047996.330313135</v>
      </c>
      <c r="K123" s="160">
        <v>0.368708210912713</v>
      </c>
      <c r="L123" s="349">
        <f t="shared" si="45"/>
        <v>3728</v>
      </c>
      <c r="M123" s="324">
        <f t="shared" si="41"/>
        <v>-1.9402693192401719</v>
      </c>
      <c r="N123" s="321">
        <f t="shared" si="46"/>
        <v>2.9698222089805256E-3</v>
      </c>
      <c r="O123" s="321">
        <f t="shared" si="47"/>
        <v>-0.20215879620565666</v>
      </c>
      <c r="P123" s="322">
        <f t="shared" si="42"/>
        <v>-1.9402693192401719</v>
      </c>
      <c r="Q123" s="322">
        <f t="shared" si="40"/>
        <v>-2442841.7588483999</v>
      </c>
      <c r="R123" s="323">
        <f t="shared" si="43"/>
        <v>3728</v>
      </c>
      <c r="S123" s="350">
        <f t="shared" si="44"/>
        <v>35780.407075479823</v>
      </c>
    </row>
    <row r="124" spans="1:19" x14ac:dyDescent="0.15">
      <c r="A124" s="351" t="s">
        <v>159</v>
      </c>
      <c r="B124" s="166">
        <v>214343</v>
      </c>
      <c r="C124" s="164">
        <v>7.6656282175857793E-2</v>
      </c>
      <c r="D124" s="149">
        <v>13.082959349251592</v>
      </c>
      <c r="E124" s="149">
        <v>2804240.7557966341</v>
      </c>
      <c r="F124" s="209">
        <v>9.0977995850908724E-2</v>
      </c>
      <c r="G124" s="166">
        <v>65064</v>
      </c>
      <c r="H124" s="164">
        <v>2.0795272802120183E-2</v>
      </c>
      <c r="I124" s="149">
        <v>13.012508214543512</v>
      </c>
      <c r="J124" s="149">
        <v>846645.83447105903</v>
      </c>
      <c r="K124" s="160">
        <v>2.591013993912893E-2</v>
      </c>
      <c r="L124" s="349">
        <f t="shared" si="45"/>
        <v>149279</v>
      </c>
      <c r="M124" s="324">
        <f t="shared" si="41"/>
        <v>7.0451134708079621E-2</v>
      </c>
      <c r="N124" s="321">
        <f t="shared" si="46"/>
        <v>2.294340956596582</v>
      </c>
      <c r="O124" s="321">
        <f t="shared" si="47"/>
        <v>5.4141087595502508E-3</v>
      </c>
      <c r="P124" s="322">
        <f t="shared" si="42"/>
        <v>7.0451134708079621E-2</v>
      </c>
      <c r="Q124" s="322">
        <f t="shared" si="40"/>
        <v>15100.70756673391</v>
      </c>
      <c r="R124" s="323">
        <f t="shared" si="43"/>
        <v>149279</v>
      </c>
      <c r="S124" s="350">
        <f t="shared" si="44"/>
        <v>1942494.2137588409</v>
      </c>
    </row>
    <row r="125" spans="1:19" x14ac:dyDescent="0.15">
      <c r="A125" s="351" t="s">
        <v>230</v>
      </c>
      <c r="B125" s="166"/>
      <c r="C125" s="164"/>
      <c r="D125" s="149"/>
      <c r="E125" s="149"/>
      <c r="F125" s="209"/>
      <c r="G125" s="166">
        <v>483353</v>
      </c>
      <c r="H125" s="164">
        <v>0.15448569861556616</v>
      </c>
      <c r="I125" s="149">
        <v>8.1665393350568873</v>
      </c>
      <c r="J125" s="149">
        <v>3947321.2872177516</v>
      </c>
      <c r="K125" s="160">
        <v>0.12080098049547609</v>
      </c>
      <c r="L125" s="352">
        <f t="shared" si="45"/>
        <v>-483353</v>
      </c>
      <c r="M125" s="327">
        <f t="shared" si="41"/>
        <v>-8.1665393350568873</v>
      </c>
      <c r="N125" s="328">
        <f t="shared" si="46"/>
        <v>-1</v>
      </c>
      <c r="O125" s="328">
        <f t="shared" si="47"/>
        <v>-1</v>
      </c>
      <c r="P125" s="322">
        <f t="shared" si="42"/>
        <v>-8.1665393350568873</v>
      </c>
      <c r="Q125" s="322">
        <f t="shared" si="40"/>
        <v>0</v>
      </c>
      <c r="R125" s="323">
        <f t="shared" si="43"/>
        <v>-483353</v>
      </c>
      <c r="S125" s="350">
        <f t="shared" si="44"/>
        <v>-3947321.2872177516</v>
      </c>
    </row>
    <row r="126" spans="1:19" x14ac:dyDescent="0.15">
      <c r="A126" s="351" t="s">
        <v>231</v>
      </c>
      <c r="B126" s="166">
        <v>66139</v>
      </c>
      <c r="C126" s="164">
        <v>2.365353590660324E-2</v>
      </c>
      <c r="D126" s="149">
        <v>5.0819735585624386</v>
      </c>
      <c r="E126" s="149">
        <v>336116.64918976114</v>
      </c>
      <c r="F126" s="209">
        <v>1.0904634009115394E-2</v>
      </c>
      <c r="G126" s="166">
        <v>66871</v>
      </c>
      <c r="H126" s="164">
        <v>2.1372812731319604E-2</v>
      </c>
      <c r="I126" s="149">
        <v>7.0333741775792893</v>
      </c>
      <c r="J126" s="149">
        <v>470328.76462890464</v>
      </c>
      <c r="K126" s="160">
        <v>1.4393603101521095E-2</v>
      </c>
      <c r="L126" s="349">
        <f t="shared" si="45"/>
        <v>-732</v>
      </c>
      <c r="M126" s="324">
        <f t="shared" si="41"/>
        <v>-1.9514006190168507</v>
      </c>
      <c r="N126" s="321">
        <f t="shared" si="46"/>
        <v>-1.094644913340611E-2</v>
      </c>
      <c r="O126" s="321">
        <f t="shared" si="47"/>
        <v>-0.27744871376777425</v>
      </c>
      <c r="P126" s="322">
        <f t="shared" si="42"/>
        <v>-1.9514006190168507</v>
      </c>
      <c r="Q126" s="322">
        <f t="shared" si="40"/>
        <v>-129063.68554115549</v>
      </c>
      <c r="R126" s="323">
        <f t="shared" si="43"/>
        <v>-732</v>
      </c>
      <c r="S126" s="350">
        <f t="shared" si="44"/>
        <v>-5148.4298979880396</v>
      </c>
    </row>
    <row r="127" spans="1:19" x14ac:dyDescent="0.15">
      <c r="A127" s="353" t="s">
        <v>9</v>
      </c>
      <c r="B127" s="166">
        <v>23915</v>
      </c>
      <c r="C127" s="171">
        <v>8.552810160516738E-3</v>
      </c>
      <c r="D127" s="149">
        <v>7.1401501763641519</v>
      </c>
      <c r="E127" s="149">
        <v>170756.69146774869</v>
      </c>
      <c r="F127" s="225">
        <v>5.5398601335335416E-3</v>
      </c>
      <c r="G127" s="166">
        <v>17243</v>
      </c>
      <c r="H127" s="171">
        <v>5.5110796896434017E-3</v>
      </c>
      <c r="I127" s="149">
        <v>6.3954678976789303</v>
      </c>
      <c r="J127" s="149">
        <v>110277.05295967779</v>
      </c>
      <c r="K127" s="172">
        <v>3.3748395821790993E-3</v>
      </c>
      <c r="L127" s="349">
        <f t="shared" si="45"/>
        <v>6672</v>
      </c>
      <c r="M127" s="303">
        <f t="shared" si="41"/>
        <v>0.74468227868522163</v>
      </c>
      <c r="N127" s="321">
        <f t="shared" si="46"/>
        <v>0.38693962767499857</v>
      </c>
      <c r="O127" s="321">
        <f t="shared" si="47"/>
        <v>0.11643906131644954</v>
      </c>
      <c r="P127" s="322">
        <f t="shared" si="42"/>
        <v>0.74468227868522163</v>
      </c>
      <c r="Q127" s="322">
        <f t="shared" si="40"/>
        <v>17809.076694757074</v>
      </c>
      <c r="R127" s="323">
        <f t="shared" si="43"/>
        <v>6672</v>
      </c>
      <c r="S127" s="350">
        <f t="shared" si="44"/>
        <v>42670.56181331382</v>
      </c>
    </row>
    <row r="128" spans="1:19" x14ac:dyDescent="0.15">
      <c r="A128" s="353" t="s">
        <v>162</v>
      </c>
      <c r="B128" s="166"/>
      <c r="C128" s="171"/>
      <c r="D128" s="149"/>
      <c r="E128" s="149"/>
      <c r="F128" s="225"/>
      <c r="G128" s="166">
        <v>12582</v>
      </c>
      <c r="H128" s="171">
        <v>4.0213654616420161E-3</v>
      </c>
      <c r="I128" s="149">
        <v>10.241023627417508</v>
      </c>
      <c r="J128" s="149">
        <v>128852.5592801671</v>
      </c>
      <c r="K128" s="172">
        <v>3.9433110121539954E-3</v>
      </c>
      <c r="L128" s="349">
        <f t="shared" si="45"/>
        <v>-12582</v>
      </c>
      <c r="M128" s="303">
        <f t="shared" si="41"/>
        <v>-10.241023627417508</v>
      </c>
      <c r="N128" s="321">
        <f t="shared" si="46"/>
        <v>-1</v>
      </c>
      <c r="O128" s="321">
        <f t="shared" si="47"/>
        <v>-1</v>
      </c>
      <c r="P128" s="322">
        <f t="shared" si="42"/>
        <v>-10.241023627417508</v>
      </c>
      <c r="Q128" s="322">
        <f t="shared" si="40"/>
        <v>0</v>
      </c>
      <c r="R128" s="323">
        <f t="shared" si="43"/>
        <v>-12582</v>
      </c>
      <c r="S128" s="350">
        <f t="shared" si="44"/>
        <v>-128852.55928016709</v>
      </c>
    </row>
    <row r="129" spans="1:19" x14ac:dyDescent="0.15">
      <c r="A129" s="353" t="s">
        <v>163</v>
      </c>
      <c r="B129" s="166"/>
      <c r="C129" s="171"/>
      <c r="D129" s="149"/>
      <c r="E129" s="149"/>
      <c r="F129" s="225"/>
      <c r="G129" s="166">
        <v>1185</v>
      </c>
      <c r="H129" s="171">
        <v>3.7874090542408116E-4</v>
      </c>
      <c r="I129" s="149">
        <v>4.9740858417302967</v>
      </c>
      <c r="J129" s="149">
        <v>5894.2917224504017</v>
      </c>
      <c r="K129" s="172">
        <v>1.8038466281021986E-4</v>
      </c>
      <c r="L129" s="349">
        <f t="shared" si="45"/>
        <v>-1185</v>
      </c>
      <c r="M129" s="303">
        <f t="shared" si="41"/>
        <v>-4.9740858417302967</v>
      </c>
      <c r="N129" s="321">
        <f t="shared" si="46"/>
        <v>-1</v>
      </c>
      <c r="O129" s="321">
        <f t="shared" si="47"/>
        <v>-1</v>
      </c>
      <c r="P129" s="322">
        <f t="shared" si="42"/>
        <v>-4.9740858417302967</v>
      </c>
      <c r="Q129" s="322">
        <f t="shared" si="40"/>
        <v>0</v>
      </c>
      <c r="R129" s="323">
        <f t="shared" si="43"/>
        <v>-1185</v>
      </c>
      <c r="S129" s="350">
        <f t="shared" si="44"/>
        <v>-5894.2917224504017</v>
      </c>
    </row>
    <row r="130" spans="1:19" x14ac:dyDescent="0.15">
      <c r="A130" s="353" t="s">
        <v>164</v>
      </c>
      <c r="B130" s="166">
        <v>6990</v>
      </c>
      <c r="C130" s="171">
        <v>2.4998596287690569E-3</v>
      </c>
      <c r="D130" s="149">
        <v>3.4523467408853339</v>
      </c>
      <c r="E130" s="149">
        <v>24131.903718788482</v>
      </c>
      <c r="F130" s="225">
        <v>7.8291146431140623E-4</v>
      </c>
      <c r="G130" s="166">
        <v>22855</v>
      </c>
      <c r="H130" s="171">
        <v>7.3047454797193039E-3</v>
      </c>
      <c r="I130" s="149">
        <v>3.6753804496567275</v>
      </c>
      <c r="J130" s="149">
        <v>84000.820176904512</v>
      </c>
      <c r="K130" s="172">
        <v>2.5707006603829211E-3</v>
      </c>
      <c r="L130" s="349">
        <f t="shared" si="45"/>
        <v>-15865</v>
      </c>
      <c r="M130" s="324">
        <f t="shared" si="41"/>
        <v>-0.22303370877139361</v>
      </c>
      <c r="N130" s="321">
        <f t="shared" si="46"/>
        <v>-0.69415882739006785</v>
      </c>
      <c r="O130" s="321">
        <f t="shared" si="47"/>
        <v>-6.0683162417165405E-2</v>
      </c>
      <c r="P130" s="322">
        <f t="shared" si="42"/>
        <v>-0.22303370877139361</v>
      </c>
      <c r="Q130" s="322">
        <f t="shared" si="40"/>
        <v>-1559.0056243120414</v>
      </c>
      <c r="R130" s="323">
        <f t="shared" si="43"/>
        <v>-15865</v>
      </c>
      <c r="S130" s="350">
        <f t="shared" si="44"/>
        <v>-58309.91083380398</v>
      </c>
    </row>
    <row r="131" spans="1:19" x14ac:dyDescent="0.15">
      <c r="A131" s="351" t="s">
        <v>232</v>
      </c>
      <c r="B131" s="166">
        <v>177143</v>
      </c>
      <c r="C131" s="164">
        <v>6.3352308185842213E-2</v>
      </c>
      <c r="D131" s="149">
        <v>3.5482194001998151</v>
      </c>
      <c r="E131" s="149">
        <v>628542.22920959583</v>
      </c>
      <c r="F131" s="209">
        <v>2.0391798458441107E-2</v>
      </c>
      <c r="G131" s="166">
        <v>224470</v>
      </c>
      <c r="H131" s="164">
        <v>7.1743435477251899E-2</v>
      </c>
      <c r="I131" s="149">
        <v>3.8090295320288043</v>
      </c>
      <c r="J131" s="149">
        <v>855012.85905450571</v>
      </c>
      <c r="K131" s="160">
        <v>2.6166198339235124E-2</v>
      </c>
      <c r="L131" s="349">
        <f t="shared" si="45"/>
        <v>-47327</v>
      </c>
      <c r="M131" s="324">
        <f t="shared" si="41"/>
        <v>-0.26081013182898927</v>
      </c>
      <c r="N131" s="321">
        <f t="shared" si="46"/>
        <v>-0.21083886488172138</v>
      </c>
      <c r="O131" s="321">
        <f t="shared" si="47"/>
        <v>-6.8471543640165458E-2</v>
      </c>
      <c r="P131" s="322">
        <f t="shared" si="42"/>
        <v>-0.26081013182898927</v>
      </c>
      <c r="Q131" s="322">
        <f t="shared" si="40"/>
        <v>-46200.689182582646</v>
      </c>
      <c r="R131" s="323">
        <f t="shared" si="43"/>
        <v>-47327</v>
      </c>
      <c r="S131" s="350">
        <f t="shared" si="44"/>
        <v>-180269.94066232722</v>
      </c>
    </row>
    <row r="132" spans="1:19" x14ac:dyDescent="0.15">
      <c r="A132" s="351" t="s">
        <v>233</v>
      </c>
      <c r="B132" s="166"/>
      <c r="C132" s="164"/>
      <c r="D132" s="149"/>
      <c r="E132" s="149"/>
      <c r="F132" s="209"/>
      <c r="G132" s="166">
        <v>19044</v>
      </c>
      <c r="H132" s="164">
        <v>6.086701943372322E-3</v>
      </c>
      <c r="I132" s="149">
        <v>4.1231903280886533</v>
      </c>
      <c r="J132" s="149">
        <v>78522.03660812031</v>
      </c>
      <c r="K132" s="160">
        <v>2.4030319101408723E-3</v>
      </c>
      <c r="L132" s="349">
        <f t="shared" si="45"/>
        <v>-19044</v>
      </c>
      <c r="M132" s="303">
        <f t="shared" si="41"/>
        <v>-4.1231903280886533</v>
      </c>
      <c r="N132" s="321">
        <f t="shared" si="46"/>
        <v>-1</v>
      </c>
      <c r="O132" s="321">
        <f t="shared" si="47"/>
        <v>-1</v>
      </c>
      <c r="P132" s="322">
        <f t="shared" si="42"/>
        <v>-4.1231903280886533</v>
      </c>
      <c r="Q132" s="322">
        <f t="shared" si="40"/>
        <v>0</v>
      </c>
      <c r="R132" s="323">
        <f t="shared" si="43"/>
        <v>-19044</v>
      </c>
      <c r="S132" s="350">
        <f t="shared" si="44"/>
        <v>-78522.03660812031</v>
      </c>
    </row>
    <row r="133" spans="1:19" x14ac:dyDescent="0.15">
      <c r="A133" s="351" t="s">
        <v>234</v>
      </c>
      <c r="B133" s="166"/>
      <c r="C133" s="164"/>
      <c r="D133" s="149"/>
      <c r="E133" s="149"/>
      <c r="F133" s="209"/>
      <c r="G133" s="166">
        <v>43846</v>
      </c>
      <c r="H133" s="164">
        <v>1.4013733113269419E-2</v>
      </c>
      <c r="I133" s="149">
        <v>3.1218104726889164</v>
      </c>
      <c r="J133" s="149">
        <v>136878.90198551823</v>
      </c>
      <c r="K133" s="160">
        <v>4.1889434291905465E-3</v>
      </c>
      <c r="L133" s="349">
        <f t="shared" si="45"/>
        <v>-43846</v>
      </c>
      <c r="M133" s="303">
        <f t="shared" si="41"/>
        <v>-3.1218104726889164</v>
      </c>
      <c r="N133" s="321">
        <f t="shared" si="46"/>
        <v>-1</v>
      </c>
      <c r="O133" s="321">
        <f t="shared" si="47"/>
        <v>-1</v>
      </c>
      <c r="P133" s="322">
        <f t="shared" si="42"/>
        <v>-3.1218104726889164</v>
      </c>
      <c r="Q133" s="322">
        <f t="shared" si="40"/>
        <v>0</v>
      </c>
      <c r="R133" s="323">
        <f t="shared" si="43"/>
        <v>-43846</v>
      </c>
      <c r="S133" s="350">
        <f t="shared" si="44"/>
        <v>-136878.90198551823</v>
      </c>
    </row>
    <row r="134" spans="1:19" x14ac:dyDescent="0.15">
      <c r="A134" s="351" t="s">
        <v>168</v>
      </c>
      <c r="B134" s="166">
        <v>2285</v>
      </c>
      <c r="C134" s="164">
        <v>8.1719302599961307E-4</v>
      </c>
      <c r="D134" s="149">
        <v>1.5128424843405359</v>
      </c>
      <c r="E134" s="149">
        <v>3456.8450767181248</v>
      </c>
      <c r="F134" s="209">
        <v>1.1215044086239768E-4</v>
      </c>
      <c r="G134" s="166">
        <v>29115</v>
      </c>
      <c r="H134" s="164">
        <v>9.3055202206093861E-3</v>
      </c>
      <c r="I134" s="149">
        <v>3.490483283338726</v>
      </c>
      <c r="J134" s="149">
        <v>101625.42079440701</v>
      </c>
      <c r="K134" s="160">
        <v>3.1100712564197434E-3</v>
      </c>
      <c r="L134" s="349">
        <f t="shared" si="45"/>
        <v>-26830</v>
      </c>
      <c r="M134" s="303">
        <f t="shared" si="41"/>
        <v>-1.9776407989981901</v>
      </c>
      <c r="N134" s="321">
        <f t="shared" si="46"/>
        <v>-0.92151811780868964</v>
      </c>
      <c r="O134" s="321">
        <f t="shared" si="47"/>
        <v>-0.56658079654417715</v>
      </c>
      <c r="P134" s="322">
        <f t="shared" si="42"/>
        <v>-1.9776407989981901</v>
      </c>
      <c r="Q134" s="322">
        <f t="shared" si="40"/>
        <v>-4518.9092257108641</v>
      </c>
      <c r="R134" s="323">
        <f t="shared" si="43"/>
        <v>-26830</v>
      </c>
      <c r="S134" s="350">
        <f t="shared" si="44"/>
        <v>-93649.666491978016</v>
      </c>
    </row>
    <row r="135" spans="1:19" x14ac:dyDescent="0.15">
      <c r="A135" s="353" t="s">
        <v>133</v>
      </c>
      <c r="B135" s="166">
        <v>473000</v>
      </c>
      <c r="C135" s="171">
        <v>0.16916074455046695</v>
      </c>
      <c r="D135" s="149">
        <v>12.158050782241014</v>
      </c>
      <c r="E135" s="149">
        <v>5750758.0199999996</v>
      </c>
      <c r="F135" s="225">
        <v>0.18657186912416532</v>
      </c>
      <c r="G135" s="166">
        <v>419655</v>
      </c>
      <c r="H135" s="171">
        <v>0.13412701659556353</v>
      </c>
      <c r="I135" s="149">
        <v>11.48844746279682</v>
      </c>
      <c r="J135" s="149">
        <v>4821184.42</v>
      </c>
      <c r="K135" s="172">
        <v>0.14754405904871692</v>
      </c>
      <c r="L135" s="349">
        <f t="shared" si="45"/>
        <v>53345</v>
      </c>
      <c r="M135" s="324">
        <f t="shared" si="41"/>
        <v>0.66960331944419416</v>
      </c>
      <c r="N135" s="321">
        <f t="shared" si="46"/>
        <v>0.12711632174047729</v>
      </c>
      <c r="O135" s="321">
        <f t="shared" si="47"/>
        <v>5.8284926802562205E-2</v>
      </c>
      <c r="P135" s="322">
        <f t="shared" si="42"/>
        <v>0.66960331944419416</v>
      </c>
      <c r="Q135" s="322">
        <f t="shared" si="40"/>
        <v>316722.37009710382</v>
      </c>
      <c r="R135" s="323">
        <f t="shared" si="43"/>
        <v>53345</v>
      </c>
      <c r="S135" s="350">
        <f t="shared" si="44"/>
        <v>612851.22990289633</v>
      </c>
    </row>
    <row r="136" spans="1:19" x14ac:dyDescent="0.15">
      <c r="A136" s="353" t="s">
        <v>170</v>
      </c>
      <c r="B136" s="166"/>
      <c r="C136" s="171"/>
      <c r="D136" s="149"/>
      <c r="E136" s="149"/>
      <c r="F136" s="225"/>
      <c r="G136" s="166"/>
      <c r="H136" s="171"/>
      <c r="I136" s="149"/>
      <c r="J136" s="149"/>
      <c r="K136" s="172">
        <v>0</v>
      </c>
      <c r="L136" s="349"/>
      <c r="M136" s="303"/>
      <c r="N136" s="321"/>
      <c r="O136" s="321"/>
      <c r="P136" s="322"/>
      <c r="Q136" s="322"/>
      <c r="R136" s="323"/>
      <c r="S136" s="350"/>
    </row>
    <row r="137" spans="1:19" x14ac:dyDescent="0.15">
      <c r="A137" s="354" t="s">
        <v>235</v>
      </c>
      <c r="B137" s="166"/>
      <c r="C137" s="164"/>
      <c r="D137" s="176"/>
      <c r="E137" s="149"/>
      <c r="F137" s="209"/>
      <c r="G137" s="166">
        <v>911</v>
      </c>
      <c r="H137" s="164">
        <v>2.911670589378379E-4</v>
      </c>
      <c r="I137" s="176">
        <v>7.9057693329021808</v>
      </c>
      <c r="J137" s="149">
        <v>7202.1558622738867</v>
      </c>
      <c r="K137" s="160">
        <v>2.2040959591033464E-4</v>
      </c>
      <c r="L137" s="349">
        <f t="shared" ref="L137:L140" si="48">B137-G137</f>
        <v>-911</v>
      </c>
      <c r="M137" s="303">
        <f t="shared" ref="M137:M140" si="49">D137-I137</f>
        <v>-7.9057693329021808</v>
      </c>
      <c r="N137" s="321">
        <f>L137/G137</f>
        <v>-1</v>
      </c>
      <c r="O137" s="321">
        <f t="shared" ref="O137:O140" si="50">M137/I137</f>
        <v>-1</v>
      </c>
      <c r="P137" s="322">
        <f t="shared" ref="P137:P139" si="51">D137-I137</f>
        <v>-7.9057693329021808</v>
      </c>
      <c r="Q137" s="322">
        <f t="shared" ref="Q137:Q138" si="52">P137*B137</f>
        <v>0</v>
      </c>
      <c r="R137" s="323">
        <f t="shared" ref="R137:R139" si="53">B137-G137</f>
        <v>-911</v>
      </c>
      <c r="S137" s="350">
        <f t="shared" ref="S137:S138" si="54">R137*I137</f>
        <v>-7202.1558622738867</v>
      </c>
    </row>
    <row r="138" spans="1:19" x14ac:dyDescent="0.15">
      <c r="A138" s="354" t="s">
        <v>172</v>
      </c>
      <c r="B138" s="166">
        <v>47</v>
      </c>
      <c r="C138" s="164">
        <v>1.6808784342223988E-5</v>
      </c>
      <c r="D138" s="176">
        <v>11.959336610823444</v>
      </c>
      <c r="E138" s="149">
        <v>562.08882070870186</v>
      </c>
      <c r="F138" s="209">
        <v>1.8235850218128347E-5</v>
      </c>
      <c r="G138" s="166"/>
      <c r="H138" s="164"/>
      <c r="I138" s="176"/>
      <c r="J138" s="149"/>
      <c r="K138" s="160"/>
      <c r="L138" s="349">
        <f t="shared" si="48"/>
        <v>47</v>
      </c>
      <c r="M138" s="303">
        <f t="shared" si="49"/>
        <v>11.959336610823444</v>
      </c>
      <c r="N138" s="321" t="e">
        <f>L138/G138</f>
        <v>#DIV/0!</v>
      </c>
      <c r="O138" s="321" t="e">
        <f t="shared" si="50"/>
        <v>#DIV/0!</v>
      </c>
      <c r="P138" s="322">
        <f t="shared" si="51"/>
        <v>11.959336610823444</v>
      </c>
      <c r="Q138" s="322">
        <f t="shared" si="52"/>
        <v>562.08882070870186</v>
      </c>
      <c r="R138" s="323">
        <f t="shared" si="53"/>
        <v>47</v>
      </c>
      <c r="S138" s="350">
        <f t="shared" si="54"/>
        <v>0</v>
      </c>
    </row>
    <row r="139" spans="1:19" x14ac:dyDescent="0.15">
      <c r="A139" s="355" t="s">
        <v>236</v>
      </c>
      <c r="B139" s="356">
        <v>2796110</v>
      </c>
      <c r="C139" s="181"/>
      <c r="D139" s="182">
        <v>11.023430258887988</v>
      </c>
      <c r="E139" s="183">
        <v>30822723.581179291</v>
      </c>
      <c r="F139" s="357"/>
      <c r="G139" s="356">
        <v>3127877</v>
      </c>
      <c r="H139" s="181"/>
      <c r="I139" s="182">
        <v>10.444475068376377</v>
      </c>
      <c r="J139" s="183">
        <v>32669033.343447898</v>
      </c>
      <c r="K139" s="184"/>
      <c r="L139" s="358">
        <f t="shared" si="48"/>
        <v>-331767</v>
      </c>
      <c r="M139" s="335">
        <f t="shared" si="49"/>
        <v>0.5789551905116106</v>
      </c>
      <c r="N139" s="336">
        <f t="shared" ref="N139:N140" si="55">L139/G139</f>
        <v>-0.10606778975004452</v>
      </c>
      <c r="O139" s="336">
        <f t="shared" si="50"/>
        <v>5.5431717412449219E-2</v>
      </c>
      <c r="P139" s="322">
        <f t="shared" si="51"/>
        <v>0.5789551905116106</v>
      </c>
      <c r="Q139" s="322">
        <f>SUM(Q121:Q136)-Q137-Q138</f>
        <v>-1681600.0476652952</v>
      </c>
      <c r="R139" s="323">
        <f t="shared" si="53"/>
        <v>-331767</v>
      </c>
      <c r="S139" s="350">
        <f>SUM(S121:S136)-S137-S138</f>
        <v>-164709.71460330614</v>
      </c>
    </row>
    <row r="140" spans="1:19" ht="14.25" thickBot="1" x14ac:dyDescent="0.2">
      <c r="A140" s="359" t="s">
        <v>174</v>
      </c>
      <c r="B140" s="360">
        <v>2796157</v>
      </c>
      <c r="C140" s="256"/>
      <c r="D140" s="361">
        <v>11.023445990336022</v>
      </c>
      <c r="E140" s="362">
        <v>30823285.669999998</v>
      </c>
      <c r="F140" s="363"/>
      <c r="G140" s="360">
        <v>3128788</v>
      </c>
      <c r="H140" s="256"/>
      <c r="I140" s="361">
        <v>10.443735880893872</v>
      </c>
      <c r="J140" s="362">
        <v>32676235.499310173</v>
      </c>
      <c r="K140" s="257"/>
      <c r="L140" s="364">
        <f t="shared" si="48"/>
        <v>-332631</v>
      </c>
      <c r="M140" s="365">
        <f t="shared" si="49"/>
        <v>0.57971010944214996</v>
      </c>
      <c r="N140" s="366">
        <f t="shared" si="55"/>
        <v>-0.1063130515714072</v>
      </c>
      <c r="O140" s="366">
        <f t="shared" si="50"/>
        <v>5.5507925138425944E-2</v>
      </c>
      <c r="P140" s="367"/>
      <c r="Q140" s="368">
        <f>E139-J139</f>
        <v>-1846309.7622686066</v>
      </c>
      <c r="R140" s="369"/>
      <c r="S140" s="370">
        <f>Q139+S139</f>
        <v>-1846309.7622686015</v>
      </c>
    </row>
    <row r="141" spans="1:19" x14ac:dyDescent="0.15">
      <c r="A141" s="509" t="s">
        <v>145</v>
      </c>
      <c r="B141" s="512" t="s">
        <v>182</v>
      </c>
      <c r="C141" s="513"/>
      <c r="D141" s="513"/>
      <c r="E141" s="513"/>
      <c r="F141" s="514"/>
      <c r="G141" s="515" t="s">
        <v>207</v>
      </c>
      <c r="H141" s="516"/>
      <c r="I141" s="516"/>
      <c r="J141" s="516"/>
      <c r="K141" s="517"/>
      <c r="L141" s="518" t="s">
        <v>208</v>
      </c>
      <c r="M141" s="519"/>
      <c r="N141" s="519"/>
      <c r="O141" s="520"/>
      <c r="P141" s="501" t="s">
        <v>209</v>
      </c>
      <c r="Q141" s="501" t="s">
        <v>240</v>
      </c>
      <c r="R141" s="501" t="s">
        <v>211</v>
      </c>
      <c r="S141" s="504" t="s">
        <v>241</v>
      </c>
    </row>
    <row r="142" spans="1:19" x14ac:dyDescent="0.15">
      <c r="A142" s="510"/>
      <c r="B142" s="449" t="s">
        <v>242</v>
      </c>
      <c r="C142" s="450"/>
      <c r="D142" s="450"/>
      <c r="E142" s="450"/>
      <c r="F142" s="451"/>
      <c r="G142" s="521" t="s">
        <v>242</v>
      </c>
      <c r="H142" s="522"/>
      <c r="I142" s="522"/>
      <c r="J142" s="522"/>
      <c r="K142" s="523"/>
      <c r="L142" s="507" t="s">
        <v>151</v>
      </c>
      <c r="M142" s="508" t="s">
        <v>153</v>
      </c>
      <c r="N142" s="508" t="s">
        <v>213</v>
      </c>
      <c r="O142" s="508" t="s">
        <v>214</v>
      </c>
      <c r="P142" s="502"/>
      <c r="Q142" s="502"/>
      <c r="R142" s="502"/>
      <c r="S142" s="505" t="s">
        <v>215</v>
      </c>
    </row>
    <row r="143" spans="1:19" x14ac:dyDescent="0.15">
      <c r="A143" s="511"/>
      <c r="B143" s="145" t="s">
        <v>151</v>
      </c>
      <c r="C143" s="141" t="s">
        <v>152</v>
      </c>
      <c r="D143" s="142" t="s">
        <v>153</v>
      </c>
      <c r="E143" s="143" t="s">
        <v>154</v>
      </c>
      <c r="F143" s="144" t="s">
        <v>155</v>
      </c>
      <c r="G143" s="145" t="s">
        <v>151</v>
      </c>
      <c r="H143" s="141" t="s">
        <v>152</v>
      </c>
      <c r="I143" s="142" t="s">
        <v>153</v>
      </c>
      <c r="J143" s="143" t="s">
        <v>154</v>
      </c>
      <c r="K143" s="144" t="s">
        <v>155</v>
      </c>
      <c r="L143" s="507"/>
      <c r="M143" s="508"/>
      <c r="N143" s="508"/>
      <c r="O143" s="508"/>
      <c r="P143" s="503"/>
      <c r="Q143" s="503" t="e">
        <f t="shared" ref="Q143:Q158" si="56">P143*B143</f>
        <v>#VALUE!</v>
      </c>
      <c r="R143" s="503" t="e">
        <f>B143-L143</f>
        <v>#VALUE!</v>
      </c>
      <c r="S143" s="506" t="e">
        <f>R143*N143</f>
        <v>#VALUE!</v>
      </c>
    </row>
    <row r="144" spans="1:19" x14ac:dyDescent="0.15">
      <c r="A144" s="346" t="s">
        <v>156</v>
      </c>
      <c r="B144" s="347"/>
      <c r="C144" s="127"/>
      <c r="D144" s="127"/>
      <c r="E144" s="127"/>
      <c r="F144" s="348"/>
      <c r="G144" s="166">
        <v>6251</v>
      </c>
      <c r="H144" s="164">
        <v>1.6968411771859418E-3</v>
      </c>
      <c r="I144" s="149">
        <v>50.204480369923886</v>
      </c>
      <c r="J144" s="149">
        <v>313828.20679239422</v>
      </c>
      <c r="K144" s="160"/>
      <c r="L144" s="349">
        <f>B144-G144</f>
        <v>-6251</v>
      </c>
      <c r="M144" s="303">
        <f t="shared" ref="M144:M158" si="57">D144-I144</f>
        <v>-50.204480369923886</v>
      </c>
      <c r="N144" s="321">
        <f>L144/G144</f>
        <v>-1</v>
      </c>
      <c r="O144" s="321">
        <f>M144/I144</f>
        <v>-1</v>
      </c>
      <c r="P144" s="322">
        <f t="shared" ref="P144:P158" si="58">D144-I144</f>
        <v>-50.204480369923886</v>
      </c>
      <c r="Q144" s="322">
        <f t="shared" si="56"/>
        <v>0</v>
      </c>
      <c r="R144" s="323">
        <f t="shared" ref="R144:R158" si="59">B144-G144</f>
        <v>-6251</v>
      </c>
      <c r="S144" s="350">
        <f t="shared" ref="S144:S158" si="60">R144*I144</f>
        <v>-313828.20679239422</v>
      </c>
    </row>
    <row r="145" spans="1:19" x14ac:dyDescent="0.15">
      <c r="A145" s="351" t="s">
        <v>228</v>
      </c>
      <c r="B145" s="166">
        <v>725598</v>
      </c>
      <c r="C145" s="164">
        <v>0.21324020799794047</v>
      </c>
      <c r="D145" s="149">
        <v>19.875196250690568</v>
      </c>
      <c r="E145" s="149">
        <v>14421402.649108576</v>
      </c>
      <c r="F145" s="209">
        <v>0.38178860071043097</v>
      </c>
      <c r="G145" s="166">
        <v>584299</v>
      </c>
      <c r="H145" s="164">
        <v>0.15860863909591563</v>
      </c>
      <c r="I145" s="149">
        <v>18.992348146685707</v>
      </c>
      <c r="J145" s="149">
        <v>11097210.029760312</v>
      </c>
      <c r="K145" s="160"/>
      <c r="L145" s="349">
        <f t="shared" ref="L145:L158" si="61">B145-G145</f>
        <v>141299</v>
      </c>
      <c r="M145" s="303">
        <f t="shared" si="57"/>
        <v>0.8828481040048608</v>
      </c>
      <c r="N145" s="321">
        <f t="shared" ref="N145:N158" si="62">L145/G145</f>
        <v>0.2418265305947811</v>
      </c>
      <c r="O145" s="321">
        <f t="shared" ref="O145:O158" si="63">M145/I145</f>
        <v>4.648441031020821E-2</v>
      </c>
      <c r="P145" s="322">
        <f t="shared" si="58"/>
        <v>0.8828481040048608</v>
      </c>
      <c r="Q145" s="322">
        <f t="shared" si="56"/>
        <v>640592.81856971898</v>
      </c>
      <c r="R145" s="323">
        <f t="shared" si="59"/>
        <v>141299</v>
      </c>
      <c r="S145" s="350">
        <f t="shared" si="60"/>
        <v>2683599.8007785436</v>
      </c>
    </row>
    <row r="146" spans="1:19" x14ac:dyDescent="0.15">
      <c r="A146" s="351" t="s">
        <v>229</v>
      </c>
      <c r="B146" s="166">
        <v>1532462</v>
      </c>
      <c r="C146" s="164">
        <v>0.45036303246279602</v>
      </c>
      <c r="D146" s="149">
        <v>7.7076110187622939</v>
      </c>
      <c r="E146" s="149">
        <v>11811620.997034503</v>
      </c>
      <c r="F146" s="209">
        <v>0.31269789508709789</v>
      </c>
      <c r="G146" s="166">
        <v>1497298</v>
      </c>
      <c r="H146" s="164">
        <v>0.40644327322318929</v>
      </c>
      <c r="I146" s="149">
        <v>9.3804881379891771</v>
      </c>
      <c r="J146" s="149">
        <v>14045386.128034918</v>
      </c>
      <c r="K146" s="160"/>
      <c r="L146" s="349">
        <f t="shared" si="61"/>
        <v>35164</v>
      </c>
      <c r="M146" s="324">
        <f t="shared" si="57"/>
        <v>-1.6728771192268832</v>
      </c>
      <c r="N146" s="321">
        <f t="shared" si="62"/>
        <v>2.3484970927630973E-2</v>
      </c>
      <c r="O146" s="321">
        <f t="shared" si="63"/>
        <v>-0.17833582801006398</v>
      </c>
      <c r="P146" s="322">
        <f t="shared" si="58"/>
        <v>-1.6728771192268832</v>
      </c>
      <c r="Q146" s="322">
        <f t="shared" si="56"/>
        <v>-2563620.6158846677</v>
      </c>
      <c r="R146" s="323">
        <f t="shared" si="59"/>
        <v>35164</v>
      </c>
      <c r="S146" s="350">
        <f t="shared" si="60"/>
        <v>329855.48488425143</v>
      </c>
    </row>
    <row r="147" spans="1:19" x14ac:dyDescent="0.15">
      <c r="A147" s="351" t="s">
        <v>159</v>
      </c>
      <c r="B147" s="166">
        <v>264753</v>
      </c>
      <c r="C147" s="164">
        <v>7.7806147189047839E-2</v>
      </c>
      <c r="D147" s="149">
        <v>13.021061914989525</v>
      </c>
      <c r="E147" s="149">
        <v>3447365.2051792219</v>
      </c>
      <c r="F147" s="209">
        <v>9.1264682766801358E-2</v>
      </c>
      <c r="G147" s="166">
        <v>104067</v>
      </c>
      <c r="H147" s="164">
        <v>2.8249107468598531E-2</v>
      </c>
      <c r="I147" s="149">
        <v>12.747752403674072</v>
      </c>
      <c r="J147" s="149">
        <v>1326620.3493931496</v>
      </c>
      <c r="K147" s="160"/>
      <c r="L147" s="349">
        <f t="shared" si="61"/>
        <v>160686</v>
      </c>
      <c r="M147" s="324">
        <f t="shared" si="57"/>
        <v>0.27330951131545334</v>
      </c>
      <c r="N147" s="321">
        <f t="shared" si="62"/>
        <v>1.5440629594395918</v>
      </c>
      <c r="O147" s="321">
        <f t="shared" si="63"/>
        <v>2.1439819558833124E-2</v>
      </c>
      <c r="P147" s="322">
        <f t="shared" si="58"/>
        <v>0.27330951131545334</v>
      </c>
      <c r="Q147" s="322">
        <f t="shared" si="56"/>
        <v>72359.513049300222</v>
      </c>
      <c r="R147" s="323">
        <f t="shared" si="59"/>
        <v>160686</v>
      </c>
      <c r="S147" s="350">
        <f t="shared" si="60"/>
        <v>2048385.342736772</v>
      </c>
    </row>
    <row r="148" spans="1:19" x14ac:dyDescent="0.15">
      <c r="A148" s="351" t="s">
        <v>230</v>
      </c>
      <c r="B148" s="166"/>
      <c r="C148" s="164"/>
      <c r="D148" s="149"/>
      <c r="E148" s="149"/>
      <c r="F148" s="209"/>
      <c r="G148" s="166">
        <v>483353</v>
      </c>
      <c r="H148" s="164">
        <v>0.13120673068570735</v>
      </c>
      <c r="I148" s="149">
        <v>8.1665393350568873</v>
      </c>
      <c r="J148" s="149">
        <v>3947321.2872177516</v>
      </c>
      <c r="K148" s="160"/>
      <c r="L148" s="352">
        <f t="shared" si="61"/>
        <v>-483353</v>
      </c>
      <c r="M148" s="327">
        <f t="shared" si="57"/>
        <v>-8.1665393350568873</v>
      </c>
      <c r="N148" s="328">
        <f t="shared" si="62"/>
        <v>-1</v>
      </c>
      <c r="O148" s="328">
        <f t="shared" si="63"/>
        <v>-1</v>
      </c>
      <c r="P148" s="322">
        <f t="shared" si="58"/>
        <v>-8.1665393350568873</v>
      </c>
      <c r="Q148" s="322">
        <f t="shared" si="56"/>
        <v>0</v>
      </c>
      <c r="R148" s="323">
        <f t="shared" si="59"/>
        <v>-483353</v>
      </c>
      <c r="S148" s="350">
        <f t="shared" si="60"/>
        <v>-3947321.2872177516</v>
      </c>
    </row>
    <row r="149" spans="1:19" x14ac:dyDescent="0.15">
      <c r="A149" s="351" t="s">
        <v>231</v>
      </c>
      <c r="B149" s="166">
        <v>79394</v>
      </c>
      <c r="C149" s="164">
        <v>2.3332469320186226E-2</v>
      </c>
      <c r="D149" s="149">
        <v>5.1049566643105049</v>
      </c>
      <c r="E149" s="149">
        <v>405302.92940626823</v>
      </c>
      <c r="F149" s="209">
        <v>1.072988821176993E-2</v>
      </c>
      <c r="G149" s="166">
        <v>79228</v>
      </c>
      <c r="H149" s="164">
        <v>2.1506532200621948E-2</v>
      </c>
      <c r="I149" s="149">
        <v>6.8539825258193394</v>
      </c>
      <c r="J149" s="149">
        <v>543027.32755561464</v>
      </c>
      <c r="K149" s="160"/>
      <c r="L149" s="349">
        <f>B149-G149</f>
        <v>166</v>
      </c>
      <c r="M149" s="324">
        <f>D149-I149</f>
        <v>-1.7490258615088345</v>
      </c>
      <c r="N149" s="321">
        <f t="shared" si="62"/>
        <v>2.0952188620184781E-3</v>
      </c>
      <c r="O149" s="321">
        <f t="shared" si="63"/>
        <v>-0.25518388103852835</v>
      </c>
      <c r="P149" s="322">
        <f>D149-I149</f>
        <v>-1.7490258615088345</v>
      </c>
      <c r="Q149" s="322">
        <f>P149*B149</f>
        <v>-138862.15924863241</v>
      </c>
      <c r="R149" s="323">
        <f>B149-G149</f>
        <v>166</v>
      </c>
      <c r="S149" s="350">
        <f t="shared" si="60"/>
        <v>1137.7610992860104</v>
      </c>
    </row>
    <row r="150" spans="1:19" x14ac:dyDescent="0.15">
      <c r="A150" s="353" t="s">
        <v>9</v>
      </c>
      <c r="B150" s="166">
        <v>30986</v>
      </c>
      <c r="C150" s="171">
        <v>9.1062283592625443E-3</v>
      </c>
      <c r="D150" s="149">
        <v>7.0936913370064314</v>
      </c>
      <c r="E150" s="149">
        <v>219805.11976848129</v>
      </c>
      <c r="F150" s="225">
        <v>5.8190656725463814E-3</v>
      </c>
      <c r="G150" s="166">
        <v>19998</v>
      </c>
      <c r="H150" s="171">
        <v>5.428480220982957E-3</v>
      </c>
      <c r="I150" s="149">
        <v>6.525739632296629</v>
      </c>
      <c r="J150" s="149">
        <v>130501.74116666798</v>
      </c>
      <c r="K150" s="172"/>
      <c r="L150" s="349">
        <f>B150-G150</f>
        <v>10988</v>
      </c>
      <c r="M150" s="303">
        <f>D150-I150</f>
        <v>0.56795170470980239</v>
      </c>
      <c r="N150" s="321">
        <f t="shared" si="62"/>
        <v>0.54945494549454943</v>
      </c>
      <c r="O150" s="321">
        <f t="shared" si="63"/>
        <v>8.7032541399436877E-2</v>
      </c>
      <c r="P150" s="322">
        <f>D150-I150</f>
        <v>0.56795170470980239</v>
      </c>
      <c r="Q150" s="322">
        <f>P150*B150</f>
        <v>17598.551522137936</v>
      </c>
      <c r="R150" s="323">
        <f>B150-G150</f>
        <v>10988</v>
      </c>
      <c r="S150" s="350">
        <f t="shared" si="60"/>
        <v>71704.827079675364</v>
      </c>
    </row>
    <row r="151" spans="1:19" x14ac:dyDescent="0.15">
      <c r="A151" s="353" t="s">
        <v>162</v>
      </c>
      <c r="B151" s="166"/>
      <c r="C151" s="171"/>
      <c r="D151" s="149"/>
      <c r="E151" s="149"/>
      <c r="F151" s="225"/>
      <c r="G151" s="166">
        <v>14438</v>
      </c>
      <c r="H151" s="171">
        <v>3.9192117927068677E-3</v>
      </c>
      <c r="I151" s="149">
        <v>10.37325642249103</v>
      </c>
      <c r="J151" s="149">
        <v>149769.07622792549</v>
      </c>
      <c r="K151" s="172"/>
      <c r="L151" s="349">
        <f t="shared" si="61"/>
        <v>-14438</v>
      </c>
      <c r="M151" s="303">
        <f t="shared" si="57"/>
        <v>-10.37325642249103</v>
      </c>
      <c r="N151" s="321">
        <f t="shared" si="62"/>
        <v>-1</v>
      </c>
      <c r="O151" s="321">
        <f t="shared" si="63"/>
        <v>-1</v>
      </c>
      <c r="P151" s="322">
        <f t="shared" si="58"/>
        <v>-10.37325642249103</v>
      </c>
      <c r="Q151" s="322">
        <f t="shared" si="56"/>
        <v>0</v>
      </c>
      <c r="R151" s="323">
        <f t="shared" si="59"/>
        <v>-14438</v>
      </c>
      <c r="S151" s="350">
        <f t="shared" si="60"/>
        <v>-149769.07622792549</v>
      </c>
    </row>
    <row r="152" spans="1:19" x14ac:dyDescent="0.15">
      <c r="A152" s="353" t="s">
        <v>163</v>
      </c>
      <c r="B152" s="166"/>
      <c r="C152" s="171"/>
      <c r="D152" s="149"/>
      <c r="E152" s="149"/>
      <c r="F152" s="225"/>
      <c r="G152" s="166">
        <v>1185</v>
      </c>
      <c r="H152" s="171">
        <v>3.2166962005524571E-4</v>
      </c>
      <c r="I152" s="149">
        <v>4.9740858417302967</v>
      </c>
      <c r="J152" s="149">
        <v>5894.2917224504017</v>
      </c>
      <c r="K152" s="172"/>
      <c r="L152" s="349">
        <f t="shared" si="61"/>
        <v>-1185</v>
      </c>
      <c r="M152" s="303">
        <f t="shared" si="57"/>
        <v>-4.9740858417302967</v>
      </c>
      <c r="N152" s="321">
        <f t="shared" si="62"/>
        <v>-1</v>
      </c>
      <c r="O152" s="321">
        <f t="shared" si="63"/>
        <v>-1</v>
      </c>
      <c r="P152" s="322">
        <f t="shared" si="58"/>
        <v>-4.9740858417302967</v>
      </c>
      <c r="Q152" s="322">
        <f t="shared" si="56"/>
        <v>0</v>
      </c>
      <c r="R152" s="323">
        <f t="shared" si="59"/>
        <v>-1185</v>
      </c>
      <c r="S152" s="350">
        <f t="shared" si="60"/>
        <v>-5894.2917224504017</v>
      </c>
    </row>
    <row r="153" spans="1:19" x14ac:dyDescent="0.15">
      <c r="A153" s="353" t="s">
        <v>164</v>
      </c>
      <c r="B153" s="166">
        <v>6990</v>
      </c>
      <c r="C153" s="171">
        <v>2.0542353395483505E-3</v>
      </c>
      <c r="D153" s="149">
        <v>3.4523467408853339</v>
      </c>
      <c r="E153" s="149">
        <v>24131.903718788482</v>
      </c>
      <c r="F153" s="225">
        <v>6.3886197323840741E-4</v>
      </c>
      <c r="G153" s="166">
        <v>26800</v>
      </c>
      <c r="H153" s="171">
        <v>7.2748909852156842E-3</v>
      </c>
      <c r="I153" s="149">
        <v>3.6808875992811094</v>
      </c>
      <c r="J153" s="149">
        <v>98647.787660733738</v>
      </c>
      <c r="K153" s="172"/>
      <c r="L153" s="349">
        <f t="shared" si="61"/>
        <v>-19810</v>
      </c>
      <c r="M153" s="324">
        <f t="shared" si="57"/>
        <v>-0.22854085839577554</v>
      </c>
      <c r="N153" s="321">
        <f t="shared" si="62"/>
        <v>-0.73917910447761193</v>
      </c>
      <c r="O153" s="321">
        <f t="shared" si="63"/>
        <v>-6.2088518660664997E-2</v>
      </c>
      <c r="P153" s="322">
        <f t="shared" si="58"/>
        <v>-0.22854085839577554</v>
      </c>
      <c r="Q153" s="322">
        <f t="shared" si="56"/>
        <v>-1597.500600186471</v>
      </c>
      <c r="R153" s="323">
        <f t="shared" si="59"/>
        <v>-19810</v>
      </c>
      <c r="S153" s="350">
        <f t="shared" si="60"/>
        <v>-72918.383341758774</v>
      </c>
    </row>
    <row r="154" spans="1:19" x14ac:dyDescent="0.15">
      <c r="A154" s="351" t="s">
        <v>232</v>
      </c>
      <c r="B154" s="166">
        <v>209509</v>
      </c>
      <c r="C154" s="164">
        <v>6.1570928720090894E-2</v>
      </c>
      <c r="D154" s="149">
        <v>3.5508370557228797</v>
      </c>
      <c r="E154" s="149">
        <v>743932.3207074448</v>
      </c>
      <c r="F154" s="209">
        <v>1.969467787959691E-2</v>
      </c>
      <c r="G154" s="166">
        <v>266257</v>
      </c>
      <c r="H154" s="164">
        <v>7.2275770486961655E-2</v>
      </c>
      <c r="I154" s="149">
        <v>3.8418132032052079</v>
      </c>
      <c r="J154" s="149">
        <v>1022909.658045809</v>
      </c>
      <c r="K154" s="160"/>
      <c r="L154" s="349">
        <f t="shared" si="61"/>
        <v>-56748</v>
      </c>
      <c r="M154" s="324">
        <f t="shared" si="57"/>
        <v>-0.29097614748232825</v>
      </c>
      <c r="N154" s="321">
        <f t="shared" si="62"/>
        <v>-0.21313242468742605</v>
      </c>
      <c r="O154" s="321">
        <f t="shared" si="63"/>
        <v>-7.5739275204626852E-2</v>
      </c>
      <c r="P154" s="322">
        <f t="shared" si="58"/>
        <v>-0.29097614748232825</v>
      </c>
      <c r="Q154" s="322">
        <f t="shared" si="56"/>
        <v>-60962.121682875113</v>
      </c>
      <c r="R154" s="323">
        <f t="shared" si="59"/>
        <v>-56748</v>
      </c>
      <c r="S154" s="350">
        <f t="shared" si="60"/>
        <v>-218015.21565548913</v>
      </c>
    </row>
    <row r="155" spans="1:19" x14ac:dyDescent="0.15">
      <c r="A155" s="351" t="s">
        <v>233</v>
      </c>
      <c r="B155" s="166"/>
      <c r="C155" s="164"/>
      <c r="D155" s="149"/>
      <c r="E155" s="149"/>
      <c r="F155" s="209"/>
      <c r="G155" s="166">
        <v>19044</v>
      </c>
      <c r="H155" s="164">
        <v>5.1695158180017717E-3</v>
      </c>
      <c r="I155" s="149">
        <v>4.1231903280886533</v>
      </c>
      <c r="J155" s="149">
        <v>78522.03660812031</v>
      </c>
      <c r="K155" s="160"/>
      <c r="L155" s="349">
        <f t="shared" si="61"/>
        <v>-19044</v>
      </c>
      <c r="M155" s="303">
        <f t="shared" si="57"/>
        <v>-4.1231903280886533</v>
      </c>
      <c r="N155" s="321">
        <f t="shared" si="62"/>
        <v>-1</v>
      </c>
      <c r="O155" s="321">
        <f t="shared" si="63"/>
        <v>-1</v>
      </c>
      <c r="P155" s="322">
        <f t="shared" si="58"/>
        <v>-4.1231903280886533</v>
      </c>
      <c r="Q155" s="322">
        <f t="shared" si="56"/>
        <v>0</v>
      </c>
      <c r="R155" s="323">
        <f t="shared" si="59"/>
        <v>-19044</v>
      </c>
      <c r="S155" s="350">
        <f t="shared" si="60"/>
        <v>-78522.03660812031</v>
      </c>
    </row>
    <row r="156" spans="1:19" x14ac:dyDescent="0.15">
      <c r="A156" s="351" t="s">
        <v>234</v>
      </c>
      <c r="B156" s="166"/>
      <c r="C156" s="164"/>
      <c r="D156" s="149"/>
      <c r="E156" s="149"/>
      <c r="F156" s="209"/>
      <c r="G156" s="166">
        <v>50508</v>
      </c>
      <c r="H156" s="164">
        <v>1.3710454995569917E-2</v>
      </c>
      <c r="I156" s="149">
        <v>3.1524577795591089</v>
      </c>
      <c r="J156" s="149">
        <v>159224.33752997147</v>
      </c>
      <c r="K156" s="160"/>
      <c r="L156" s="349">
        <f t="shared" si="61"/>
        <v>-50508</v>
      </c>
      <c r="M156" s="303">
        <f t="shared" si="57"/>
        <v>-3.1524577795591089</v>
      </c>
      <c r="N156" s="321">
        <f t="shared" si="62"/>
        <v>-1</v>
      </c>
      <c r="O156" s="321">
        <f t="shared" si="63"/>
        <v>-1</v>
      </c>
      <c r="P156" s="322">
        <f t="shared" si="58"/>
        <v>-3.1524577795591089</v>
      </c>
      <c r="Q156" s="322">
        <f t="shared" si="56"/>
        <v>0</v>
      </c>
      <c r="R156" s="323">
        <f t="shared" si="59"/>
        <v>-50508</v>
      </c>
      <c r="S156" s="350">
        <f t="shared" si="60"/>
        <v>-159224.33752997147</v>
      </c>
    </row>
    <row r="157" spans="1:19" x14ac:dyDescent="0.15">
      <c r="A157" s="351" t="s">
        <v>168</v>
      </c>
      <c r="B157" s="166">
        <v>2285</v>
      </c>
      <c r="C157" s="164">
        <v>6.7152042215564811E-4</v>
      </c>
      <c r="D157" s="149">
        <v>1.5128424843405359</v>
      </c>
      <c r="E157" s="149">
        <v>3456.8450767181248</v>
      </c>
      <c r="F157" s="209">
        <v>9.151565051091161E-5</v>
      </c>
      <c r="G157" s="166">
        <v>34578</v>
      </c>
      <c r="H157" s="164">
        <v>9.3862380778652211E-3</v>
      </c>
      <c r="I157" s="149">
        <v>3.6672135922941695</v>
      </c>
      <c r="J157" s="149">
        <v>126804.9115943478</v>
      </c>
      <c r="K157" s="160"/>
      <c r="L157" s="349">
        <f t="shared" si="61"/>
        <v>-32293</v>
      </c>
      <c r="M157" s="303">
        <f t="shared" si="57"/>
        <v>-2.1543711079536338</v>
      </c>
      <c r="N157" s="321">
        <f t="shared" si="62"/>
        <v>-0.93391751981028404</v>
      </c>
      <c r="O157" s="321">
        <f t="shared" si="63"/>
        <v>-0.5874681290668653</v>
      </c>
      <c r="P157" s="322">
        <f t="shared" si="58"/>
        <v>-2.1543711079536338</v>
      </c>
      <c r="Q157" s="322">
        <f t="shared" si="56"/>
        <v>-4922.7379816740531</v>
      </c>
      <c r="R157" s="323">
        <f t="shared" si="59"/>
        <v>-32293</v>
      </c>
      <c r="S157" s="350">
        <f t="shared" si="60"/>
        <v>-118425.32853595562</v>
      </c>
    </row>
    <row r="158" spans="1:19" x14ac:dyDescent="0.15">
      <c r="A158" s="353" t="s">
        <v>133</v>
      </c>
      <c r="B158" s="166">
        <v>550749</v>
      </c>
      <c r="C158" s="171">
        <v>0.16185523018897202</v>
      </c>
      <c r="D158" s="149">
        <v>12.158440160581318</v>
      </c>
      <c r="E158" s="149">
        <v>6696248.7599999998</v>
      </c>
      <c r="F158" s="225">
        <v>0.17727481204800738</v>
      </c>
      <c r="G158" s="166">
        <v>496600</v>
      </c>
      <c r="H158" s="171">
        <v>0.13480264415142196</v>
      </c>
      <c r="I158" s="149">
        <v>11.372483709222715</v>
      </c>
      <c r="J158" s="149">
        <v>5647575.4100000001</v>
      </c>
      <c r="K158" s="172"/>
      <c r="L158" s="349">
        <f t="shared" si="61"/>
        <v>54149</v>
      </c>
      <c r="M158" s="324">
        <f t="shared" si="57"/>
        <v>0.78595645135860259</v>
      </c>
      <c r="N158" s="321">
        <f t="shared" si="62"/>
        <v>0.10903946838501813</v>
      </c>
      <c r="O158" s="321">
        <f t="shared" si="63"/>
        <v>6.9110360714011609E-2</v>
      </c>
      <c r="P158" s="322">
        <f t="shared" si="58"/>
        <v>0.78595645135860259</v>
      </c>
      <c r="Q158" s="322">
        <f t="shared" si="56"/>
        <v>432864.72962929902</v>
      </c>
      <c r="R158" s="323">
        <f t="shared" si="59"/>
        <v>54149</v>
      </c>
      <c r="S158" s="350">
        <f t="shared" si="60"/>
        <v>615808.62037070084</v>
      </c>
    </row>
    <row r="159" spans="1:19" x14ac:dyDescent="0.15">
      <c r="A159" s="353" t="s">
        <v>170</v>
      </c>
      <c r="B159" s="166"/>
      <c r="C159" s="171"/>
      <c r="D159" s="149"/>
      <c r="E159" s="149"/>
      <c r="F159" s="225"/>
      <c r="G159" s="166"/>
      <c r="H159" s="171"/>
      <c r="I159" s="149"/>
      <c r="J159" s="149"/>
      <c r="K159" s="172"/>
      <c r="L159" s="349"/>
      <c r="M159" s="303"/>
      <c r="N159" s="321"/>
      <c r="O159" s="321"/>
      <c r="P159" s="322"/>
      <c r="Q159" s="322"/>
      <c r="R159" s="323"/>
      <c r="S159" s="350"/>
    </row>
    <row r="160" spans="1:19" x14ac:dyDescent="0.15">
      <c r="A160" s="354" t="s">
        <v>235</v>
      </c>
      <c r="B160" s="166"/>
      <c r="C160" s="164"/>
      <c r="D160" s="176"/>
      <c r="E160" s="149"/>
      <c r="F160" s="209"/>
      <c r="G160" s="166">
        <v>911</v>
      </c>
      <c r="H160" s="164">
        <v>2.4729200326610031E-4</v>
      </c>
      <c r="I160" s="176">
        <v>7.9057693329021808</v>
      </c>
      <c r="J160" s="149">
        <v>7202.1558622738867</v>
      </c>
      <c r="K160" s="160"/>
      <c r="L160" s="349">
        <f t="shared" ref="L160:L163" si="64">B160-G160</f>
        <v>-911</v>
      </c>
      <c r="M160" s="303">
        <f t="shared" ref="M160:M163" si="65">D160-I160</f>
        <v>-7.9057693329021808</v>
      </c>
      <c r="N160" s="321">
        <f>L160/G160</f>
        <v>-1</v>
      </c>
      <c r="O160" s="321">
        <f t="shared" ref="O160:O163" si="66">M160/I160</f>
        <v>-1</v>
      </c>
      <c r="P160" s="322">
        <f t="shared" ref="P160:P162" si="67">D160-I160</f>
        <v>-7.9057693329021808</v>
      </c>
      <c r="Q160" s="322">
        <f t="shared" ref="Q160:Q161" si="68">P160*B160</f>
        <v>0</v>
      </c>
      <c r="R160" s="323">
        <f t="shared" ref="R160:R162" si="69">B160-G160</f>
        <v>-911</v>
      </c>
      <c r="S160" s="350">
        <f t="shared" ref="S160:S161" si="70">R160*I160</f>
        <v>-7202.1558622738867</v>
      </c>
    </row>
    <row r="161" spans="1:19" x14ac:dyDescent="0.15">
      <c r="A161" s="354" t="s">
        <v>172</v>
      </c>
      <c r="B161" s="166">
        <v>47</v>
      </c>
      <c r="C161" s="164">
        <v>1.381245507278576E-5</v>
      </c>
      <c r="D161" s="176">
        <v>11.959336610823444</v>
      </c>
      <c r="E161" s="149">
        <v>562.08882070870186</v>
      </c>
      <c r="F161" s="209">
        <v>1.4880598618236106E-5</v>
      </c>
      <c r="G161" s="166"/>
      <c r="H161" s="164"/>
      <c r="I161" s="176"/>
      <c r="J161" s="149"/>
      <c r="K161" s="160"/>
      <c r="L161" s="349">
        <f t="shared" si="64"/>
        <v>47</v>
      </c>
      <c r="M161" s="303">
        <f t="shared" si="65"/>
        <v>11.959336610823444</v>
      </c>
      <c r="N161" s="321" t="e">
        <f>L161/G161</f>
        <v>#DIV/0!</v>
      </c>
      <c r="O161" s="321" t="e">
        <f t="shared" si="66"/>
        <v>#DIV/0!</v>
      </c>
      <c r="P161" s="322">
        <f t="shared" si="67"/>
        <v>11.959336610823444</v>
      </c>
      <c r="Q161" s="322">
        <f t="shared" si="68"/>
        <v>562.08882070870186</v>
      </c>
      <c r="R161" s="323">
        <f t="shared" si="69"/>
        <v>47</v>
      </c>
      <c r="S161" s="350">
        <f t="shared" si="70"/>
        <v>0</v>
      </c>
    </row>
    <row r="162" spans="1:19" x14ac:dyDescent="0.15">
      <c r="A162" s="355" t="s">
        <v>236</v>
      </c>
      <c r="B162" s="356">
        <v>3402679</v>
      </c>
      <c r="C162" s="181"/>
      <c r="D162" s="182">
        <v>11.10087217782791</v>
      </c>
      <c r="E162" s="183">
        <v>37772704.641179293</v>
      </c>
      <c r="F162" s="357"/>
      <c r="G162" s="356">
        <v>3682993</v>
      </c>
      <c r="H162" s="181"/>
      <c r="I162" s="182">
        <v>10.503967947657761</v>
      </c>
      <c r="J162" s="183">
        <v>38686040.4234479</v>
      </c>
      <c r="K162" s="184"/>
      <c r="L162" s="358">
        <f t="shared" si="64"/>
        <v>-280314</v>
      </c>
      <c r="M162" s="335">
        <f t="shared" si="65"/>
        <v>0.59690423017014815</v>
      </c>
      <c r="N162" s="336">
        <f t="shared" ref="N162:N163" si="71">L162/G162</f>
        <v>-7.6110380877726355E-2</v>
      </c>
      <c r="O162" s="336">
        <f t="shared" si="66"/>
        <v>5.6826547181462933E-2</v>
      </c>
      <c r="P162" s="322">
        <f t="shared" si="67"/>
        <v>0.59690423017014815</v>
      </c>
      <c r="Q162" s="322">
        <f>SUM(Q144:Q159)-Q160-Q161</f>
        <v>-1607111.6114482882</v>
      </c>
      <c r="R162" s="323">
        <f t="shared" si="69"/>
        <v>-280314</v>
      </c>
      <c r="S162" s="350">
        <f>SUM(S144:S159)-S160-S161</f>
        <v>693775.82917968638</v>
      </c>
    </row>
    <row r="163" spans="1:19" ht="14.25" thickBot="1" x14ac:dyDescent="0.2">
      <c r="A163" s="359" t="s">
        <v>174</v>
      </c>
      <c r="B163" s="360">
        <v>3402726</v>
      </c>
      <c r="C163" s="256"/>
      <c r="D163" s="361">
        <v>11.100884035329321</v>
      </c>
      <c r="E163" s="362">
        <v>37773266.729999997</v>
      </c>
      <c r="F163" s="363"/>
      <c r="G163" s="360">
        <v>3683904</v>
      </c>
      <c r="H163" s="256"/>
      <c r="I163" s="361">
        <v>10.503325433917434</v>
      </c>
      <c r="J163" s="362">
        <v>38693242.579310171</v>
      </c>
      <c r="K163" s="257"/>
      <c r="L163" s="364">
        <f t="shared" si="64"/>
        <v>-281178</v>
      </c>
      <c r="M163" s="365">
        <f t="shared" si="65"/>
        <v>0.59755860141188677</v>
      </c>
      <c r="N163" s="366">
        <f t="shared" si="71"/>
        <v>-7.6326093188096106E-2</v>
      </c>
      <c r="O163" s="366">
        <f t="shared" si="66"/>
        <v>5.6892324737672612E-2</v>
      </c>
      <c r="P163" s="367"/>
      <c r="Q163" s="368">
        <f>E162-J162</f>
        <v>-913335.78226860613</v>
      </c>
      <c r="R163" s="369"/>
      <c r="S163" s="370">
        <f>Q162+S162</f>
        <v>-913335.78226860182</v>
      </c>
    </row>
    <row r="164" spans="1:19" x14ac:dyDescent="0.15">
      <c r="A164" s="509" t="s">
        <v>145</v>
      </c>
      <c r="B164" s="512" t="s">
        <v>182</v>
      </c>
      <c r="C164" s="513"/>
      <c r="D164" s="513"/>
      <c r="E164" s="513"/>
      <c r="F164" s="514"/>
      <c r="G164" s="515" t="s">
        <v>207</v>
      </c>
      <c r="H164" s="516"/>
      <c r="I164" s="516"/>
      <c r="J164" s="516"/>
      <c r="K164" s="517"/>
      <c r="L164" s="518" t="s">
        <v>208</v>
      </c>
      <c r="M164" s="519"/>
      <c r="N164" s="519"/>
      <c r="O164" s="520"/>
      <c r="P164" s="501" t="s">
        <v>209</v>
      </c>
      <c r="Q164" s="501" t="s">
        <v>240</v>
      </c>
      <c r="R164" s="501" t="s">
        <v>211</v>
      </c>
      <c r="S164" s="504" t="s">
        <v>241</v>
      </c>
    </row>
    <row r="165" spans="1:19" x14ac:dyDescent="0.15">
      <c r="A165" s="510"/>
      <c r="B165" s="449" t="s">
        <v>243</v>
      </c>
      <c r="C165" s="450"/>
      <c r="D165" s="450"/>
      <c r="E165" s="450"/>
      <c r="F165" s="451"/>
      <c r="G165" s="449" t="s">
        <v>243</v>
      </c>
      <c r="H165" s="450"/>
      <c r="I165" s="450"/>
      <c r="J165" s="450"/>
      <c r="K165" s="451"/>
      <c r="L165" s="507" t="s">
        <v>151</v>
      </c>
      <c r="M165" s="508" t="s">
        <v>153</v>
      </c>
      <c r="N165" s="508" t="s">
        <v>213</v>
      </c>
      <c r="O165" s="508" t="s">
        <v>214</v>
      </c>
      <c r="P165" s="502"/>
      <c r="Q165" s="502"/>
      <c r="R165" s="502"/>
      <c r="S165" s="505" t="s">
        <v>215</v>
      </c>
    </row>
    <row r="166" spans="1:19" x14ac:dyDescent="0.15">
      <c r="A166" s="511"/>
      <c r="B166" s="145" t="s">
        <v>151</v>
      </c>
      <c r="C166" s="141" t="s">
        <v>152</v>
      </c>
      <c r="D166" s="142" t="s">
        <v>153</v>
      </c>
      <c r="E166" s="143" t="s">
        <v>154</v>
      </c>
      <c r="F166" s="144" t="s">
        <v>155</v>
      </c>
      <c r="G166" s="145" t="s">
        <v>151</v>
      </c>
      <c r="H166" s="141" t="s">
        <v>152</v>
      </c>
      <c r="I166" s="142" t="s">
        <v>153</v>
      </c>
      <c r="J166" s="143" t="s">
        <v>154</v>
      </c>
      <c r="K166" s="144" t="s">
        <v>155</v>
      </c>
      <c r="L166" s="507"/>
      <c r="M166" s="508"/>
      <c r="N166" s="508"/>
      <c r="O166" s="508"/>
      <c r="P166" s="503"/>
      <c r="Q166" s="503" t="e">
        <f t="shared" ref="Q166:Q171" si="72">P166*B166</f>
        <v>#VALUE!</v>
      </c>
      <c r="R166" s="503" t="e">
        <f>B166-L166</f>
        <v>#VALUE!</v>
      </c>
      <c r="S166" s="506" t="e">
        <f>R166*N166</f>
        <v>#VALUE!</v>
      </c>
    </row>
    <row r="167" spans="1:19" x14ac:dyDescent="0.15">
      <c r="A167" s="346" t="s">
        <v>156</v>
      </c>
      <c r="B167" s="347"/>
      <c r="C167" s="127"/>
      <c r="D167" s="127"/>
      <c r="E167" s="127"/>
      <c r="F167" s="348"/>
      <c r="G167" s="166">
        <v>7060</v>
      </c>
      <c r="H167" s="164">
        <v>1.6342611507652208E-3</v>
      </c>
      <c r="I167" s="149">
        <v>50.157436500890967</v>
      </c>
      <c r="J167" s="149">
        <v>354111.50169629022</v>
      </c>
      <c r="K167" s="160">
        <v>7.806107370654969E-3</v>
      </c>
      <c r="L167" s="349">
        <f>B167-G167</f>
        <v>-7060</v>
      </c>
      <c r="M167" s="303">
        <f t="shared" ref="M167:M171" si="73">D167-I167</f>
        <v>-50.157436500890967</v>
      </c>
      <c r="N167" s="321">
        <f>L167/G167</f>
        <v>-1</v>
      </c>
      <c r="O167" s="321">
        <f>M167/I167</f>
        <v>-1</v>
      </c>
      <c r="P167" s="322">
        <f t="shared" ref="P167:P171" si="74">D167-I167</f>
        <v>-50.157436500890967</v>
      </c>
      <c r="Q167" s="322">
        <f t="shared" si="72"/>
        <v>0</v>
      </c>
      <c r="R167" s="323">
        <f t="shared" ref="R167:R171" si="75">B167-G167</f>
        <v>-7060</v>
      </c>
      <c r="S167" s="350">
        <f t="shared" ref="S167:S181" si="76">R167*I167</f>
        <v>-354111.50169629022</v>
      </c>
    </row>
    <row r="168" spans="1:19" x14ac:dyDescent="0.15">
      <c r="A168" s="351" t="s">
        <v>228</v>
      </c>
      <c r="B168" s="166">
        <v>914878</v>
      </c>
      <c r="C168" s="164">
        <v>0.22311942553841141</v>
      </c>
      <c r="D168" s="149">
        <v>19.71526154676825</v>
      </c>
      <c r="E168" s="149">
        <v>18037059.053384244</v>
      </c>
      <c r="F168" s="209">
        <v>0.39329186233587032</v>
      </c>
      <c r="G168" s="166">
        <v>726861</v>
      </c>
      <c r="H168" s="164">
        <v>0.16825505585075909</v>
      </c>
      <c r="I168" s="149">
        <v>18.875839010842636</v>
      </c>
      <c r="J168" s="149">
        <v>13720111.219260089</v>
      </c>
      <c r="K168" s="160">
        <v>0.30244897666930015</v>
      </c>
      <c r="L168" s="349">
        <f t="shared" ref="L168:L171" si="77">B168-G168</f>
        <v>188017</v>
      </c>
      <c r="M168" s="303">
        <f t="shared" si="73"/>
        <v>0.839422535925614</v>
      </c>
      <c r="N168" s="321">
        <f t="shared" ref="N168:N181" si="78">L168/G168</f>
        <v>0.25866981444870479</v>
      </c>
      <c r="O168" s="321">
        <f t="shared" ref="O168:O181" si="79">M168/I168</f>
        <v>4.4470740370451026E-2</v>
      </c>
      <c r="P168" s="322">
        <f t="shared" si="74"/>
        <v>0.839422535925614</v>
      </c>
      <c r="Q168" s="322">
        <f t="shared" si="72"/>
        <v>767969.21082255384</v>
      </c>
      <c r="R168" s="323">
        <f t="shared" si="75"/>
        <v>188017</v>
      </c>
      <c r="S168" s="350">
        <f t="shared" si="76"/>
        <v>3548978.6233016001</v>
      </c>
    </row>
    <row r="169" spans="1:19" x14ac:dyDescent="0.15">
      <c r="A169" s="351" t="s">
        <v>229</v>
      </c>
      <c r="B169" s="166">
        <v>1828999</v>
      </c>
      <c r="C169" s="164">
        <v>0.44605423476171568</v>
      </c>
      <c r="D169" s="149">
        <v>7.7182033895894211</v>
      </c>
      <c r="E169" s="149">
        <v>14116586.281355662</v>
      </c>
      <c r="F169" s="209">
        <v>0.3078073033961527</v>
      </c>
      <c r="G169" s="166">
        <v>1770708</v>
      </c>
      <c r="H169" s="164">
        <v>0.4098865855168814</v>
      </c>
      <c r="I169" s="149">
        <v>9.090728060674671</v>
      </c>
      <c r="J169" s="149">
        <v>16097024.902861126</v>
      </c>
      <c r="K169" s="160">
        <v>0.35484615477870318</v>
      </c>
      <c r="L169" s="349">
        <f t="shared" si="77"/>
        <v>58291</v>
      </c>
      <c r="M169" s="324">
        <f t="shared" si="73"/>
        <v>-1.3725246710852499</v>
      </c>
      <c r="N169" s="321">
        <f t="shared" si="78"/>
        <v>3.2919600521373368E-2</v>
      </c>
      <c r="O169" s="321">
        <f t="shared" si="79"/>
        <v>-0.1509807203476492</v>
      </c>
      <c r="P169" s="322">
        <f t="shared" si="74"/>
        <v>-1.3725246710852499</v>
      </c>
      <c r="Q169" s="322">
        <f t="shared" si="72"/>
        <v>-2510346.2508902508</v>
      </c>
      <c r="R169" s="323">
        <f t="shared" si="75"/>
        <v>58291</v>
      </c>
      <c r="S169" s="350">
        <f t="shared" si="76"/>
        <v>529907.62938478729</v>
      </c>
    </row>
    <row r="170" spans="1:19" x14ac:dyDescent="0.15">
      <c r="A170" s="351" t="s">
        <v>159</v>
      </c>
      <c r="B170" s="166">
        <v>317972</v>
      </c>
      <c r="C170" s="164">
        <v>7.7546656469277608E-2</v>
      </c>
      <c r="D170" s="149">
        <v>12.967331811086693</v>
      </c>
      <c r="E170" s="149">
        <v>4123248.4306348581</v>
      </c>
      <c r="F170" s="209">
        <v>8.9906012358127424E-2</v>
      </c>
      <c r="G170" s="166">
        <v>147624</v>
      </c>
      <c r="H170" s="164">
        <v>3.4172261773451125E-2</v>
      </c>
      <c r="I170" s="149">
        <v>12.59463007056558</v>
      </c>
      <c r="J170" s="149">
        <v>1859269.6695371734</v>
      </c>
      <c r="K170" s="160">
        <v>4.0986126126615466E-2</v>
      </c>
      <c r="L170" s="349">
        <f t="shared" si="77"/>
        <v>170348</v>
      </c>
      <c r="M170" s="324">
        <f t="shared" si="73"/>
        <v>0.37270174052111216</v>
      </c>
      <c r="N170" s="321">
        <f t="shared" si="78"/>
        <v>1.1539316100363084</v>
      </c>
      <c r="O170" s="321">
        <f t="shared" si="79"/>
        <v>2.959211492778489E-2</v>
      </c>
      <c r="P170" s="322">
        <f t="shared" si="74"/>
        <v>0.37270174052111216</v>
      </c>
      <c r="Q170" s="322">
        <f t="shared" si="72"/>
        <v>118508.71783697908</v>
      </c>
      <c r="R170" s="323">
        <f t="shared" si="75"/>
        <v>170348</v>
      </c>
      <c r="S170" s="350">
        <f t="shared" si="76"/>
        <v>2145470.0432607057</v>
      </c>
    </row>
    <row r="171" spans="1:19" x14ac:dyDescent="0.15">
      <c r="A171" s="351" t="s">
        <v>230</v>
      </c>
      <c r="B171" s="166"/>
      <c r="C171" s="164"/>
      <c r="D171" s="149"/>
      <c r="E171" s="149"/>
      <c r="F171" s="209"/>
      <c r="G171" s="166">
        <v>483353</v>
      </c>
      <c r="H171" s="164">
        <v>0.11188739801782178</v>
      </c>
      <c r="I171" s="149">
        <v>8.1665393350568873</v>
      </c>
      <c r="J171" s="149">
        <v>3947321.2872177516</v>
      </c>
      <c r="K171" s="160">
        <v>8.7015568957489631E-2</v>
      </c>
      <c r="L171" s="352">
        <f t="shared" si="77"/>
        <v>-483353</v>
      </c>
      <c r="M171" s="327">
        <f t="shared" si="73"/>
        <v>-8.1665393350568873</v>
      </c>
      <c r="N171" s="328">
        <f t="shared" si="78"/>
        <v>-1</v>
      </c>
      <c r="O171" s="328">
        <f t="shared" si="79"/>
        <v>-1</v>
      </c>
      <c r="P171" s="322">
        <f t="shared" si="74"/>
        <v>-8.1665393350568873</v>
      </c>
      <c r="Q171" s="322">
        <f t="shared" si="72"/>
        <v>0</v>
      </c>
      <c r="R171" s="323">
        <f t="shared" si="75"/>
        <v>-483353</v>
      </c>
      <c r="S171" s="350">
        <f t="shared" si="76"/>
        <v>-3947321.2872177516</v>
      </c>
    </row>
    <row r="172" spans="1:19" x14ac:dyDescent="0.15">
      <c r="A172" s="351" t="s">
        <v>231</v>
      </c>
      <c r="B172" s="166">
        <v>93081</v>
      </c>
      <c r="C172" s="164">
        <v>2.2700490391659733E-2</v>
      </c>
      <c r="D172" s="149">
        <v>5.133581464549958</v>
      </c>
      <c r="E172" s="149">
        <v>477838.89630177466</v>
      </c>
      <c r="F172" s="209">
        <v>1.0419112609590362E-2</v>
      </c>
      <c r="G172" s="166">
        <v>91589</v>
      </c>
      <c r="H172" s="164">
        <v>2.1201181945812438E-2</v>
      </c>
      <c r="I172" s="149">
        <v>6.5533471413203488</v>
      </c>
      <c r="J172" s="149">
        <v>600214.51132638939</v>
      </c>
      <c r="K172" s="160">
        <v>1.3231253145958133E-2</v>
      </c>
      <c r="L172" s="349">
        <f>B172-G172</f>
        <v>1492</v>
      </c>
      <c r="M172" s="324">
        <f>D172-I172</f>
        <v>-1.4197656767703908</v>
      </c>
      <c r="N172" s="321">
        <f t="shared" si="78"/>
        <v>1.6290165849610762E-2</v>
      </c>
      <c r="O172" s="321">
        <f t="shared" si="79"/>
        <v>-0.21664740874452451</v>
      </c>
      <c r="P172" s="322">
        <f>D172-I172</f>
        <v>-1.4197656767703908</v>
      </c>
      <c r="Q172" s="322">
        <f>P172*B172</f>
        <v>-132153.20895946474</v>
      </c>
      <c r="R172" s="323">
        <f>B172-G172</f>
        <v>1492</v>
      </c>
      <c r="S172" s="350">
        <f t="shared" si="76"/>
        <v>9777.5939348499596</v>
      </c>
    </row>
    <row r="173" spans="1:19" x14ac:dyDescent="0.15">
      <c r="A173" s="353" t="s">
        <v>9</v>
      </c>
      <c r="B173" s="166">
        <v>37791</v>
      </c>
      <c r="C173" s="171">
        <v>9.2164269012066143E-3</v>
      </c>
      <c r="D173" s="149">
        <v>7.1569596625216034</v>
      </c>
      <c r="E173" s="149">
        <v>270468.66260635393</v>
      </c>
      <c r="F173" s="225">
        <v>5.8974760633156882E-3</v>
      </c>
      <c r="G173" s="166">
        <v>22662</v>
      </c>
      <c r="H173" s="171">
        <v>5.2458394049067188E-3</v>
      </c>
      <c r="I173" s="149">
        <v>6.4789278603359737</v>
      </c>
      <c r="J173" s="149">
        <v>146825.46317093383</v>
      </c>
      <c r="K173" s="172">
        <v>3.236650955329485E-3</v>
      </c>
      <c r="L173" s="349">
        <f>B173-G173</f>
        <v>15129</v>
      </c>
      <c r="M173" s="303">
        <f>D173-I173</f>
        <v>0.67803180218562975</v>
      </c>
      <c r="N173" s="321">
        <f t="shared" si="78"/>
        <v>0.66759332803812554</v>
      </c>
      <c r="O173" s="321">
        <f t="shared" si="79"/>
        <v>0.10465185240547956</v>
      </c>
      <c r="P173" s="322">
        <f>D173-I173</f>
        <v>0.67803180218562975</v>
      </c>
      <c r="Q173" s="322">
        <f>P173*B173</f>
        <v>25623.499836397135</v>
      </c>
      <c r="R173" s="323">
        <f>B173-G173</f>
        <v>15129</v>
      </c>
      <c r="S173" s="350">
        <f t="shared" si="76"/>
        <v>98019.699599022948</v>
      </c>
    </row>
    <row r="174" spans="1:19" x14ac:dyDescent="0.15">
      <c r="A174" s="353" t="s">
        <v>162</v>
      </c>
      <c r="B174" s="166"/>
      <c r="C174" s="171"/>
      <c r="D174" s="149"/>
      <c r="E174" s="149"/>
      <c r="F174" s="225"/>
      <c r="G174" s="166">
        <v>16950</v>
      </c>
      <c r="H174" s="171">
        <v>3.9236156523329308E-3</v>
      </c>
      <c r="I174" s="149">
        <v>10.469726896300685</v>
      </c>
      <c r="J174" s="149">
        <v>177461.8708922966</v>
      </c>
      <c r="K174" s="172">
        <v>3.9120062797923221E-3</v>
      </c>
      <c r="L174" s="349">
        <f t="shared" ref="L174:L181" si="80">B174-G174</f>
        <v>-16950</v>
      </c>
      <c r="M174" s="303">
        <f t="shared" ref="M174:M181" si="81">D174-I174</f>
        <v>-10.469726896300685</v>
      </c>
      <c r="N174" s="321">
        <f t="shared" si="78"/>
        <v>-1</v>
      </c>
      <c r="O174" s="321">
        <f t="shared" si="79"/>
        <v>-1</v>
      </c>
      <c r="P174" s="322">
        <f t="shared" ref="P174:P181" si="82">D174-I174</f>
        <v>-10.469726896300685</v>
      </c>
      <c r="Q174" s="322">
        <f t="shared" ref="Q174:Q181" si="83">P174*B174</f>
        <v>0</v>
      </c>
      <c r="R174" s="323">
        <f t="shared" ref="R174:R181" si="84">B174-G174</f>
        <v>-16950</v>
      </c>
      <c r="S174" s="350">
        <f t="shared" si="76"/>
        <v>-177461.8708922966</v>
      </c>
    </row>
    <row r="175" spans="1:19" x14ac:dyDescent="0.15">
      <c r="A175" s="353" t="s">
        <v>163</v>
      </c>
      <c r="B175" s="166"/>
      <c r="C175" s="171"/>
      <c r="D175" s="149"/>
      <c r="E175" s="149"/>
      <c r="F175" s="225"/>
      <c r="G175" s="166">
        <v>1185</v>
      </c>
      <c r="H175" s="171">
        <v>2.7430587303920492E-4</v>
      </c>
      <c r="I175" s="149">
        <v>4.9740858417302967</v>
      </c>
      <c r="J175" s="149">
        <v>5894.2917224504017</v>
      </c>
      <c r="K175" s="172">
        <v>1.2993498894840524E-4</v>
      </c>
      <c r="L175" s="349">
        <f t="shared" si="80"/>
        <v>-1185</v>
      </c>
      <c r="M175" s="303">
        <f t="shared" si="81"/>
        <v>-4.9740858417302967</v>
      </c>
      <c r="N175" s="321">
        <f t="shared" si="78"/>
        <v>-1</v>
      </c>
      <c r="O175" s="321">
        <f t="shared" si="79"/>
        <v>-1</v>
      </c>
      <c r="P175" s="322">
        <f t="shared" si="82"/>
        <v>-4.9740858417302967</v>
      </c>
      <c r="Q175" s="322">
        <f t="shared" si="83"/>
        <v>0</v>
      </c>
      <c r="R175" s="323">
        <f t="shared" si="84"/>
        <v>-1185</v>
      </c>
      <c r="S175" s="350">
        <f t="shared" si="76"/>
        <v>-5894.2917224504017</v>
      </c>
    </row>
    <row r="176" spans="1:19" x14ac:dyDescent="0.15">
      <c r="A176" s="353" t="s">
        <v>164</v>
      </c>
      <c r="B176" s="166">
        <v>6990</v>
      </c>
      <c r="C176" s="171">
        <v>1.7047133984132265E-3</v>
      </c>
      <c r="D176" s="149">
        <v>3.4523467408853339</v>
      </c>
      <c r="E176" s="149">
        <v>24131.903718788482</v>
      </c>
      <c r="F176" s="225">
        <v>5.2618785175466225E-4</v>
      </c>
      <c r="G176" s="166">
        <v>30616</v>
      </c>
      <c r="H176" s="171">
        <v>7.0870452396356943E-3</v>
      </c>
      <c r="I176" s="149">
        <v>3.6460613549513834</v>
      </c>
      <c r="J176" s="149">
        <v>111627.81444319156</v>
      </c>
      <c r="K176" s="172">
        <v>2.4607466883198154E-3</v>
      </c>
      <c r="L176" s="349">
        <f t="shared" si="80"/>
        <v>-23626</v>
      </c>
      <c r="M176" s="324">
        <f t="shared" si="81"/>
        <v>-0.19371461406604951</v>
      </c>
      <c r="N176" s="321">
        <f t="shared" si="78"/>
        <v>-0.77168800627123069</v>
      </c>
      <c r="O176" s="321">
        <f t="shared" si="79"/>
        <v>-5.3129828383985736E-2</v>
      </c>
      <c r="P176" s="322">
        <f t="shared" si="82"/>
        <v>-0.19371461406604951</v>
      </c>
      <c r="Q176" s="322">
        <f t="shared" si="83"/>
        <v>-1354.0651523216861</v>
      </c>
      <c r="R176" s="323">
        <f t="shared" si="84"/>
        <v>-23626</v>
      </c>
      <c r="S176" s="350">
        <f t="shared" si="76"/>
        <v>-86141.84557208138</v>
      </c>
    </row>
    <row r="177" spans="1:19" x14ac:dyDescent="0.15">
      <c r="A177" s="351" t="s">
        <v>232</v>
      </c>
      <c r="B177" s="166">
        <v>243500</v>
      </c>
      <c r="C177" s="164">
        <v>5.9384508227985786E-2</v>
      </c>
      <c r="D177" s="149">
        <v>3.5300891044008273</v>
      </c>
      <c r="E177" s="149">
        <v>859576.69692160143</v>
      </c>
      <c r="F177" s="209">
        <v>1.87427739163155E-2</v>
      </c>
      <c r="G177" s="166">
        <v>310811</v>
      </c>
      <c r="H177" s="164">
        <v>7.194707401281715E-2</v>
      </c>
      <c r="I177" s="149">
        <v>3.7754616468180902</v>
      </c>
      <c r="J177" s="149">
        <v>1173455.0099091774</v>
      </c>
      <c r="K177" s="160">
        <v>2.5867885561763986E-2</v>
      </c>
      <c r="L177" s="349">
        <f t="shared" si="80"/>
        <v>-67311</v>
      </c>
      <c r="M177" s="324">
        <f t="shared" si="81"/>
        <v>-0.24537254241726281</v>
      </c>
      <c r="N177" s="321">
        <f t="shared" si="78"/>
        <v>-0.21656569426436001</v>
      </c>
      <c r="O177" s="321">
        <f t="shared" si="79"/>
        <v>-6.4991401150653882E-2</v>
      </c>
      <c r="P177" s="322">
        <f t="shared" si="82"/>
        <v>-0.24537254241726281</v>
      </c>
      <c r="Q177" s="322">
        <f t="shared" si="83"/>
        <v>-59748.214078603494</v>
      </c>
      <c r="R177" s="323">
        <f t="shared" si="84"/>
        <v>-67311</v>
      </c>
      <c r="S177" s="350">
        <f t="shared" si="76"/>
        <v>-254130.09890897246</v>
      </c>
    </row>
    <row r="178" spans="1:19" x14ac:dyDescent="0.15">
      <c r="A178" s="351" t="s">
        <v>233</v>
      </c>
      <c r="B178" s="166"/>
      <c r="C178" s="164"/>
      <c r="D178" s="149"/>
      <c r="E178" s="149"/>
      <c r="F178" s="209"/>
      <c r="G178" s="166">
        <v>19044</v>
      </c>
      <c r="H178" s="164">
        <v>4.4083384355768926E-3</v>
      </c>
      <c r="I178" s="149">
        <v>4.1231903280886533</v>
      </c>
      <c r="J178" s="149">
        <v>78522.03660812031</v>
      </c>
      <c r="K178" s="160">
        <v>1.7309560570308601E-3</v>
      </c>
      <c r="L178" s="349">
        <f t="shared" si="80"/>
        <v>-19044</v>
      </c>
      <c r="M178" s="303">
        <f t="shared" si="81"/>
        <v>-4.1231903280886533</v>
      </c>
      <c r="N178" s="321">
        <f t="shared" si="78"/>
        <v>-1</v>
      </c>
      <c r="O178" s="321">
        <f t="shared" si="79"/>
        <v>-1</v>
      </c>
      <c r="P178" s="322">
        <f t="shared" si="82"/>
        <v>-4.1231903280886533</v>
      </c>
      <c r="Q178" s="322">
        <f t="shared" si="83"/>
        <v>0</v>
      </c>
      <c r="R178" s="323">
        <f t="shared" si="84"/>
        <v>-19044</v>
      </c>
      <c r="S178" s="350">
        <f t="shared" si="76"/>
        <v>-78522.03660812031</v>
      </c>
    </row>
    <row r="179" spans="1:19" x14ac:dyDescent="0.15">
      <c r="A179" s="351" t="s">
        <v>234</v>
      </c>
      <c r="B179" s="166"/>
      <c r="C179" s="164"/>
      <c r="D179" s="149"/>
      <c r="E179" s="149"/>
      <c r="F179" s="209"/>
      <c r="G179" s="166">
        <v>57670</v>
      </c>
      <c r="H179" s="164">
        <v>1.3349552487907972E-2</v>
      </c>
      <c r="I179" s="149">
        <v>3.1255928251452159</v>
      </c>
      <c r="J179" s="149">
        <v>180252.93822612459</v>
      </c>
      <c r="K179" s="160">
        <v>3.9735331468447104E-3</v>
      </c>
      <c r="L179" s="349">
        <f t="shared" si="80"/>
        <v>-57670</v>
      </c>
      <c r="M179" s="303">
        <f t="shared" si="81"/>
        <v>-3.1255928251452159</v>
      </c>
      <c r="N179" s="321">
        <f t="shared" si="78"/>
        <v>-1</v>
      </c>
      <c r="O179" s="321">
        <f t="shared" si="79"/>
        <v>-1</v>
      </c>
      <c r="P179" s="322">
        <f t="shared" si="82"/>
        <v>-3.1255928251452159</v>
      </c>
      <c r="Q179" s="322">
        <f t="shared" si="83"/>
        <v>0</v>
      </c>
      <c r="R179" s="323">
        <f t="shared" si="84"/>
        <v>-57670</v>
      </c>
      <c r="S179" s="350">
        <f t="shared" si="76"/>
        <v>-180252.93822612459</v>
      </c>
    </row>
    <row r="180" spans="1:19" x14ac:dyDescent="0.15">
      <c r="A180" s="351" t="s">
        <v>168</v>
      </c>
      <c r="B180" s="166">
        <v>2285</v>
      </c>
      <c r="C180" s="164">
        <v>5.5726324969588301E-4</v>
      </c>
      <c r="D180" s="149">
        <v>1.5128424843405359</v>
      </c>
      <c r="E180" s="149">
        <v>3456.8450767181248</v>
      </c>
      <c r="F180" s="209">
        <v>7.537531667469744E-5</v>
      </c>
      <c r="G180" s="166">
        <v>40267</v>
      </c>
      <c r="H180" s="164">
        <v>9.3210756030967633E-3</v>
      </c>
      <c r="I180" s="149">
        <v>3.5769519069971292</v>
      </c>
      <c r="J180" s="149">
        <v>144033.1224390534</v>
      </c>
      <c r="K180" s="160">
        <v>3.1750960172263823E-3</v>
      </c>
      <c r="L180" s="349">
        <f t="shared" si="80"/>
        <v>-37982</v>
      </c>
      <c r="M180" s="303">
        <f t="shared" si="81"/>
        <v>-2.0641094226565935</v>
      </c>
      <c r="N180" s="321">
        <f t="shared" si="78"/>
        <v>-0.94325378101174662</v>
      </c>
      <c r="O180" s="321">
        <f t="shared" si="79"/>
        <v>-0.57705819824382953</v>
      </c>
      <c r="P180" s="322">
        <f t="shared" si="82"/>
        <v>-2.0641094226565935</v>
      </c>
      <c r="Q180" s="322">
        <f t="shared" si="83"/>
        <v>-4716.4900307703165</v>
      </c>
      <c r="R180" s="323">
        <f t="shared" si="84"/>
        <v>-37982</v>
      </c>
      <c r="S180" s="350">
        <f t="shared" si="76"/>
        <v>-135859.78733156496</v>
      </c>
    </row>
    <row r="181" spans="1:19" x14ac:dyDescent="0.15">
      <c r="A181" s="353" t="s">
        <v>133</v>
      </c>
      <c r="B181" s="166">
        <v>654900</v>
      </c>
      <c r="C181" s="171">
        <v>0.15971628106163405</v>
      </c>
      <c r="D181" s="149">
        <v>12.138339364788516</v>
      </c>
      <c r="E181" s="149">
        <v>7949398.4499999993</v>
      </c>
      <c r="F181" s="225">
        <v>0.17333389615219874</v>
      </c>
      <c r="G181" s="166">
        <v>593595</v>
      </c>
      <c r="H181" s="171">
        <v>0.13740640903519563</v>
      </c>
      <c r="I181" s="149">
        <v>11.400475863172701</v>
      </c>
      <c r="J181" s="149">
        <v>6767265.4699999997</v>
      </c>
      <c r="K181" s="172">
        <v>0.1491790032560224</v>
      </c>
      <c r="L181" s="349">
        <f t="shared" si="80"/>
        <v>61305</v>
      </c>
      <c r="M181" s="324">
        <f t="shared" si="81"/>
        <v>0.7378635016158146</v>
      </c>
      <c r="N181" s="321">
        <f t="shared" si="78"/>
        <v>0.10327748717559952</v>
      </c>
      <c r="O181" s="321">
        <f t="shared" si="79"/>
        <v>6.4722166905274298E-2</v>
      </c>
      <c r="P181" s="322">
        <f t="shared" si="82"/>
        <v>0.7378635016158146</v>
      </c>
      <c r="Q181" s="322">
        <f t="shared" si="83"/>
        <v>483226.80720819696</v>
      </c>
      <c r="R181" s="323">
        <f t="shared" si="84"/>
        <v>61305</v>
      </c>
      <c r="S181" s="350">
        <f t="shared" si="76"/>
        <v>698906.17279180244</v>
      </c>
    </row>
    <row r="182" spans="1:19" x14ac:dyDescent="0.15">
      <c r="A182" s="353" t="s">
        <v>170</v>
      </c>
      <c r="B182" s="166"/>
      <c r="C182" s="171"/>
      <c r="D182" s="149"/>
      <c r="E182" s="149"/>
      <c r="F182" s="225"/>
      <c r="G182" s="166"/>
      <c r="H182" s="171"/>
      <c r="I182" s="149"/>
      <c r="J182" s="149"/>
      <c r="K182" s="172"/>
      <c r="L182" s="349"/>
      <c r="M182" s="303"/>
      <c r="N182" s="321"/>
      <c r="O182" s="321"/>
      <c r="P182" s="322"/>
      <c r="Q182" s="322"/>
      <c r="R182" s="323"/>
      <c r="S182" s="350"/>
    </row>
    <row r="183" spans="1:19" x14ac:dyDescent="0.15">
      <c r="A183" s="354" t="s">
        <v>235</v>
      </c>
      <c r="B183" s="166"/>
      <c r="C183" s="164"/>
      <c r="D183" s="176"/>
      <c r="E183" s="149"/>
      <c r="F183" s="209"/>
      <c r="G183" s="166">
        <v>911</v>
      </c>
      <c r="H183" s="164">
        <v>2.1087987370355753E-4</v>
      </c>
      <c r="I183" s="176">
        <v>7.9057693329021808</v>
      </c>
      <c r="J183" s="149">
        <v>7202.1558622738867</v>
      </c>
      <c r="K183" s="160">
        <v>1.5876581724058432E-4</v>
      </c>
      <c r="L183" s="349">
        <f t="shared" ref="L183:L186" si="85">B183-G183</f>
        <v>-911</v>
      </c>
      <c r="M183" s="303">
        <f t="shared" ref="M183:M186" si="86">D183-I183</f>
        <v>-7.9057693329021808</v>
      </c>
      <c r="N183" s="321">
        <f>L183/G183</f>
        <v>-1</v>
      </c>
      <c r="O183" s="321">
        <f t="shared" ref="O183:O186" si="87">M183/I183</f>
        <v>-1</v>
      </c>
      <c r="P183" s="322">
        <f t="shared" ref="P183:P185" si="88">D183-I183</f>
        <v>-7.9057693329021808</v>
      </c>
      <c r="Q183" s="322">
        <f t="shared" ref="Q183:Q184" si="89">P183*B183</f>
        <v>0</v>
      </c>
      <c r="R183" s="323">
        <f t="shared" ref="R183:R185" si="90">B183-G183</f>
        <v>-911</v>
      </c>
      <c r="S183" s="350">
        <f t="shared" ref="S183:S184" si="91">R183*I183</f>
        <v>-7202.1558622738867</v>
      </c>
    </row>
    <row r="184" spans="1:19" x14ac:dyDescent="0.15">
      <c r="A184" s="354" t="s">
        <v>172</v>
      </c>
      <c r="B184" s="166">
        <v>62</v>
      </c>
      <c r="C184" s="164">
        <v>1.5120490801376257E-5</v>
      </c>
      <c r="D184" s="176">
        <v>12.360884716006536</v>
      </c>
      <c r="E184" s="149">
        <v>766.37485239240527</v>
      </c>
      <c r="F184" s="209">
        <v>1.6710539786597542E-5</v>
      </c>
      <c r="G184" s="166">
        <v>30</v>
      </c>
      <c r="H184" s="164">
        <v>6.9444524820051876E-6</v>
      </c>
      <c r="I184" s="176">
        <v>18.398319254077368</v>
      </c>
      <c r="J184" s="149">
        <v>551.94957762232104</v>
      </c>
      <c r="K184" s="160">
        <v>1.2167290939346054E-5</v>
      </c>
      <c r="L184" s="349">
        <f t="shared" si="85"/>
        <v>32</v>
      </c>
      <c r="M184" s="303">
        <f t="shared" si="86"/>
        <v>-6.0374345380708316</v>
      </c>
      <c r="N184" s="321">
        <f>L184/G184</f>
        <v>1.0666666666666667</v>
      </c>
      <c r="O184" s="321">
        <f t="shared" si="87"/>
        <v>-0.32815141724061764</v>
      </c>
      <c r="P184" s="322">
        <f t="shared" si="88"/>
        <v>-6.0374345380708316</v>
      </c>
      <c r="Q184" s="322">
        <f t="shared" si="89"/>
        <v>-374.32094136039154</v>
      </c>
      <c r="R184" s="323">
        <f t="shared" si="90"/>
        <v>32</v>
      </c>
      <c r="S184" s="350">
        <f t="shared" si="91"/>
        <v>588.74621613047577</v>
      </c>
    </row>
    <row r="185" spans="1:19" x14ac:dyDescent="0.15">
      <c r="A185" s="355" t="s">
        <v>236</v>
      </c>
      <c r="B185" s="356">
        <v>4100334</v>
      </c>
      <c r="C185" s="181"/>
      <c r="D185" s="182">
        <v>11.184698330708574</v>
      </c>
      <c r="E185" s="183">
        <v>45860998.84514761</v>
      </c>
      <c r="F185" s="357"/>
      <c r="G185" s="356">
        <v>4319054</v>
      </c>
      <c r="H185" s="181"/>
      <c r="I185" s="182">
        <v>10.501289635153967</v>
      </c>
      <c r="J185" s="183">
        <v>45355637.003870279</v>
      </c>
      <c r="K185" s="184"/>
      <c r="L185" s="358">
        <f t="shared" si="85"/>
        <v>-218720</v>
      </c>
      <c r="M185" s="335">
        <f t="shared" si="86"/>
        <v>0.6834086955546077</v>
      </c>
      <c r="N185" s="336">
        <f t="shared" ref="N185:N186" si="92">L185/G185</f>
        <v>-5.0640719009301574E-2</v>
      </c>
      <c r="O185" s="336">
        <f t="shared" si="87"/>
        <v>6.5078549330440189E-2</v>
      </c>
      <c r="P185" s="322">
        <f t="shared" si="88"/>
        <v>0.6834086955546077</v>
      </c>
      <c r="Q185" s="322">
        <f>SUM(Q167:Q182)-Q183-Q184</f>
        <v>-1312615.6724659237</v>
      </c>
      <c r="R185" s="323">
        <f t="shared" si="90"/>
        <v>-218720</v>
      </c>
      <c r="S185" s="350">
        <f>SUM(S167:S182)-S183-S184</f>
        <v>1817977.5137432597</v>
      </c>
    </row>
    <row r="186" spans="1:19" ht="14.25" thickBot="1" x14ac:dyDescent="0.2">
      <c r="A186" s="359" t="s">
        <v>174</v>
      </c>
      <c r="B186" s="360">
        <v>4100396</v>
      </c>
      <c r="C186" s="256"/>
      <c r="D186" s="361">
        <v>11.184716115223992</v>
      </c>
      <c r="E186" s="362">
        <v>45861765.219999999</v>
      </c>
      <c r="F186" s="363"/>
      <c r="G186" s="360">
        <v>4319995</v>
      </c>
      <c r="H186" s="256"/>
      <c r="I186" s="361">
        <v>10.500797132707369</v>
      </c>
      <c r="J186" s="362">
        <v>45363391.109310172</v>
      </c>
      <c r="K186" s="257"/>
      <c r="L186" s="364">
        <f t="shared" si="85"/>
        <v>-219599</v>
      </c>
      <c r="M186" s="365">
        <f t="shared" si="86"/>
        <v>0.68391898251662298</v>
      </c>
      <c r="N186" s="366">
        <f t="shared" si="92"/>
        <v>-5.0833160686528572E-2</v>
      </c>
      <c r="O186" s="366">
        <f t="shared" si="87"/>
        <v>6.5130196676820434E-2</v>
      </c>
      <c r="P186" s="367"/>
      <c r="Q186" s="368">
        <f>E185-J185</f>
        <v>505361.84127733111</v>
      </c>
      <c r="R186" s="369"/>
      <c r="S186" s="370">
        <f>Q185+S185</f>
        <v>505361.841277336</v>
      </c>
    </row>
    <row r="187" spans="1:19" x14ac:dyDescent="0.15">
      <c r="A187" s="509" t="s">
        <v>145</v>
      </c>
      <c r="B187" s="512" t="s">
        <v>182</v>
      </c>
      <c r="C187" s="513"/>
      <c r="D187" s="513"/>
      <c r="E187" s="513"/>
      <c r="F187" s="514"/>
      <c r="G187" s="515" t="s">
        <v>207</v>
      </c>
      <c r="H187" s="516"/>
      <c r="I187" s="516"/>
      <c r="J187" s="516"/>
      <c r="K187" s="517"/>
      <c r="L187" s="518" t="s">
        <v>208</v>
      </c>
      <c r="M187" s="519"/>
      <c r="N187" s="519"/>
      <c r="O187" s="520"/>
      <c r="P187" s="501" t="s">
        <v>209</v>
      </c>
      <c r="Q187" s="501" t="s">
        <v>240</v>
      </c>
      <c r="R187" s="501" t="s">
        <v>211</v>
      </c>
      <c r="S187" s="504" t="s">
        <v>241</v>
      </c>
    </row>
    <row r="188" spans="1:19" x14ac:dyDescent="0.15">
      <c r="A188" s="510"/>
      <c r="B188" s="449" t="s">
        <v>244</v>
      </c>
      <c r="C188" s="450"/>
      <c r="D188" s="450"/>
      <c r="E188" s="450"/>
      <c r="F188" s="451"/>
      <c r="G188" s="449" t="s">
        <v>244</v>
      </c>
      <c r="H188" s="450"/>
      <c r="I188" s="450"/>
      <c r="J188" s="450"/>
      <c r="K188" s="451"/>
      <c r="L188" s="507" t="s">
        <v>151</v>
      </c>
      <c r="M188" s="508" t="s">
        <v>153</v>
      </c>
      <c r="N188" s="508" t="s">
        <v>213</v>
      </c>
      <c r="O188" s="508" t="s">
        <v>214</v>
      </c>
      <c r="P188" s="502"/>
      <c r="Q188" s="502"/>
      <c r="R188" s="502"/>
      <c r="S188" s="505" t="s">
        <v>215</v>
      </c>
    </row>
    <row r="189" spans="1:19" x14ac:dyDescent="0.15">
      <c r="A189" s="511"/>
      <c r="B189" s="145" t="s">
        <v>151</v>
      </c>
      <c r="C189" s="141" t="s">
        <v>152</v>
      </c>
      <c r="D189" s="142" t="s">
        <v>153</v>
      </c>
      <c r="E189" s="143" t="s">
        <v>154</v>
      </c>
      <c r="F189" s="144" t="s">
        <v>155</v>
      </c>
      <c r="G189" s="145" t="s">
        <v>151</v>
      </c>
      <c r="H189" s="141" t="s">
        <v>152</v>
      </c>
      <c r="I189" s="142" t="s">
        <v>153</v>
      </c>
      <c r="J189" s="143" t="s">
        <v>154</v>
      </c>
      <c r="K189" s="144" t="s">
        <v>155</v>
      </c>
      <c r="L189" s="507"/>
      <c r="M189" s="508"/>
      <c r="N189" s="508"/>
      <c r="O189" s="508"/>
      <c r="P189" s="503"/>
      <c r="Q189" s="503" t="e">
        <f t="shared" ref="Q189:Q194" si="93">P189*B189</f>
        <v>#VALUE!</v>
      </c>
      <c r="R189" s="503" t="e">
        <f>B189-L189</f>
        <v>#VALUE!</v>
      </c>
      <c r="S189" s="506" t="e">
        <f>R189*N189</f>
        <v>#VALUE!</v>
      </c>
    </row>
    <row r="190" spans="1:19" x14ac:dyDescent="0.15">
      <c r="A190" s="346" t="s">
        <v>156</v>
      </c>
      <c r="B190" s="347"/>
      <c r="C190" s="127"/>
      <c r="D190" s="127"/>
      <c r="E190" s="127"/>
      <c r="F190" s="348"/>
      <c r="G190" s="166">
        <v>7060</v>
      </c>
      <c r="H190" s="164">
        <v>1.4634975518546618E-3</v>
      </c>
      <c r="I190" s="149">
        <v>50.140700228347725</v>
      </c>
      <c r="J190" s="149">
        <v>353993.34361213492</v>
      </c>
      <c r="K190" s="160">
        <v>7.0259960425643111E-3</v>
      </c>
      <c r="L190" s="349">
        <f>B190-G190</f>
        <v>-7060</v>
      </c>
      <c r="M190" s="303">
        <f t="shared" ref="M190:M194" si="94">D190-I190</f>
        <v>-50.140700228347725</v>
      </c>
      <c r="N190" s="321">
        <f>L190/G190</f>
        <v>-1</v>
      </c>
      <c r="O190" s="321">
        <f>M190/I190</f>
        <v>-1</v>
      </c>
      <c r="P190" s="322">
        <f t="shared" ref="P190:P194" si="95">D190-I190</f>
        <v>-50.140700228347725</v>
      </c>
      <c r="Q190" s="322">
        <f t="shared" si="93"/>
        <v>0</v>
      </c>
      <c r="R190" s="323">
        <f t="shared" ref="R190:R194" si="96">B190-G190</f>
        <v>-7060</v>
      </c>
      <c r="S190" s="350">
        <f t="shared" ref="S190:S204" si="97">R190*I190</f>
        <v>-353993.34361213492</v>
      </c>
    </row>
    <row r="191" spans="1:19" x14ac:dyDescent="0.15">
      <c r="A191" s="351" t="s">
        <v>228</v>
      </c>
      <c r="B191" s="166">
        <v>1050249</v>
      </c>
      <c r="C191" s="164">
        <v>0.22874259948107342</v>
      </c>
      <c r="D191" s="149">
        <v>19.545141307645409</v>
      </c>
      <c r="E191" s="149">
        <v>20527265.113213282</v>
      </c>
      <c r="F191" s="209">
        <v>0.39926894276006153</v>
      </c>
      <c r="G191" s="166">
        <v>830235</v>
      </c>
      <c r="H191" s="164">
        <v>0.17210295891842142</v>
      </c>
      <c r="I191" s="149">
        <v>18.832346282292221</v>
      </c>
      <c r="J191" s="149">
        <v>15635273.015678883</v>
      </c>
      <c r="K191" s="160">
        <v>0.31032607904892429</v>
      </c>
      <c r="L191" s="349">
        <f t="shared" ref="L191:L194" si="98">B191-G191</f>
        <v>220014</v>
      </c>
      <c r="M191" s="303">
        <f t="shared" si="94"/>
        <v>0.71279502535318784</v>
      </c>
      <c r="N191" s="321">
        <f t="shared" ref="N191:N204" si="99">L191/G191</f>
        <v>0.26500207772498147</v>
      </c>
      <c r="O191" s="321">
        <f t="shared" ref="O191:O204" si="100">M191/I191</f>
        <v>3.7849507154794543E-2</v>
      </c>
      <c r="P191" s="322">
        <f t="shared" si="95"/>
        <v>0.71279502535318784</v>
      </c>
      <c r="Q191" s="322">
        <f t="shared" si="93"/>
        <v>748612.26258216018</v>
      </c>
      <c r="R191" s="323">
        <f t="shared" si="96"/>
        <v>220014</v>
      </c>
      <c r="S191" s="350">
        <f t="shared" si="97"/>
        <v>4143379.8349522408</v>
      </c>
    </row>
    <row r="192" spans="1:19" x14ac:dyDescent="0.15">
      <c r="A192" s="351" t="s">
        <v>229</v>
      </c>
      <c r="B192" s="166">
        <v>2035754</v>
      </c>
      <c r="C192" s="164">
        <v>0.44338405641328216</v>
      </c>
      <c r="D192" s="149">
        <v>7.70244844017222</v>
      </c>
      <c r="E192" s="149">
        <v>15680290.221874358</v>
      </c>
      <c r="F192" s="209">
        <v>0.30499206126727324</v>
      </c>
      <c r="G192" s="166">
        <v>1992155</v>
      </c>
      <c r="H192" s="164">
        <v>0.41296231804745381</v>
      </c>
      <c r="I192" s="149">
        <v>8.8564380459292913</v>
      </c>
      <c r="J192" s="149">
        <v>17643397.335388266</v>
      </c>
      <c r="K192" s="160">
        <v>0.35018296838838703</v>
      </c>
      <c r="L192" s="349">
        <f t="shared" si="98"/>
        <v>43599</v>
      </c>
      <c r="M192" s="324">
        <f t="shared" si="94"/>
        <v>-1.1539896057570713</v>
      </c>
      <c r="N192" s="321">
        <f t="shared" si="99"/>
        <v>2.1885345266809058E-2</v>
      </c>
      <c r="O192" s="321">
        <f t="shared" si="100"/>
        <v>-0.13029951768109332</v>
      </c>
      <c r="P192" s="322">
        <f t="shared" si="95"/>
        <v>-1.1539896057570713</v>
      </c>
      <c r="Q192" s="322">
        <f t="shared" si="93"/>
        <v>-2349238.9558783812</v>
      </c>
      <c r="R192" s="323">
        <f t="shared" si="96"/>
        <v>43599</v>
      </c>
      <c r="S192" s="350">
        <f t="shared" si="97"/>
        <v>386131.84236447117</v>
      </c>
    </row>
    <row r="193" spans="1:19" x14ac:dyDescent="0.15">
      <c r="A193" s="351" t="s">
        <v>159</v>
      </c>
      <c r="B193" s="166">
        <v>360319</v>
      </c>
      <c r="C193" s="164">
        <v>7.8476918047454367E-2</v>
      </c>
      <c r="D193" s="149">
        <v>12.925361341174449</v>
      </c>
      <c r="E193" s="149">
        <v>4657253.2730906364</v>
      </c>
      <c r="F193" s="209">
        <v>9.0586669985364354E-2</v>
      </c>
      <c r="G193" s="166">
        <v>185289</v>
      </c>
      <c r="H193" s="164">
        <v>3.8409348142436038E-2</v>
      </c>
      <c r="I193" s="149">
        <v>12.419306947753322</v>
      </c>
      <c r="J193" s="149">
        <v>2301160.9650422651</v>
      </c>
      <c r="K193" s="160">
        <v>4.5673027827905714E-2</v>
      </c>
      <c r="L193" s="349">
        <f t="shared" si="98"/>
        <v>175030</v>
      </c>
      <c r="M193" s="324">
        <f t="shared" si="94"/>
        <v>0.50605439342112746</v>
      </c>
      <c r="N193" s="321">
        <f t="shared" si="99"/>
        <v>0.94463243905466598</v>
      </c>
      <c r="O193" s="321">
        <f t="shared" si="100"/>
        <v>4.0747394001134155E-2</v>
      </c>
      <c r="P193" s="322">
        <f t="shared" si="95"/>
        <v>0.50605439342112746</v>
      </c>
      <c r="Q193" s="322">
        <f t="shared" si="93"/>
        <v>182341.01298310721</v>
      </c>
      <c r="R193" s="323">
        <f t="shared" si="96"/>
        <v>175030</v>
      </c>
      <c r="S193" s="350">
        <f t="shared" si="97"/>
        <v>2173751.2950652638</v>
      </c>
    </row>
    <row r="194" spans="1:19" x14ac:dyDescent="0.15">
      <c r="A194" s="351" t="s">
        <v>230</v>
      </c>
      <c r="B194" s="166"/>
      <c r="C194" s="164"/>
      <c r="D194" s="149"/>
      <c r="E194" s="149"/>
      <c r="F194" s="209"/>
      <c r="G194" s="166">
        <v>483353</v>
      </c>
      <c r="H194" s="164">
        <v>0.1001963076744485</v>
      </c>
      <c r="I194" s="149">
        <v>8.1382695116125916</v>
      </c>
      <c r="J194" s="149">
        <v>3933656.983246481</v>
      </c>
      <c r="K194" s="160">
        <v>7.8074514382331497E-2</v>
      </c>
      <c r="L194" s="352">
        <f t="shared" si="98"/>
        <v>-483353</v>
      </c>
      <c r="M194" s="327">
        <f t="shared" si="94"/>
        <v>-8.1382695116125916</v>
      </c>
      <c r="N194" s="328">
        <f t="shared" si="99"/>
        <v>-1</v>
      </c>
      <c r="O194" s="328">
        <f t="shared" si="100"/>
        <v>-1</v>
      </c>
      <c r="P194" s="322">
        <f t="shared" si="95"/>
        <v>-8.1382695116125916</v>
      </c>
      <c r="Q194" s="322">
        <f t="shared" si="93"/>
        <v>0</v>
      </c>
      <c r="R194" s="323">
        <f t="shared" si="96"/>
        <v>-483353</v>
      </c>
      <c r="S194" s="350">
        <f t="shared" si="97"/>
        <v>-3933656.983246481</v>
      </c>
    </row>
    <row r="195" spans="1:19" x14ac:dyDescent="0.15">
      <c r="A195" s="351" t="s">
        <v>231</v>
      </c>
      <c r="B195" s="166">
        <v>103487</v>
      </c>
      <c r="C195" s="164">
        <v>2.2539307718929365E-2</v>
      </c>
      <c r="D195" s="149">
        <v>5.0608559467174663</v>
      </c>
      <c r="E195" s="149">
        <v>523732.7993579504</v>
      </c>
      <c r="F195" s="209">
        <v>1.0186950864380527E-2</v>
      </c>
      <c r="G195" s="166">
        <v>104811</v>
      </c>
      <c r="H195" s="164">
        <v>2.1726719816917699E-2</v>
      </c>
      <c r="I195" s="149">
        <v>6.2976064179225064</v>
      </c>
      <c r="J195" s="149">
        <v>660058.42626887583</v>
      </c>
      <c r="K195" s="160">
        <v>1.310072060537856E-2</v>
      </c>
      <c r="L195" s="349">
        <f>B195-G195</f>
        <v>-1324</v>
      </c>
      <c r="M195" s="324">
        <f>D195-I195</f>
        <v>-1.2367504712050401</v>
      </c>
      <c r="N195" s="321">
        <f t="shared" si="99"/>
        <v>-1.2632261880909447E-2</v>
      </c>
      <c r="O195" s="321">
        <f t="shared" si="100"/>
        <v>-0.19638421157685287</v>
      </c>
      <c r="P195" s="322">
        <f>D195-I195</f>
        <v>-1.2367504712050401</v>
      </c>
      <c r="Q195" s="322">
        <f>P195*B195</f>
        <v>-127987.59601359599</v>
      </c>
      <c r="R195" s="323">
        <f>B195-G195</f>
        <v>-1324</v>
      </c>
      <c r="S195" s="350">
        <f t="shared" si="97"/>
        <v>-8338.0308973293977</v>
      </c>
    </row>
    <row r="196" spans="1:19" x14ac:dyDescent="0.15">
      <c r="A196" s="353" t="s">
        <v>9</v>
      </c>
      <c r="B196" s="166">
        <v>42712</v>
      </c>
      <c r="C196" s="171">
        <v>9.3026071998503282E-3</v>
      </c>
      <c r="D196" s="149">
        <v>7.126234816416984</v>
      </c>
      <c r="E196" s="149">
        <v>304375.74147880223</v>
      </c>
      <c r="F196" s="225">
        <v>5.9203103692476037E-3</v>
      </c>
      <c r="G196" s="166">
        <v>24732</v>
      </c>
      <c r="H196" s="171">
        <v>5.1268019054489375E-3</v>
      </c>
      <c r="I196" s="149">
        <v>6.4314361249225396</v>
      </c>
      <c r="J196" s="149">
        <v>159062.27824158425</v>
      </c>
      <c r="K196" s="172">
        <v>3.1570394122188345E-3</v>
      </c>
      <c r="L196" s="349">
        <f>B196-G196</f>
        <v>17980</v>
      </c>
      <c r="M196" s="303">
        <f>D196-I196</f>
        <v>0.6947986914944444</v>
      </c>
      <c r="N196" s="321">
        <f t="shared" si="99"/>
        <v>0.72699336891476629</v>
      </c>
      <c r="O196" s="321">
        <f t="shared" si="100"/>
        <v>0.10803165544970915</v>
      </c>
      <c r="P196" s="322">
        <f>D196-I196</f>
        <v>0.6947986914944444</v>
      </c>
      <c r="Q196" s="322">
        <f>P196*B196</f>
        <v>29676.24171111071</v>
      </c>
      <c r="R196" s="323">
        <f>B196-G196</f>
        <v>17980</v>
      </c>
      <c r="S196" s="350">
        <f t="shared" si="97"/>
        <v>115637.22152610726</v>
      </c>
    </row>
    <row r="197" spans="1:19" x14ac:dyDescent="0.15">
      <c r="A197" s="353" t="s">
        <v>162</v>
      </c>
      <c r="B197" s="166"/>
      <c r="C197" s="171"/>
      <c r="D197" s="149"/>
      <c r="E197" s="149"/>
      <c r="F197" s="225"/>
      <c r="G197" s="166">
        <v>19437</v>
      </c>
      <c r="H197" s="171">
        <v>4.0291787415579405E-3</v>
      </c>
      <c r="I197" s="149">
        <v>10.492575672808606</v>
      </c>
      <c r="J197" s="149">
        <v>203944.19335238088</v>
      </c>
      <c r="K197" s="172">
        <v>4.047847569043043E-3</v>
      </c>
      <c r="L197" s="349">
        <f t="shared" ref="L197:L204" si="101">B197-G197</f>
        <v>-19437</v>
      </c>
      <c r="M197" s="303">
        <f t="shared" ref="M197:M204" si="102">D197-I197</f>
        <v>-10.492575672808606</v>
      </c>
      <c r="N197" s="321">
        <f t="shared" si="99"/>
        <v>-1</v>
      </c>
      <c r="O197" s="321">
        <f t="shared" si="100"/>
        <v>-1</v>
      </c>
      <c r="P197" s="322">
        <f t="shared" ref="P197:P204" si="103">D197-I197</f>
        <v>-10.492575672808606</v>
      </c>
      <c r="Q197" s="322">
        <f t="shared" ref="Q197:Q204" si="104">P197*B197</f>
        <v>0</v>
      </c>
      <c r="R197" s="323">
        <f t="shared" ref="R197:R204" si="105">B197-G197</f>
        <v>-19437</v>
      </c>
      <c r="S197" s="350">
        <f t="shared" si="97"/>
        <v>-203944.19335238085</v>
      </c>
    </row>
    <row r="198" spans="1:19" x14ac:dyDescent="0.15">
      <c r="A198" s="353" t="s">
        <v>163</v>
      </c>
      <c r="B198" s="166"/>
      <c r="C198" s="171"/>
      <c r="D198" s="149"/>
      <c r="E198" s="149"/>
      <c r="F198" s="225"/>
      <c r="G198" s="166">
        <v>1185</v>
      </c>
      <c r="H198" s="171">
        <v>2.4564371089911814E-4</v>
      </c>
      <c r="I198" s="149">
        <v>4.9646901820748779</v>
      </c>
      <c r="J198" s="149">
        <v>5883.1578657587306</v>
      </c>
      <c r="K198" s="172">
        <v>1.1676785631283541E-4</v>
      </c>
      <c r="L198" s="349">
        <f t="shared" si="101"/>
        <v>-1185</v>
      </c>
      <c r="M198" s="303">
        <f t="shared" si="102"/>
        <v>-4.9646901820748779</v>
      </c>
      <c r="N198" s="321">
        <f t="shared" si="99"/>
        <v>-1</v>
      </c>
      <c r="O198" s="321">
        <f t="shared" si="100"/>
        <v>-1</v>
      </c>
      <c r="P198" s="322">
        <f t="shared" si="103"/>
        <v>-4.9646901820748779</v>
      </c>
      <c r="Q198" s="322">
        <f t="shared" si="104"/>
        <v>0</v>
      </c>
      <c r="R198" s="323">
        <f t="shared" si="105"/>
        <v>-1185</v>
      </c>
      <c r="S198" s="350">
        <f t="shared" si="97"/>
        <v>-5883.1578657587306</v>
      </c>
    </row>
    <row r="199" spans="1:19" x14ac:dyDescent="0.15">
      <c r="A199" s="353" t="s">
        <v>164</v>
      </c>
      <c r="B199" s="166">
        <v>6990</v>
      </c>
      <c r="C199" s="171">
        <v>1.5224111333338125E-3</v>
      </c>
      <c r="D199" s="149">
        <v>3.4523467408853339</v>
      </c>
      <c r="E199" s="149">
        <v>24131.903718788482</v>
      </c>
      <c r="F199" s="225">
        <v>4.6938155820797599E-4</v>
      </c>
      <c r="G199" s="166">
        <v>33730</v>
      </c>
      <c r="H199" s="171">
        <v>6.9920357541158277E-3</v>
      </c>
      <c r="I199" s="149">
        <v>3.6346314870605259</v>
      </c>
      <c r="J199" s="149">
        <v>122596.12005855153</v>
      </c>
      <c r="K199" s="172">
        <v>2.4332656811448441E-3</v>
      </c>
      <c r="L199" s="349">
        <f t="shared" si="101"/>
        <v>-26740</v>
      </c>
      <c r="M199" s="324">
        <f t="shared" si="102"/>
        <v>-0.18228474617519197</v>
      </c>
      <c r="N199" s="321">
        <f t="shared" si="99"/>
        <v>-0.79276608360509937</v>
      </c>
      <c r="O199" s="321">
        <f t="shared" si="100"/>
        <v>-5.0152194747702758E-2</v>
      </c>
      <c r="P199" s="322">
        <f t="shared" si="103"/>
        <v>-0.18228474617519197</v>
      </c>
      <c r="Q199" s="322">
        <f t="shared" si="104"/>
        <v>-1274.1703757645919</v>
      </c>
      <c r="R199" s="323">
        <f t="shared" si="105"/>
        <v>-26740</v>
      </c>
      <c r="S199" s="350">
        <f t="shared" si="97"/>
        <v>-97190.045963998462</v>
      </c>
    </row>
    <row r="200" spans="1:19" x14ac:dyDescent="0.15">
      <c r="A200" s="351" t="s">
        <v>232</v>
      </c>
      <c r="B200" s="166">
        <v>269140</v>
      </c>
      <c r="C200" s="164">
        <v>5.8618273594486736E-2</v>
      </c>
      <c r="D200" s="149">
        <v>3.443170328414455</v>
      </c>
      <c r="E200" s="149">
        <v>926694.86218946637</v>
      </c>
      <c r="F200" s="209">
        <v>1.8024830675051885E-2</v>
      </c>
      <c r="G200" s="166">
        <v>348934</v>
      </c>
      <c r="H200" s="164">
        <v>7.2332019087656449E-2</v>
      </c>
      <c r="I200" s="149">
        <v>3.6670057747270151</v>
      </c>
      <c r="J200" s="149">
        <v>1279542.9929985963</v>
      </c>
      <c r="K200" s="160">
        <v>2.5396138563976239E-2</v>
      </c>
      <c r="L200" s="349">
        <f t="shared" si="101"/>
        <v>-79794</v>
      </c>
      <c r="M200" s="324">
        <f t="shared" si="102"/>
        <v>-0.22383544631256003</v>
      </c>
      <c r="N200" s="321">
        <f t="shared" si="99"/>
        <v>-0.22867934910326881</v>
      </c>
      <c r="O200" s="321">
        <f t="shared" si="100"/>
        <v>-6.1040385552494289E-2</v>
      </c>
      <c r="P200" s="322">
        <f t="shared" si="103"/>
        <v>-0.22383544631256003</v>
      </c>
      <c r="Q200" s="322">
        <f t="shared" si="104"/>
        <v>-60243.072020562402</v>
      </c>
      <c r="R200" s="323">
        <f t="shared" si="105"/>
        <v>-79794</v>
      </c>
      <c r="S200" s="350">
        <f t="shared" si="97"/>
        <v>-292605.05878856743</v>
      </c>
    </row>
    <row r="201" spans="1:19" x14ac:dyDescent="0.15">
      <c r="A201" s="351" t="s">
        <v>233</v>
      </c>
      <c r="B201" s="166"/>
      <c r="C201" s="164"/>
      <c r="D201" s="149"/>
      <c r="E201" s="149"/>
      <c r="F201" s="209"/>
      <c r="G201" s="166">
        <v>19044</v>
      </c>
      <c r="H201" s="164">
        <v>3.9477120931331704E-3</v>
      </c>
      <c r="I201" s="149">
        <v>4.0869354295330851</v>
      </c>
      <c r="J201" s="149">
        <v>77831.598320028075</v>
      </c>
      <c r="K201" s="160">
        <v>1.5447875268020336E-3</v>
      </c>
      <c r="L201" s="349">
        <f t="shared" si="101"/>
        <v>-19044</v>
      </c>
      <c r="M201" s="303">
        <f t="shared" si="102"/>
        <v>-4.0869354295330851</v>
      </c>
      <c r="N201" s="321">
        <f t="shared" si="99"/>
        <v>-1</v>
      </c>
      <c r="O201" s="321">
        <f t="shared" si="100"/>
        <v>-1</v>
      </c>
      <c r="P201" s="322">
        <f t="shared" si="103"/>
        <v>-4.0869354295330851</v>
      </c>
      <c r="Q201" s="322">
        <f t="shared" si="104"/>
        <v>0</v>
      </c>
      <c r="R201" s="323">
        <f t="shared" si="105"/>
        <v>-19044</v>
      </c>
      <c r="S201" s="350">
        <f t="shared" si="97"/>
        <v>-77831.598320028075</v>
      </c>
    </row>
    <row r="202" spans="1:19" x14ac:dyDescent="0.15">
      <c r="A202" s="351" t="s">
        <v>234</v>
      </c>
      <c r="B202" s="166"/>
      <c r="C202" s="164"/>
      <c r="D202" s="149"/>
      <c r="E202" s="149"/>
      <c r="F202" s="209"/>
      <c r="G202" s="166">
        <v>65161</v>
      </c>
      <c r="H202" s="164">
        <v>1.3507501979660287E-2</v>
      </c>
      <c r="I202" s="149">
        <v>3.0741859369880937</v>
      </c>
      <c r="J202" s="149">
        <v>200317.02984008117</v>
      </c>
      <c r="K202" s="160">
        <v>3.9758562817970473E-3</v>
      </c>
      <c r="L202" s="349">
        <f t="shared" si="101"/>
        <v>-65161</v>
      </c>
      <c r="M202" s="303">
        <f t="shared" si="102"/>
        <v>-3.0741859369880937</v>
      </c>
      <c r="N202" s="321">
        <f t="shared" si="99"/>
        <v>-1</v>
      </c>
      <c r="O202" s="321">
        <f t="shared" si="100"/>
        <v>-1</v>
      </c>
      <c r="P202" s="322">
        <f t="shared" si="103"/>
        <v>-3.0741859369880937</v>
      </c>
      <c r="Q202" s="322">
        <f t="shared" si="104"/>
        <v>0</v>
      </c>
      <c r="R202" s="323">
        <f t="shared" si="105"/>
        <v>-65161</v>
      </c>
      <c r="S202" s="350">
        <f t="shared" si="97"/>
        <v>-200317.02984008117</v>
      </c>
    </row>
    <row r="203" spans="1:19" x14ac:dyDescent="0.15">
      <c r="A203" s="351" t="s">
        <v>168</v>
      </c>
      <c r="B203" s="166">
        <v>2285</v>
      </c>
      <c r="C203" s="164">
        <v>4.9766944773501601E-4</v>
      </c>
      <c r="D203" s="149">
        <v>1.5128424843405359</v>
      </c>
      <c r="E203" s="149">
        <v>3456.8450767181248</v>
      </c>
      <c r="F203" s="209">
        <v>6.7237933132073001E-5</v>
      </c>
      <c r="G203" s="166">
        <v>45139</v>
      </c>
      <c r="H203" s="164">
        <v>9.3570560896837941E-3</v>
      </c>
      <c r="I203" s="149">
        <v>3.5336970113710779</v>
      </c>
      <c r="J203" s="149">
        <v>159507.54939627909</v>
      </c>
      <c r="K203" s="160">
        <v>3.1658770737941376E-3</v>
      </c>
      <c r="L203" s="349">
        <f t="shared" si="101"/>
        <v>-42854</v>
      </c>
      <c r="M203" s="303">
        <f t="shared" si="102"/>
        <v>-2.0208545270305418</v>
      </c>
      <c r="N203" s="321">
        <f t="shared" si="99"/>
        <v>-0.94937858614501869</v>
      </c>
      <c r="O203" s="321">
        <f t="shared" si="100"/>
        <v>-0.57188109804763598</v>
      </c>
      <c r="P203" s="322">
        <f t="shared" si="103"/>
        <v>-2.0208545270305418</v>
      </c>
      <c r="Q203" s="322">
        <f t="shared" si="104"/>
        <v>-4617.6525942647877</v>
      </c>
      <c r="R203" s="323">
        <f t="shared" si="105"/>
        <v>-42854</v>
      </c>
      <c r="S203" s="350">
        <f t="shared" si="97"/>
        <v>-151433.05172529619</v>
      </c>
    </row>
    <row r="204" spans="1:19" x14ac:dyDescent="0.15">
      <c r="A204" s="353" t="s">
        <v>133</v>
      </c>
      <c r="B204" s="166">
        <v>714900</v>
      </c>
      <c r="C204" s="171">
        <v>0.15570410861521353</v>
      </c>
      <c r="D204" s="149">
        <v>12.122437914891247</v>
      </c>
      <c r="E204" s="149">
        <v>8666330.8653557524</v>
      </c>
      <c r="F204" s="225">
        <v>0.16856589239411984</v>
      </c>
      <c r="G204" s="166">
        <v>663795</v>
      </c>
      <c r="H204" s="171">
        <v>0.13760090048631235</v>
      </c>
      <c r="I204" s="149">
        <v>11.520338252020577</v>
      </c>
      <c r="J204" s="149">
        <v>7647142.9299999997</v>
      </c>
      <c r="K204" s="172">
        <v>0.15177911373941955</v>
      </c>
      <c r="L204" s="349">
        <f t="shared" si="101"/>
        <v>51105</v>
      </c>
      <c r="M204" s="324">
        <f t="shared" si="102"/>
        <v>0.60209966287066941</v>
      </c>
      <c r="N204" s="321">
        <f t="shared" si="99"/>
        <v>7.6989130680405846E-2</v>
      </c>
      <c r="O204" s="321">
        <f t="shared" si="100"/>
        <v>5.2264061149859535E-2</v>
      </c>
      <c r="P204" s="322">
        <f t="shared" si="103"/>
        <v>0.60209966287066941</v>
      </c>
      <c r="Q204" s="322">
        <f t="shared" si="104"/>
        <v>430441.04898624157</v>
      </c>
      <c r="R204" s="323">
        <f t="shared" si="105"/>
        <v>51105</v>
      </c>
      <c r="S204" s="350">
        <f t="shared" si="97"/>
        <v>588746.8863695116</v>
      </c>
    </row>
    <row r="205" spans="1:19" x14ac:dyDescent="0.15">
      <c r="A205" s="353" t="s">
        <v>170</v>
      </c>
      <c r="B205" s="166"/>
      <c r="C205" s="171"/>
      <c r="D205" s="149"/>
      <c r="E205" s="149"/>
      <c r="F205" s="225"/>
      <c r="G205" s="166"/>
      <c r="H205" s="171"/>
      <c r="I205" s="149"/>
      <c r="J205" s="149"/>
      <c r="K205" s="172"/>
      <c r="L205" s="349"/>
      <c r="M205" s="303"/>
      <c r="N205" s="321"/>
      <c r="O205" s="321"/>
      <c r="P205" s="322"/>
      <c r="Q205" s="322"/>
      <c r="R205" s="323"/>
      <c r="S205" s="350"/>
    </row>
    <row r="206" spans="1:19" x14ac:dyDescent="0.15">
      <c r="A206" s="353" t="str">
        <f>明细表!C26</f>
        <v>高铁配餐【阿里年会专供】</v>
      </c>
      <c r="B206" s="166">
        <v>5565</v>
      </c>
      <c r="C206" s="171">
        <v>1.2120483486412971E-3</v>
      </c>
      <c r="D206" s="149">
        <v>17.716832820170023</v>
      </c>
      <c r="E206" s="149">
        <v>98594.174644246174</v>
      </c>
      <c r="F206" s="225">
        <v>1.9177221931610184E-3</v>
      </c>
      <c r="G206" s="166"/>
      <c r="H206" s="171"/>
      <c r="I206" s="149"/>
      <c r="J206" s="149"/>
      <c r="K206" s="172"/>
      <c r="L206" s="349">
        <f>B206-G206</f>
        <v>5565</v>
      </c>
      <c r="M206" s="303">
        <f t="shared" ref="M206" si="106">D206-I206</f>
        <v>17.716832820170023</v>
      </c>
      <c r="N206" s="321" t="e">
        <f>L206/G206</f>
        <v>#DIV/0!</v>
      </c>
      <c r="O206" s="321" t="e">
        <f t="shared" ref="O206" si="107">M206/I206</f>
        <v>#DIV/0!</v>
      </c>
      <c r="P206" s="322">
        <f t="shared" ref="P206" si="108">D206-I206</f>
        <v>17.716832820170023</v>
      </c>
      <c r="Q206" s="322">
        <f t="shared" ref="Q206" si="109">P206*B206</f>
        <v>98594.174644246174</v>
      </c>
      <c r="R206" s="323">
        <f>B206-G206</f>
        <v>5565</v>
      </c>
      <c r="S206" s="350">
        <f t="shared" ref="S206" si="110">R206*I206</f>
        <v>0</v>
      </c>
    </row>
    <row r="207" spans="1:19" x14ac:dyDescent="0.15">
      <c r="A207" s="354" t="s">
        <v>235</v>
      </c>
      <c r="B207" s="166"/>
      <c r="C207" s="164"/>
      <c r="D207" s="176"/>
      <c r="E207" s="149"/>
      <c r="F207" s="209"/>
      <c r="G207" s="166">
        <v>911</v>
      </c>
      <c r="H207" s="164">
        <v>1.8884508069965961E-4</v>
      </c>
      <c r="I207" s="176">
        <v>7.8953915458345492</v>
      </c>
      <c r="J207" s="149">
        <v>7192.7016982552741</v>
      </c>
      <c r="K207" s="160">
        <v>1.4275944612862144E-4</v>
      </c>
      <c r="L207" s="349">
        <f t="shared" ref="L207:L210" si="111">B207-G207</f>
        <v>-911</v>
      </c>
      <c r="M207" s="303">
        <f t="shared" ref="M207:M210" si="112">D207-I207</f>
        <v>-7.8953915458345492</v>
      </c>
      <c r="N207" s="321">
        <f>L207/G207</f>
        <v>-1</v>
      </c>
      <c r="O207" s="321">
        <f t="shared" ref="O207:O210" si="113">M207/I207</f>
        <v>-1</v>
      </c>
      <c r="P207" s="322">
        <f t="shared" ref="P207:P209" si="114">D207-I207</f>
        <v>-7.8953915458345492</v>
      </c>
      <c r="Q207" s="322">
        <f t="shared" ref="Q207:Q208" si="115">P207*B207</f>
        <v>0</v>
      </c>
      <c r="R207" s="323">
        <f t="shared" ref="R207:R208" si="116">B207-G207</f>
        <v>-911</v>
      </c>
      <c r="S207" s="350">
        <f t="shared" ref="S207:S208" si="117">R207*I207</f>
        <v>-7192.7016982552741</v>
      </c>
    </row>
    <row r="208" spans="1:19" x14ac:dyDescent="0.15">
      <c r="A208" s="354" t="s">
        <v>172</v>
      </c>
      <c r="B208" s="166">
        <v>62</v>
      </c>
      <c r="C208" s="164">
        <v>1.35035036146919E-5</v>
      </c>
      <c r="D208" s="176">
        <v>12.359570998296423</v>
      </c>
      <c r="E208" s="149">
        <v>766.29340189437823</v>
      </c>
      <c r="F208" s="209">
        <v>1.4904915717264084E-5</v>
      </c>
      <c r="G208" s="166">
        <v>30</v>
      </c>
      <c r="H208" s="164">
        <v>6.2188281240283083E-6</v>
      </c>
      <c r="I208" s="176">
        <v>18.398319216983968</v>
      </c>
      <c r="J208" s="149">
        <v>551.94957650951903</v>
      </c>
      <c r="K208" s="160">
        <v>1.0954995652404099E-5</v>
      </c>
      <c r="L208" s="349">
        <f t="shared" si="111"/>
        <v>32</v>
      </c>
      <c r="M208" s="303">
        <f t="shared" si="112"/>
        <v>-6.0387482186875445</v>
      </c>
      <c r="N208" s="321">
        <f>L208/G208</f>
        <v>1.0666666666666667</v>
      </c>
      <c r="O208" s="321">
        <f t="shared" si="113"/>
        <v>-0.32822282011027498</v>
      </c>
      <c r="P208" s="322">
        <f t="shared" si="114"/>
        <v>-6.0387482186875445</v>
      </c>
      <c r="Q208" s="322">
        <f t="shared" si="115"/>
        <v>-374.40238955862776</v>
      </c>
      <c r="R208" s="323">
        <f t="shared" si="116"/>
        <v>32</v>
      </c>
      <c r="S208" s="350">
        <f t="shared" si="117"/>
        <v>588.74621494348696</v>
      </c>
    </row>
    <row r="209" spans="1:19" x14ac:dyDescent="0.15">
      <c r="A209" s="355" t="s">
        <v>236</v>
      </c>
      <c r="B209" s="356">
        <v>4591339</v>
      </c>
      <c r="C209" s="181"/>
      <c r="D209" s="182">
        <v>11.197465381362193</v>
      </c>
      <c r="E209" s="183">
        <v>51411359.506598108</v>
      </c>
      <c r="F209" s="357"/>
      <c r="G209" s="356">
        <v>4823119</v>
      </c>
      <c r="H209" s="181"/>
      <c r="I209" s="182">
        <v>10.444615459008039</v>
      </c>
      <c r="J209" s="183">
        <v>50375623.268035397</v>
      </c>
      <c r="K209" s="184"/>
      <c r="L209" s="358">
        <f>B209-G209</f>
        <v>-231780</v>
      </c>
      <c r="M209" s="335">
        <f t="shared" si="112"/>
        <v>0.75284992235415338</v>
      </c>
      <c r="N209" s="336">
        <f t="shared" ref="N209:N210" si="118">L209/G209</f>
        <v>-4.8056040085264325E-2</v>
      </c>
      <c r="O209" s="336">
        <f t="shared" si="113"/>
        <v>7.2080195322543172E-2</v>
      </c>
      <c r="P209" s="322">
        <f t="shared" si="114"/>
        <v>0.75284992235415338</v>
      </c>
      <c r="Q209" s="322">
        <f>SUM(Q190:Q206)-Q207-Q208</f>
        <v>-1053322.3035861442</v>
      </c>
      <c r="R209" s="323">
        <f>B209-G209</f>
        <v>-231780</v>
      </c>
      <c r="S209" s="350">
        <f>SUM(S190:S205)-S207-S208</f>
        <v>2089058.5421488504</v>
      </c>
    </row>
    <row r="210" spans="1:19" ht="14.25" thickBot="1" x14ac:dyDescent="0.2">
      <c r="A210" s="359" t="s">
        <v>174</v>
      </c>
      <c r="B210" s="360">
        <v>4591401</v>
      </c>
      <c r="C210" s="256"/>
      <c r="D210" s="361">
        <v>11.19748107385959</v>
      </c>
      <c r="E210" s="362">
        <v>51412125.799999997</v>
      </c>
      <c r="F210" s="363"/>
      <c r="G210" s="360">
        <v>4824060</v>
      </c>
      <c r="H210" s="256"/>
      <c r="I210" s="361">
        <v>10.444183513329056</v>
      </c>
      <c r="J210" s="362">
        <v>50383367.919310167</v>
      </c>
      <c r="K210" s="257"/>
      <c r="L210" s="364">
        <f t="shared" si="111"/>
        <v>-232659</v>
      </c>
      <c r="M210" s="365">
        <f t="shared" si="112"/>
        <v>0.75329756053053387</v>
      </c>
      <c r="N210" s="366">
        <f t="shared" si="118"/>
        <v>-4.822887775027674E-2</v>
      </c>
      <c r="O210" s="366">
        <f t="shared" si="113"/>
        <v>7.2126036426797921E-2</v>
      </c>
      <c r="P210" s="367"/>
      <c r="Q210" s="368">
        <f>E209-J209</f>
        <v>1035736.2385627106</v>
      </c>
      <c r="R210" s="369"/>
      <c r="S210" s="370">
        <f>Q209+S209</f>
        <v>1035736.2385627062</v>
      </c>
    </row>
    <row r="215" spans="1:19" x14ac:dyDescent="0.15">
      <c r="J215" s="307"/>
    </row>
  </sheetData>
  <mergeCells count="127">
    <mergeCell ref="A1:O1"/>
    <mergeCell ref="A3:A5"/>
    <mergeCell ref="B3:F3"/>
    <mergeCell ref="G3:K3"/>
    <mergeCell ref="L3:O3"/>
    <mergeCell ref="P3:P5"/>
    <mergeCell ref="Q3:Q5"/>
    <mergeCell ref="R3:R5"/>
    <mergeCell ref="S3:S5"/>
    <mergeCell ref="B4:F4"/>
    <mergeCell ref="G4:K4"/>
    <mergeCell ref="L4:L5"/>
    <mergeCell ref="M4:M5"/>
    <mergeCell ref="N4:N5"/>
    <mergeCell ref="O4:O5"/>
    <mergeCell ref="R26:R28"/>
    <mergeCell ref="S26:S28"/>
    <mergeCell ref="B27:F27"/>
    <mergeCell ref="G27:K27"/>
    <mergeCell ref="L27:L28"/>
    <mergeCell ref="M27:M28"/>
    <mergeCell ref="N27:N28"/>
    <mergeCell ref="O27:O28"/>
    <mergeCell ref="A26:A28"/>
    <mergeCell ref="B26:F26"/>
    <mergeCell ref="G26:K26"/>
    <mergeCell ref="L26:O26"/>
    <mergeCell ref="P26:P28"/>
    <mergeCell ref="Q26:Q28"/>
    <mergeCell ref="R49:R51"/>
    <mergeCell ref="S49:S51"/>
    <mergeCell ref="B50:F50"/>
    <mergeCell ref="G50:K50"/>
    <mergeCell ref="L50:L51"/>
    <mergeCell ref="M50:M51"/>
    <mergeCell ref="N50:N51"/>
    <mergeCell ref="O50:O51"/>
    <mergeCell ref="A49:A51"/>
    <mergeCell ref="B49:F49"/>
    <mergeCell ref="G49:K49"/>
    <mergeCell ref="L49:O49"/>
    <mergeCell ref="P49:P51"/>
    <mergeCell ref="Q49:Q51"/>
    <mergeCell ref="R72:R74"/>
    <mergeCell ref="S72:S74"/>
    <mergeCell ref="B73:F73"/>
    <mergeCell ref="G73:K73"/>
    <mergeCell ref="L73:L74"/>
    <mergeCell ref="M73:M74"/>
    <mergeCell ref="N73:N74"/>
    <mergeCell ref="O73:O74"/>
    <mergeCell ref="A72:A74"/>
    <mergeCell ref="B72:F72"/>
    <mergeCell ref="G72:K72"/>
    <mergeCell ref="L72:O72"/>
    <mergeCell ref="P72:P74"/>
    <mergeCell ref="Q72:Q74"/>
    <mergeCell ref="R95:R97"/>
    <mergeCell ref="S95:S97"/>
    <mergeCell ref="B96:F96"/>
    <mergeCell ref="G96:K96"/>
    <mergeCell ref="L96:L97"/>
    <mergeCell ref="M96:M97"/>
    <mergeCell ref="N96:N97"/>
    <mergeCell ref="O96:O97"/>
    <mergeCell ref="A95:A97"/>
    <mergeCell ref="B95:F95"/>
    <mergeCell ref="G95:K95"/>
    <mergeCell ref="L95:O95"/>
    <mergeCell ref="P95:P97"/>
    <mergeCell ref="Q95:Q97"/>
    <mergeCell ref="R118:R120"/>
    <mergeCell ref="S118:S120"/>
    <mergeCell ref="B119:F119"/>
    <mergeCell ref="G119:K119"/>
    <mergeCell ref="L119:L120"/>
    <mergeCell ref="M119:M120"/>
    <mergeCell ref="N119:N120"/>
    <mergeCell ref="O119:O120"/>
    <mergeCell ref="A118:A120"/>
    <mergeCell ref="B118:F118"/>
    <mergeCell ref="G118:K118"/>
    <mergeCell ref="L118:O118"/>
    <mergeCell ref="P118:P120"/>
    <mergeCell ref="Q118:Q120"/>
    <mergeCell ref="R141:R143"/>
    <mergeCell ref="S141:S143"/>
    <mergeCell ref="B142:F142"/>
    <mergeCell ref="G142:K142"/>
    <mergeCell ref="L142:L143"/>
    <mergeCell ref="M142:M143"/>
    <mergeCell ref="N142:N143"/>
    <mergeCell ref="O142:O143"/>
    <mergeCell ref="A141:A143"/>
    <mergeCell ref="B141:F141"/>
    <mergeCell ref="G141:K141"/>
    <mergeCell ref="L141:O141"/>
    <mergeCell ref="P141:P143"/>
    <mergeCell ref="Q141:Q143"/>
    <mergeCell ref="R164:R166"/>
    <mergeCell ref="S164:S166"/>
    <mergeCell ref="B165:F165"/>
    <mergeCell ref="G165:K165"/>
    <mergeCell ref="L165:L166"/>
    <mergeCell ref="M165:M166"/>
    <mergeCell ref="N165:N166"/>
    <mergeCell ref="O165:O166"/>
    <mergeCell ref="A164:A166"/>
    <mergeCell ref="B164:F164"/>
    <mergeCell ref="G164:K164"/>
    <mergeCell ref="L164:O164"/>
    <mergeCell ref="P164:P166"/>
    <mergeCell ref="Q164:Q166"/>
    <mergeCell ref="R187:R189"/>
    <mergeCell ref="S187:S189"/>
    <mergeCell ref="B188:F188"/>
    <mergeCell ref="G188:K188"/>
    <mergeCell ref="L188:L189"/>
    <mergeCell ref="M188:M189"/>
    <mergeCell ref="N188:N189"/>
    <mergeCell ref="O188:O189"/>
    <mergeCell ref="A187:A189"/>
    <mergeCell ref="B187:F187"/>
    <mergeCell ref="G187:K187"/>
    <mergeCell ref="L187:O187"/>
    <mergeCell ref="P187:P189"/>
    <mergeCell ref="Q187:Q189"/>
  </mergeCells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汇总表</vt:lpstr>
      <vt:lpstr>明细表</vt:lpstr>
      <vt:lpstr>明细表1</vt:lpstr>
      <vt:lpstr>明细表2</vt:lpstr>
      <vt:lpstr>包材</vt:lpstr>
      <vt:lpstr>其他成本</vt:lpstr>
      <vt:lpstr>图表</vt:lpstr>
      <vt:lpstr>对比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2019-10-14T01:23:02Z</dcterms:modified>
</cp:coreProperties>
</file>