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/>
  <mc:AlternateContent xmlns:mc="http://schemas.openxmlformats.org/markup-compatibility/2006">
    <mc:Choice Requires="x15">
      <x15ac:absPath xmlns:x15ac="http://schemas.microsoft.com/office/spreadsheetml/2010/11/ac" url="K:\生物质能-高温堆\energies\online\"/>
    </mc:Choice>
  </mc:AlternateContent>
  <xr:revisionPtr revIDLastSave="0" documentId="13_ncr:1_{DF1C75F1-B356-4776-AD6D-B3ECF3E70689}" xr6:coauthVersionLast="36" xr6:coauthVersionMax="36" xr10:uidLastSave="{00000000-0000-0000-0000-000000000000}"/>
  <bookViews>
    <workbookView xWindow="0" yWindow="0" windowWidth="19110" windowHeight="7500" activeTab="1" xr2:uid="{00000000-000D-0000-FFFF-FFFF00000000}"/>
  </bookViews>
  <sheets>
    <sheet name="H-0.15" sheetId="12" r:id="rId1"/>
    <sheet name="L-0.04" sheetId="1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6" i="13" l="1"/>
  <c r="N66" i="13"/>
  <c r="O66" i="13"/>
  <c r="P61" i="13"/>
  <c r="B75" i="13" l="1"/>
  <c r="K68" i="13"/>
  <c r="J68" i="13"/>
  <c r="I68" i="13"/>
  <c r="K63" i="13"/>
  <c r="J63" i="13"/>
  <c r="I63" i="13"/>
  <c r="N57" i="13"/>
  <c r="H57" i="13"/>
  <c r="C57" i="13"/>
  <c r="K55" i="13"/>
  <c r="J55" i="13"/>
  <c r="I55" i="13"/>
  <c r="K54" i="13"/>
  <c r="J54" i="13"/>
  <c r="I54" i="13"/>
  <c r="I51" i="13"/>
  <c r="I52" i="13" s="1"/>
  <c r="I53" i="13" s="1"/>
  <c r="D51" i="13"/>
  <c r="D52" i="13" s="1"/>
  <c r="D53" i="13" s="1"/>
  <c r="K50" i="13"/>
  <c r="K51" i="13" s="1"/>
  <c r="K52" i="13" s="1"/>
  <c r="K53" i="13" s="1"/>
  <c r="I50" i="13"/>
  <c r="E50" i="13"/>
  <c r="E51" i="13" s="1"/>
  <c r="E52" i="13" s="1"/>
  <c r="E53" i="13" s="1"/>
  <c r="D50" i="13"/>
  <c r="K49" i="13"/>
  <c r="J49" i="13"/>
  <c r="J50" i="13" s="1"/>
  <c r="J51" i="13" s="1"/>
  <c r="J52" i="13" s="1"/>
  <c r="J53" i="13" s="1"/>
  <c r="F49" i="13"/>
  <c r="F50" i="13" s="1"/>
  <c r="F51" i="13" s="1"/>
  <c r="F52" i="13" s="1"/>
  <c r="F53" i="13" s="1"/>
  <c r="E49" i="13"/>
  <c r="K47" i="13"/>
  <c r="J47" i="13"/>
  <c r="I47" i="13"/>
  <c r="F44" i="13"/>
  <c r="K44" i="13" s="1"/>
  <c r="E44" i="13"/>
  <c r="J44" i="13" s="1"/>
  <c r="D44" i="13"/>
  <c r="I44" i="13" s="1"/>
  <c r="K43" i="13"/>
  <c r="J43" i="13"/>
  <c r="I43" i="13"/>
  <c r="F41" i="13"/>
  <c r="K41" i="13" s="1"/>
  <c r="F40" i="13"/>
  <c r="K40" i="13" s="1"/>
  <c r="E40" i="13"/>
  <c r="E41" i="13" s="1"/>
  <c r="D40" i="13"/>
  <c r="I40" i="13" s="1"/>
  <c r="K38" i="13"/>
  <c r="J38" i="13"/>
  <c r="I38" i="13"/>
  <c r="K37" i="13"/>
  <c r="J37" i="13"/>
  <c r="I37" i="13"/>
  <c r="F36" i="13"/>
  <c r="E36" i="13"/>
  <c r="K35" i="13"/>
  <c r="J35" i="13"/>
  <c r="I35" i="13"/>
  <c r="K34" i="13"/>
  <c r="J34" i="13"/>
  <c r="I34" i="13"/>
  <c r="K33" i="13"/>
  <c r="J33" i="13"/>
  <c r="I33" i="13"/>
  <c r="K32" i="13"/>
  <c r="J32" i="13"/>
  <c r="I32" i="13"/>
  <c r="K31" i="13"/>
  <c r="J31" i="13"/>
  <c r="I31" i="13"/>
  <c r="K30" i="13"/>
  <c r="J30" i="13"/>
  <c r="I30" i="13"/>
  <c r="K29" i="13"/>
  <c r="J29" i="13"/>
  <c r="I29" i="13"/>
  <c r="E29" i="13"/>
  <c r="D29" i="13"/>
  <c r="D36" i="13" s="1"/>
  <c r="K28" i="13"/>
  <c r="J28" i="13"/>
  <c r="I28" i="13"/>
  <c r="K27" i="13"/>
  <c r="J27" i="13"/>
  <c r="I27" i="13"/>
  <c r="K26" i="13"/>
  <c r="J26" i="13"/>
  <c r="I26" i="13"/>
  <c r="K25" i="13"/>
  <c r="J25" i="13"/>
  <c r="I25" i="13"/>
  <c r="J24" i="13"/>
  <c r="I24" i="13"/>
  <c r="I36" i="13" s="1"/>
  <c r="K23" i="13"/>
  <c r="J23" i="13"/>
  <c r="J36" i="13" s="1"/>
  <c r="I23" i="13"/>
  <c r="K22" i="13"/>
  <c r="K36" i="13" s="1"/>
  <c r="J22" i="13"/>
  <c r="I22" i="13"/>
  <c r="K21" i="13"/>
  <c r="J21" i="13"/>
  <c r="I21" i="13"/>
  <c r="K19" i="13"/>
  <c r="J19" i="13"/>
  <c r="I19" i="13"/>
  <c r="K18" i="13"/>
  <c r="K17" i="13"/>
  <c r="F16" i="13"/>
  <c r="K16" i="13" s="1"/>
  <c r="K14" i="13" s="1"/>
  <c r="K15" i="13"/>
  <c r="F14" i="13"/>
  <c r="E14" i="13"/>
  <c r="D14" i="13"/>
  <c r="K13" i="13"/>
  <c r="J13" i="13"/>
  <c r="F13" i="13"/>
  <c r="E13" i="13"/>
  <c r="D13" i="13"/>
  <c r="I13" i="13" s="1"/>
  <c r="J12" i="13"/>
  <c r="I12" i="13"/>
  <c r="F12" i="13"/>
  <c r="K12" i="13" s="1"/>
  <c r="E12" i="13"/>
  <c r="D12" i="13"/>
  <c r="K11" i="13"/>
  <c r="J11" i="13"/>
  <c r="J10" i="13" s="1"/>
  <c r="F11" i="13"/>
  <c r="E11" i="13"/>
  <c r="E10" i="13" s="1"/>
  <c r="D11" i="13"/>
  <c r="I11" i="13" s="1"/>
  <c r="F10" i="13"/>
  <c r="J9" i="13"/>
  <c r="I9" i="13"/>
  <c r="K8" i="13"/>
  <c r="J8" i="13"/>
  <c r="I8" i="13"/>
  <c r="K7" i="13"/>
  <c r="J7" i="13"/>
  <c r="I7" i="13"/>
  <c r="K6" i="13"/>
  <c r="J6" i="13"/>
  <c r="I6" i="13"/>
  <c r="K5" i="13"/>
  <c r="J5" i="13"/>
  <c r="I5" i="13"/>
  <c r="K4" i="13"/>
  <c r="J4" i="13"/>
  <c r="I4" i="13"/>
  <c r="K3" i="13"/>
  <c r="J3" i="13"/>
  <c r="I3" i="13"/>
  <c r="B75" i="12"/>
  <c r="K68" i="12"/>
  <c r="J68" i="12"/>
  <c r="I68" i="12"/>
  <c r="K63" i="12"/>
  <c r="J63" i="12"/>
  <c r="I63" i="12"/>
  <c r="N57" i="12"/>
  <c r="H57" i="12"/>
  <c r="C57" i="12"/>
  <c r="K55" i="12"/>
  <c r="J55" i="12"/>
  <c r="I55" i="12"/>
  <c r="K54" i="12"/>
  <c r="J54" i="12"/>
  <c r="I54" i="12"/>
  <c r="I51" i="12"/>
  <c r="I52" i="12" s="1"/>
  <c r="I53" i="12" s="1"/>
  <c r="P50" i="12"/>
  <c r="K50" i="12"/>
  <c r="K51" i="12" s="1"/>
  <c r="K52" i="12" s="1"/>
  <c r="K53" i="12" s="1"/>
  <c r="I50" i="12"/>
  <c r="F50" i="12"/>
  <c r="F51" i="12" s="1"/>
  <c r="F52" i="12" s="1"/>
  <c r="F53" i="12" s="1"/>
  <c r="E50" i="12"/>
  <c r="E51" i="12" s="1"/>
  <c r="E52" i="12" s="1"/>
  <c r="E53" i="12" s="1"/>
  <c r="D50" i="12"/>
  <c r="D51" i="12" s="1"/>
  <c r="D52" i="12" s="1"/>
  <c r="D53" i="12" s="1"/>
  <c r="K49" i="12"/>
  <c r="J49" i="12"/>
  <c r="J50" i="12" s="1"/>
  <c r="J51" i="12" s="1"/>
  <c r="J52" i="12" s="1"/>
  <c r="J53" i="12" s="1"/>
  <c r="F49" i="12"/>
  <c r="E49" i="12"/>
  <c r="P48" i="12"/>
  <c r="K47" i="12"/>
  <c r="J47" i="12"/>
  <c r="I47" i="12"/>
  <c r="P45" i="12"/>
  <c r="F44" i="12"/>
  <c r="K44" i="12" s="1"/>
  <c r="E44" i="12"/>
  <c r="J44" i="12" s="1"/>
  <c r="D44" i="12"/>
  <c r="I44" i="12" s="1"/>
  <c r="K43" i="12"/>
  <c r="J43" i="12"/>
  <c r="I43" i="12"/>
  <c r="F40" i="12"/>
  <c r="K40" i="12" s="1"/>
  <c r="E40" i="12"/>
  <c r="J40" i="12" s="1"/>
  <c r="D40" i="12"/>
  <c r="I40" i="12" s="1"/>
  <c r="K38" i="12"/>
  <c r="J38" i="12"/>
  <c r="I38" i="12"/>
  <c r="K37" i="12"/>
  <c r="J37" i="12"/>
  <c r="I37" i="12"/>
  <c r="F36" i="12"/>
  <c r="K35" i="12"/>
  <c r="J35" i="12"/>
  <c r="I35" i="12"/>
  <c r="K34" i="12"/>
  <c r="J34" i="12"/>
  <c r="I34" i="12"/>
  <c r="K33" i="12"/>
  <c r="J33" i="12"/>
  <c r="I33" i="12"/>
  <c r="K32" i="12"/>
  <c r="J32" i="12"/>
  <c r="I32" i="12"/>
  <c r="K31" i="12"/>
  <c r="J31" i="12"/>
  <c r="I31" i="12"/>
  <c r="K30" i="12"/>
  <c r="J30" i="12"/>
  <c r="I30" i="12"/>
  <c r="K29" i="12"/>
  <c r="J29" i="12"/>
  <c r="I29" i="12"/>
  <c r="E29" i="12"/>
  <c r="E36" i="12" s="1"/>
  <c r="D29" i="12"/>
  <c r="D36" i="12" s="1"/>
  <c r="K28" i="12"/>
  <c r="J28" i="12"/>
  <c r="I28" i="12"/>
  <c r="K27" i="12"/>
  <c r="J27" i="12"/>
  <c r="I27" i="12"/>
  <c r="K26" i="12"/>
  <c r="J26" i="12"/>
  <c r="I26" i="12"/>
  <c r="K25" i="12"/>
  <c r="J25" i="12"/>
  <c r="I25" i="12"/>
  <c r="J24" i="12"/>
  <c r="I24" i="12"/>
  <c r="K23" i="12"/>
  <c r="K36" i="12" s="1"/>
  <c r="J23" i="12"/>
  <c r="I23" i="12"/>
  <c r="K22" i="12"/>
  <c r="J22" i="12"/>
  <c r="J36" i="12" s="1"/>
  <c r="I22" i="12"/>
  <c r="I36" i="12" s="1"/>
  <c r="K21" i="12"/>
  <c r="J21" i="12"/>
  <c r="I21" i="12"/>
  <c r="K19" i="12"/>
  <c r="J19" i="12"/>
  <c r="I19" i="12"/>
  <c r="K18" i="12"/>
  <c r="K17" i="12"/>
  <c r="K16" i="12"/>
  <c r="F16" i="12"/>
  <c r="K15" i="12"/>
  <c r="K14" i="12" s="1"/>
  <c r="F14" i="12"/>
  <c r="E14" i="12"/>
  <c r="D14" i="12"/>
  <c r="I13" i="12"/>
  <c r="F13" i="12"/>
  <c r="K13" i="12" s="1"/>
  <c r="E13" i="12"/>
  <c r="J13" i="12" s="1"/>
  <c r="D13" i="12"/>
  <c r="K12" i="12"/>
  <c r="F12" i="12"/>
  <c r="E12" i="12"/>
  <c r="J12" i="12" s="1"/>
  <c r="D12" i="12"/>
  <c r="I12" i="12" s="1"/>
  <c r="I11" i="12"/>
  <c r="I10" i="12" s="1"/>
  <c r="F11" i="12"/>
  <c r="K11" i="12" s="1"/>
  <c r="K10" i="12" s="1"/>
  <c r="E11" i="12"/>
  <c r="J11" i="12" s="1"/>
  <c r="J10" i="12" s="1"/>
  <c r="D11" i="12"/>
  <c r="E10" i="12"/>
  <c r="D10" i="12"/>
  <c r="J9" i="12"/>
  <c r="I9" i="12"/>
  <c r="K8" i="12"/>
  <c r="J8" i="12"/>
  <c r="I8" i="12"/>
  <c r="K7" i="12"/>
  <c r="J7" i="12"/>
  <c r="I7" i="12"/>
  <c r="K6" i="12"/>
  <c r="J6" i="12"/>
  <c r="I6" i="12"/>
  <c r="K5" i="12"/>
  <c r="J5" i="12"/>
  <c r="I5" i="12"/>
  <c r="K4" i="12"/>
  <c r="K3" i="12" s="1"/>
  <c r="J4" i="12"/>
  <c r="I4" i="12"/>
  <c r="J3" i="12"/>
  <c r="I3" i="12"/>
  <c r="J40" i="13" l="1"/>
  <c r="J41" i="13"/>
  <c r="E45" i="13"/>
  <c r="I10" i="13"/>
  <c r="K10" i="13"/>
  <c r="L14" i="13"/>
  <c r="D41" i="13"/>
  <c r="F45" i="13"/>
  <c r="D10" i="13"/>
  <c r="D41" i="12"/>
  <c r="I41" i="12" s="1"/>
  <c r="E41" i="12"/>
  <c r="J41" i="12" s="1"/>
  <c r="L14" i="12"/>
  <c r="F10" i="12"/>
  <c r="F41" i="12"/>
  <c r="D45" i="12"/>
  <c r="E46" i="13" l="1"/>
  <c r="J45" i="13"/>
  <c r="D45" i="13"/>
  <c r="I41" i="13"/>
  <c r="F46" i="13"/>
  <c r="K45" i="13"/>
  <c r="E45" i="12"/>
  <c r="J45" i="12" s="1"/>
  <c r="I45" i="12"/>
  <c r="D46" i="12"/>
  <c r="F45" i="12"/>
  <c r="K41" i="12"/>
  <c r="E46" i="12"/>
  <c r="K46" i="13" l="1"/>
  <c r="F59" i="13"/>
  <c r="F56" i="13"/>
  <c r="F60" i="13"/>
  <c r="E59" i="13"/>
  <c r="J46" i="13"/>
  <c r="E60" i="13"/>
  <c r="E56" i="13"/>
  <c r="I45" i="13"/>
  <c r="D46" i="13"/>
  <c r="F46" i="12"/>
  <c r="K45" i="12"/>
  <c r="J46" i="12"/>
  <c r="E59" i="12"/>
  <c r="E56" i="12"/>
  <c r="E60" i="12"/>
  <c r="D59" i="12"/>
  <c r="I46" i="12"/>
  <c r="D60" i="12"/>
  <c r="D56" i="12"/>
  <c r="F57" i="13" l="1"/>
  <c r="F58" i="13"/>
  <c r="F61" i="13" s="1"/>
  <c r="J59" i="13"/>
  <c r="J60" i="13"/>
  <c r="J56" i="13"/>
  <c r="E57" i="13"/>
  <c r="E58" i="13"/>
  <c r="D59" i="13"/>
  <c r="I46" i="13"/>
  <c r="D60" i="13"/>
  <c r="D56" i="13"/>
  <c r="K59" i="13"/>
  <c r="K60" i="13"/>
  <c r="M56" i="13"/>
  <c r="M57" i="13" s="1"/>
  <c r="L56" i="13"/>
  <c r="D57" i="12"/>
  <c r="D58" i="12"/>
  <c r="J59" i="12"/>
  <c r="J56" i="12"/>
  <c r="J60" i="12"/>
  <c r="E58" i="12"/>
  <c r="E57" i="12"/>
  <c r="I59" i="12"/>
  <c r="I60" i="12"/>
  <c r="I56" i="12"/>
  <c r="F59" i="12"/>
  <c r="K46" i="12"/>
  <c r="F60" i="12"/>
  <c r="F56" i="12"/>
  <c r="E61" i="13" l="1"/>
  <c r="E69" i="13"/>
  <c r="E70" i="13" s="1"/>
  <c r="E71" i="13" s="1"/>
  <c r="E72" i="13" s="1"/>
  <c r="E64" i="13"/>
  <c r="E65" i="13" s="1"/>
  <c r="E66" i="13" s="1"/>
  <c r="E67" i="13" s="1"/>
  <c r="E62" i="13"/>
  <c r="F64" i="13"/>
  <c r="F65" i="13" s="1"/>
  <c r="F66" i="13" s="1"/>
  <c r="F67" i="13" s="1"/>
  <c r="F62" i="13"/>
  <c r="F69" i="13"/>
  <c r="F70" i="13" s="1"/>
  <c r="F71" i="13" s="1"/>
  <c r="F72" i="13" s="1"/>
  <c r="I59" i="13"/>
  <c r="I60" i="13"/>
  <c r="I56" i="13"/>
  <c r="J57" i="13"/>
  <c r="J58" i="13"/>
  <c r="K56" i="13"/>
  <c r="L57" i="13"/>
  <c r="K57" i="13" s="1"/>
  <c r="D58" i="13"/>
  <c r="D57" i="13"/>
  <c r="D61" i="13" s="1"/>
  <c r="D61" i="12"/>
  <c r="D69" i="12" s="1"/>
  <c r="D70" i="12" s="1"/>
  <c r="D71" i="12" s="1"/>
  <c r="D72" i="12" s="1"/>
  <c r="E61" i="12"/>
  <c r="E64" i="12" s="1"/>
  <c r="E65" i="12" s="1"/>
  <c r="E66" i="12" s="1"/>
  <c r="E67" i="12" s="1"/>
  <c r="D64" i="12"/>
  <c r="D65" i="12" s="1"/>
  <c r="D66" i="12" s="1"/>
  <c r="D67" i="12" s="1"/>
  <c r="I57" i="12"/>
  <c r="I61" i="12"/>
  <c r="I58" i="12"/>
  <c r="K59" i="12"/>
  <c r="M56" i="12"/>
  <c r="M57" i="12" s="1"/>
  <c r="K60" i="12"/>
  <c r="L56" i="12"/>
  <c r="F58" i="12"/>
  <c r="F57" i="12"/>
  <c r="F61" i="12" s="1"/>
  <c r="J58" i="12"/>
  <c r="J57" i="12"/>
  <c r="J61" i="13" l="1"/>
  <c r="J69" i="13"/>
  <c r="J70" i="13" s="1"/>
  <c r="J71" i="13" s="1"/>
  <c r="J72" i="13" s="1"/>
  <c r="J62" i="13"/>
  <c r="J64" i="13"/>
  <c r="J65" i="13" s="1"/>
  <c r="J66" i="13" s="1"/>
  <c r="D69" i="13"/>
  <c r="D70" i="13" s="1"/>
  <c r="D71" i="13" s="1"/>
  <c r="D72" i="13" s="1"/>
  <c r="D64" i="13"/>
  <c r="D65" i="13" s="1"/>
  <c r="D66" i="13" s="1"/>
  <c r="D67" i="13" s="1"/>
  <c r="D62" i="13"/>
  <c r="K58" i="13"/>
  <c r="K61" i="13" s="1"/>
  <c r="I58" i="13"/>
  <c r="I57" i="13"/>
  <c r="I61" i="13"/>
  <c r="D62" i="12"/>
  <c r="E69" i="12"/>
  <c r="E70" i="12" s="1"/>
  <c r="E71" i="12" s="1"/>
  <c r="E72" i="12" s="1"/>
  <c r="E62" i="12"/>
  <c r="J61" i="12"/>
  <c r="J69" i="12" s="1"/>
  <c r="J70" i="12" s="1"/>
  <c r="J71" i="12" s="1"/>
  <c r="J72" i="12" s="1"/>
  <c r="F69" i="12"/>
  <c r="F70" i="12" s="1"/>
  <c r="F71" i="12" s="1"/>
  <c r="F72" i="12" s="1"/>
  <c r="F62" i="12"/>
  <c r="F64" i="12"/>
  <c r="F65" i="12" s="1"/>
  <c r="F66" i="12" s="1"/>
  <c r="F67" i="12" s="1"/>
  <c r="J64" i="12"/>
  <c r="J65" i="12" s="1"/>
  <c r="J66" i="12" s="1"/>
  <c r="N66" i="12"/>
  <c r="I64" i="12"/>
  <c r="I65" i="12" s="1"/>
  <c r="I66" i="12" s="1"/>
  <c r="I69" i="12"/>
  <c r="I70" i="12" s="1"/>
  <c r="I71" i="12" s="1"/>
  <c r="I72" i="12" s="1"/>
  <c r="I62" i="12"/>
  <c r="L57" i="12"/>
  <c r="K57" i="12" s="1"/>
  <c r="K56" i="12"/>
  <c r="K64" i="13" l="1"/>
  <c r="K65" i="13" s="1"/>
  <c r="K66" i="13" s="1"/>
  <c r="K62" i="13"/>
  <c r="K69" i="13"/>
  <c r="K70" i="13" s="1"/>
  <c r="K71" i="13" s="1"/>
  <c r="K72" i="13" s="1"/>
  <c r="I62" i="13"/>
  <c r="I69" i="13"/>
  <c r="I70" i="13" s="1"/>
  <c r="I71" i="13" s="1"/>
  <c r="I72" i="13" s="1"/>
  <c r="I64" i="13"/>
  <c r="I65" i="13" s="1"/>
  <c r="I66" i="13" s="1"/>
  <c r="J67" i="13"/>
  <c r="J62" i="12"/>
  <c r="K58" i="12"/>
  <c r="K61" i="12" s="1"/>
  <c r="J67" i="12"/>
  <c r="I67" i="12"/>
  <c r="I67" i="13" l="1"/>
  <c r="K67" i="13"/>
  <c r="K64" i="12"/>
  <c r="K65" i="12" s="1"/>
  <c r="K66" i="12" s="1"/>
  <c r="K69" i="12"/>
  <c r="K70" i="12" s="1"/>
  <c r="K71" i="12" s="1"/>
  <c r="K72" i="12" s="1"/>
  <c r="K62" i="12"/>
  <c r="P53" i="12"/>
  <c r="P56" i="12" s="1"/>
  <c r="P52" i="12"/>
  <c r="M66" i="12"/>
  <c r="K67" i="12" l="1"/>
  <c r="M67" i="12" s="1"/>
  <c r="M68" i="12" s="1"/>
  <c r="M69" i="12"/>
  <c r="N69" i="12"/>
  <c r="P55" i="12"/>
  <c r="P54" i="12"/>
</calcChain>
</file>

<file path=xl/sharedStrings.xml><?xml version="1.0" encoding="utf-8"?>
<sst xmlns="http://schemas.openxmlformats.org/spreadsheetml/2006/main" count="264" uniqueCount="105">
  <si>
    <t>Item</t>
  </si>
  <si>
    <t>Category</t>
  </si>
  <si>
    <t>Part</t>
  </si>
  <si>
    <t xml:space="preserve"> Initial investment</t>
  </si>
  <si>
    <t>MW</t>
    <phoneticPr fontId="1" type="noConversion"/>
  </si>
  <si>
    <t>Front-end engineering</t>
  </si>
  <si>
    <t>Nuclear island engineering</t>
  </si>
  <si>
    <t>BOP of Nuclear island</t>
  </si>
  <si>
    <t>Plant front area engineering</t>
  </si>
  <si>
    <t>Other</t>
  </si>
  <si>
    <t>flow H2</t>
    <phoneticPr fontId="1" type="noConversion"/>
  </si>
  <si>
    <t>Reactor system</t>
  </si>
  <si>
    <t>Auxiliary equipment</t>
  </si>
  <si>
    <t>flow CH4</t>
    <phoneticPr fontId="1" type="noConversion"/>
  </si>
  <si>
    <t>Civil engineering installation and commissioning</t>
  </si>
  <si>
    <t>Design service and project management</t>
  </si>
  <si>
    <t>Interest tax insurance and provision</t>
  </si>
  <si>
    <t>Vol%H2</t>
    <phoneticPr fontId="1" type="noConversion"/>
  </si>
  <si>
    <r>
      <rPr>
        <sz val="11"/>
        <color theme="1"/>
        <rFont val="Times New Roman"/>
        <family val="1"/>
      </rPr>
      <t>¥</t>
    </r>
    <r>
      <rPr>
        <sz val="11"/>
        <color theme="1"/>
        <rFont val="等线"/>
        <family val="3"/>
        <charset val="134"/>
      </rPr>
      <t>/kg</t>
    </r>
    <phoneticPr fontId="1" type="noConversion"/>
  </si>
  <si>
    <t>Operation and maintenance</t>
  </si>
  <si>
    <t>$/kg</t>
    <phoneticPr fontId="1" type="noConversion"/>
  </si>
  <si>
    <t>Maintenance</t>
  </si>
  <si>
    <t>Consumables</t>
  </si>
  <si>
    <t>Water</t>
  </si>
  <si>
    <t>Helium</t>
  </si>
  <si>
    <t>Waste treatment</t>
  </si>
  <si>
    <t>Medium and low radioactive waste disposal</t>
  </si>
  <si>
    <t>Spent fuel reprocessing</t>
  </si>
  <si>
    <t>Nuclear emergency</t>
  </si>
  <si>
    <t>Retirement funds</t>
  </si>
  <si>
    <t>Materials expenses</t>
  </si>
  <si>
    <t>资本成本</t>
  </si>
  <si>
    <t>（折旧）</t>
  </si>
  <si>
    <t>$/MWh</t>
    <phoneticPr fontId="1" type="noConversion"/>
  </si>
  <si>
    <t>（利率5%）</t>
  </si>
  <si>
    <t>发展成本</t>
  </si>
  <si>
    <t>操作成本</t>
  </si>
  <si>
    <t>进料成本</t>
  </si>
  <si>
    <t>总成本</t>
  </si>
  <si>
    <t>元/MWh</t>
    <phoneticPr fontId="1" type="noConversion"/>
  </si>
  <si>
    <t>H2</t>
    <phoneticPr fontId="1" type="noConversion"/>
  </si>
  <si>
    <t>每生产1立方米氢气，煤制氢成本不足1元，而每生产1立方米氢气需要消耗电5.1-5.2千瓦时，虽然可以利用低谷电等价格相对较低的电力，即便按弃风发电价格每千瓦时0.25元计算，风电制氢仅电的成本就为1.25元，没有竞争优势。</t>
    <phoneticPr fontId="1" type="noConversion"/>
  </si>
  <si>
    <t>$/Nm3</t>
    <phoneticPr fontId="1" type="noConversion"/>
  </si>
  <si>
    <t>煤制氢价格低于1元</t>
    <phoneticPr fontId="1" type="noConversion"/>
  </si>
  <si>
    <t>元/Nm3</t>
    <phoneticPr fontId="1" type="noConversion"/>
  </si>
  <si>
    <t>CH4</t>
    <phoneticPr fontId="1" type="noConversion"/>
  </si>
  <si>
    <t>第一阶梯年用气量为0到216立方米，气价为每立方米3.05元；第二阶梯年用气量为216到336立方米，气价为每立方米3.59元。</t>
  </si>
  <si>
    <t>40%HTR</t>
    <phoneticPr fontId="1" type="noConversion"/>
  </si>
  <si>
    <t>40%R</t>
    <phoneticPr fontId="1" type="noConversion"/>
  </si>
  <si>
    <t>40%E</t>
    <phoneticPr fontId="1" type="noConversion"/>
  </si>
  <si>
    <t>LHV</t>
    <phoneticPr fontId="1" type="noConversion"/>
  </si>
  <si>
    <t>40%E*</t>
  </si>
  <si>
    <t>40%R</t>
  </si>
  <si>
    <t>40%HTR</t>
  </si>
  <si>
    <t>Steam supply module (M$)</t>
  </si>
  <si>
    <t>/</t>
  </si>
  <si>
    <t>Fuel-related cost</t>
  </si>
  <si>
    <t xml:space="preserve">Nuclear fuel (M$/year) </t>
  </si>
  <si>
    <t>Pebble fuel elements (per year)</t>
  </si>
  <si>
    <t>moisture, 40%</t>
  </si>
  <si>
    <t>Salary and Benefits(M$/year)</t>
  </si>
  <si>
    <t>Steam supply module</t>
  </si>
  <si>
    <t>Gasification module</t>
  </si>
  <si>
    <t>(M$/year)</t>
  </si>
  <si>
    <t>RME, active carbon</t>
  </si>
  <si>
    <t>Electricity</t>
  </si>
  <si>
    <t>Management cost(M$/year)</t>
  </si>
  <si>
    <t>Gasification module (M$)</t>
    <phoneticPr fontId="1" type="noConversion"/>
  </si>
  <si>
    <t>Other Investment (M$)</t>
    <phoneticPr fontId="1" type="noConversion"/>
  </si>
  <si>
    <t>Biomass fuel ($/kg)</t>
    <phoneticPr fontId="1" type="noConversion"/>
  </si>
  <si>
    <t>输出功率</t>
    <phoneticPr fontId="1" type="noConversion"/>
  </si>
  <si>
    <t>燃料成本</t>
    <phoneticPr fontId="1" type="noConversion"/>
  </si>
  <si>
    <t>未修改</t>
    <phoneticPr fontId="1" type="noConversion"/>
  </si>
  <si>
    <t>/2</t>
    <phoneticPr fontId="1" type="noConversion"/>
  </si>
  <si>
    <t>200MW/2</t>
    <phoneticPr fontId="1" type="noConversion"/>
  </si>
  <si>
    <t>*2/3</t>
    <phoneticPr fontId="1" type="noConversion"/>
  </si>
  <si>
    <t>×2/3</t>
    <phoneticPr fontId="1" type="noConversion"/>
  </si>
  <si>
    <t>Intermediate heat exchange</t>
    <phoneticPr fontId="1" type="noConversion"/>
  </si>
  <si>
    <t>First nuclear fuel</t>
    <phoneticPr fontId="1" type="noConversion"/>
  </si>
  <si>
    <t>退税</t>
    <phoneticPr fontId="1" type="noConversion"/>
  </si>
  <si>
    <t>Steam cycle, external fuel handling</t>
    <phoneticPr fontId="1" type="noConversion"/>
  </si>
  <si>
    <t>每模块产量Nm3</t>
    <phoneticPr fontId="1" type="noConversion"/>
  </si>
  <si>
    <t>每模块产量mol</t>
    <phoneticPr fontId="1" type="noConversion"/>
  </si>
  <si>
    <t>每模块H2能量kJ</t>
    <phoneticPr fontId="1" type="noConversion"/>
  </si>
  <si>
    <t>浓度</t>
    <phoneticPr fontId="1" type="noConversion"/>
  </si>
  <si>
    <t>1MWh中H2的成本</t>
    <phoneticPr fontId="1" type="noConversion"/>
  </si>
  <si>
    <t>1个模块中H2的成本</t>
    <phoneticPr fontId="1" type="noConversion"/>
  </si>
  <si>
    <t>H2单位体积成本</t>
    <phoneticPr fontId="1" type="noConversion"/>
  </si>
  <si>
    <t>Front-end engineering</t>
    <phoneticPr fontId="1" type="noConversion"/>
  </si>
  <si>
    <t>Nm3/h</t>
    <phoneticPr fontId="1" type="noConversion"/>
  </si>
  <si>
    <t>vH2</t>
    <phoneticPr fontId="1" type="noConversion"/>
  </si>
  <si>
    <t>kj/Nm3</t>
    <phoneticPr fontId="1" type="noConversion"/>
  </si>
  <si>
    <t>fai</t>
    <phoneticPr fontId="1" type="noConversion"/>
  </si>
  <si>
    <t>vSNG</t>
    <phoneticPr fontId="1" type="noConversion"/>
  </si>
  <si>
    <t>LHVH2</t>
    <phoneticPr fontId="1" type="noConversion"/>
  </si>
  <si>
    <t>lHVCH4</t>
    <phoneticPr fontId="1" type="noConversion"/>
  </si>
  <si>
    <t>EP</t>
    <phoneticPr fontId="1" type="noConversion"/>
  </si>
  <si>
    <t>LCOE</t>
    <phoneticPr fontId="1" type="noConversion"/>
  </si>
  <si>
    <t>SCH2</t>
    <phoneticPr fontId="1" type="noConversion"/>
  </si>
  <si>
    <t>SCCH4</t>
    <phoneticPr fontId="1" type="noConversion"/>
  </si>
  <si>
    <t>SCH2T</t>
    <phoneticPr fontId="1" type="noConversion"/>
  </si>
  <si>
    <t>sCCH4T</t>
    <phoneticPr fontId="1" type="noConversion"/>
  </si>
  <si>
    <t>Original</t>
    <phoneticPr fontId="1" type="noConversion"/>
  </si>
  <si>
    <t>Modified</t>
    <phoneticPr fontId="1" type="noConversion"/>
  </si>
  <si>
    <t>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</si>
</sst>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</font>
    <font>
      <sz val="11"/>
      <color theme="1"/>
      <name val="Times New Roman"/>
      <family val="1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0"/>
      <color rgb="FF000000"/>
      <name val="Palatino Linotype"/>
      <family val="1"/>
    </font>
    <font>
      <sz val="11"/>
      <name val="等线"/>
      <family val="2"/>
      <scheme val="minor"/>
    </font>
    <font>
      <sz val="10"/>
      <name val="Palatino Linotype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10" fontId="0" fillId="0" borderId="0" xfId="0" applyNumberFormat="1"/>
    <xf numFmtId="9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0" borderId="2" xfId="0" applyNumberFormat="1" applyBorder="1" applyAlignment="1">
      <alignment horizontal="right"/>
    </xf>
    <xf numFmtId="9" fontId="0" fillId="0" borderId="2" xfId="0" applyNumberFormat="1" applyBorder="1" applyAlignment="1">
      <alignment horizontal="right"/>
    </xf>
    <xf numFmtId="0" fontId="6" fillId="0" borderId="0" xfId="0" applyFont="1"/>
    <xf numFmtId="176" fontId="0" fillId="0" borderId="0" xfId="0" applyNumberFormat="1"/>
    <xf numFmtId="0" fontId="7" fillId="0" borderId="10" xfId="0" applyFont="1" applyBorder="1" applyAlignment="1">
      <alignment horizontal="center" vertical="center" wrapText="1"/>
    </xf>
    <xf numFmtId="0" fontId="8" fillId="0" borderId="0" xfId="0" applyFont="1" applyBorder="1"/>
    <xf numFmtId="0" fontId="8" fillId="0" borderId="0" xfId="0" applyFont="1"/>
    <xf numFmtId="0" fontId="9" fillId="0" borderId="10" xfId="0" applyFont="1" applyBorder="1" applyAlignment="1">
      <alignment horizontal="center" vertical="center" wrapText="1"/>
    </xf>
    <xf numFmtId="10" fontId="8" fillId="0" borderId="0" xfId="0" applyNumberFormat="1" applyFont="1"/>
    <xf numFmtId="0" fontId="8" fillId="0" borderId="7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8F6D7-1CD6-4DF5-B227-CC08D1176FD0}">
  <dimension ref="A1:P75"/>
  <sheetViews>
    <sheetView topLeftCell="B7" zoomScaleNormal="100" workbookViewId="0">
      <selection activeCell="H17" sqref="H17"/>
    </sheetView>
  </sheetViews>
  <sheetFormatPr defaultRowHeight="14.25" x14ac:dyDescent="0.2"/>
  <cols>
    <col min="1" max="1" width="24.125" customWidth="1"/>
    <col min="2" max="2" width="28" customWidth="1"/>
    <col min="3" max="3" width="37.375" customWidth="1"/>
    <col min="4" max="4" width="17.75" customWidth="1"/>
    <col min="5" max="5" width="17.875" customWidth="1"/>
    <col min="6" max="6" width="17.75" customWidth="1"/>
    <col min="11" max="11" width="13" bestFit="1" customWidth="1"/>
    <col min="12" max="12" width="16.5" customWidth="1"/>
    <col min="16" max="16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102</v>
      </c>
      <c r="G1" t="s">
        <v>104</v>
      </c>
      <c r="I1" s="1" t="s">
        <v>103</v>
      </c>
    </row>
    <row r="2" spans="1:12" x14ac:dyDescent="0.2">
      <c r="D2" t="s">
        <v>51</v>
      </c>
      <c r="E2" t="s">
        <v>52</v>
      </c>
      <c r="F2" t="s">
        <v>53</v>
      </c>
    </row>
    <row r="3" spans="1:12" x14ac:dyDescent="0.2">
      <c r="A3" t="s">
        <v>3</v>
      </c>
      <c r="B3" t="s">
        <v>54</v>
      </c>
      <c r="D3" s="20">
        <v>0</v>
      </c>
      <c r="E3" s="20">
        <v>0</v>
      </c>
      <c r="F3" s="20">
        <v>277.69</v>
      </c>
      <c r="I3">
        <f>D3</f>
        <v>0</v>
      </c>
      <c r="J3">
        <f>E3</f>
        <v>0</v>
      </c>
      <c r="K3">
        <f>SUM(K4:K9)</f>
        <v>239.19000000000003</v>
      </c>
    </row>
    <row r="4" spans="1:12" x14ac:dyDescent="0.2">
      <c r="C4" t="s">
        <v>88</v>
      </c>
      <c r="D4" t="s">
        <v>55</v>
      </c>
      <c r="E4" t="s">
        <v>55</v>
      </c>
      <c r="F4">
        <v>7.56</v>
      </c>
      <c r="G4" t="s">
        <v>76</v>
      </c>
      <c r="I4" t="str">
        <f t="shared" ref="I4:K63" si="0">D4</f>
        <v>/</v>
      </c>
      <c r="J4" t="str">
        <f t="shared" si="0"/>
        <v>/</v>
      </c>
      <c r="K4">
        <f>F4*2/3</f>
        <v>5.04</v>
      </c>
    </row>
    <row r="5" spans="1:12" x14ac:dyDescent="0.2">
      <c r="C5" t="s">
        <v>6</v>
      </c>
      <c r="D5" t="s">
        <v>55</v>
      </c>
      <c r="E5" t="s">
        <v>55</v>
      </c>
      <c r="F5">
        <v>168.08</v>
      </c>
      <c r="G5" t="s">
        <v>73</v>
      </c>
      <c r="I5" t="str">
        <f t="shared" si="0"/>
        <v>/</v>
      </c>
      <c r="J5" t="str">
        <f t="shared" si="0"/>
        <v>/</v>
      </c>
      <c r="K5">
        <f t="shared" si="0"/>
        <v>168.08</v>
      </c>
    </row>
    <row r="6" spans="1:12" x14ac:dyDescent="0.2">
      <c r="C6" t="s">
        <v>7</v>
      </c>
      <c r="D6" t="s">
        <v>55</v>
      </c>
      <c r="E6" t="s">
        <v>55</v>
      </c>
      <c r="F6">
        <v>33.630000000000003</v>
      </c>
      <c r="G6" t="s">
        <v>76</v>
      </c>
      <c r="I6" t="str">
        <f t="shared" si="0"/>
        <v>/</v>
      </c>
      <c r="J6" t="str">
        <f t="shared" si="0"/>
        <v>/</v>
      </c>
      <c r="K6">
        <f>F6*2/3</f>
        <v>22.42</v>
      </c>
    </row>
    <row r="7" spans="1:12" x14ac:dyDescent="0.2">
      <c r="C7" t="s">
        <v>8</v>
      </c>
      <c r="D7" t="s">
        <v>55</v>
      </c>
      <c r="E7" t="s">
        <v>55</v>
      </c>
      <c r="F7">
        <v>10.41</v>
      </c>
      <c r="G7" t="s">
        <v>76</v>
      </c>
      <c r="I7" t="str">
        <f t="shared" si="0"/>
        <v>/</v>
      </c>
      <c r="J7" t="str">
        <f t="shared" si="0"/>
        <v>/</v>
      </c>
      <c r="K7">
        <f>F7*2/3</f>
        <v>6.94</v>
      </c>
    </row>
    <row r="8" spans="1:12" x14ac:dyDescent="0.2">
      <c r="C8" t="s">
        <v>78</v>
      </c>
      <c r="D8" t="s">
        <v>55</v>
      </c>
      <c r="E8" t="s">
        <v>55</v>
      </c>
      <c r="F8">
        <v>42.56</v>
      </c>
      <c r="G8" t="s">
        <v>73</v>
      </c>
      <c r="I8" t="str">
        <f t="shared" si="0"/>
        <v>/</v>
      </c>
      <c r="J8" t="str">
        <f t="shared" si="0"/>
        <v>/</v>
      </c>
      <c r="K8">
        <f>F8/2</f>
        <v>21.28</v>
      </c>
    </row>
    <row r="9" spans="1:12" x14ac:dyDescent="0.2">
      <c r="C9" t="s">
        <v>77</v>
      </c>
      <c r="D9" t="s">
        <v>55</v>
      </c>
      <c r="E9" t="s">
        <v>55</v>
      </c>
      <c r="F9">
        <v>15.43</v>
      </c>
      <c r="G9" t="s">
        <v>72</v>
      </c>
      <c r="I9" t="str">
        <f t="shared" si="0"/>
        <v>/</v>
      </c>
      <c r="J9" t="str">
        <f t="shared" si="0"/>
        <v>/</v>
      </c>
      <c r="K9">
        <v>15.43</v>
      </c>
    </row>
    <row r="10" spans="1:12" x14ac:dyDescent="0.2">
      <c r="B10" t="s">
        <v>67</v>
      </c>
      <c r="D10" s="20">
        <f t="shared" ref="D10:E10" si="1">SUM(D11:D13)</f>
        <v>2791.75</v>
      </c>
      <c r="E10" s="20">
        <f t="shared" si="1"/>
        <v>2791.75</v>
      </c>
      <c r="F10" s="20">
        <f>SUM(F11:F13)</f>
        <v>2745.7563636363634</v>
      </c>
      <c r="I10">
        <f>SUM(I11:I13)*1</f>
        <v>2658.8095238095234</v>
      </c>
      <c r="J10">
        <f>SUM(J11:J13)*1</f>
        <v>2658.8095238095234</v>
      </c>
      <c r="K10">
        <f>SUM(K11:K13)*1</f>
        <v>2615.0060606060601</v>
      </c>
    </row>
    <row r="11" spans="1:12" x14ac:dyDescent="0.2">
      <c r="C11" t="s">
        <v>11</v>
      </c>
      <c r="D11">
        <f>77.195*10</f>
        <v>771.94999999999993</v>
      </c>
      <c r="E11">
        <f>77.195*10</f>
        <v>771.94999999999993</v>
      </c>
      <c r="F11">
        <f>77.195*10</f>
        <v>771.94999999999993</v>
      </c>
      <c r="G11" t="s">
        <v>74</v>
      </c>
      <c r="H11">
        <v>0.47799999999999998</v>
      </c>
      <c r="I11">
        <f>D11*2/2.1</f>
        <v>735.19047619047615</v>
      </c>
      <c r="J11">
        <f t="shared" ref="J11:K13" si="2">E11*2/2.1</f>
        <v>735.19047619047615</v>
      </c>
      <c r="K11">
        <f t="shared" si="2"/>
        <v>735.19047619047615</v>
      </c>
    </row>
    <row r="12" spans="1:12" x14ac:dyDescent="0.2">
      <c r="C12" t="s">
        <v>12</v>
      </c>
      <c r="D12">
        <f>151.387*10</f>
        <v>1513.87</v>
      </c>
      <c r="E12">
        <f>151.387*10</f>
        <v>1513.87</v>
      </c>
      <c r="F12">
        <f>151.387*10</f>
        <v>1513.87</v>
      </c>
      <c r="G12" t="s">
        <v>74</v>
      </c>
      <c r="H12">
        <v>0.27500000000000002</v>
      </c>
      <c r="I12">
        <f t="shared" ref="I12:I13" si="3">D12*2/2.1</f>
        <v>1441.7809523809522</v>
      </c>
      <c r="J12">
        <f t="shared" si="2"/>
        <v>1441.7809523809522</v>
      </c>
      <c r="K12">
        <f t="shared" si="2"/>
        <v>1441.7809523809522</v>
      </c>
    </row>
    <row r="13" spans="1:12" x14ac:dyDescent="0.2">
      <c r="C13" t="s">
        <v>80</v>
      </c>
      <c r="D13">
        <f>50.593*10</f>
        <v>505.93000000000006</v>
      </c>
      <c r="E13">
        <f>50.593*10</f>
        <v>505.93000000000006</v>
      </c>
      <c r="F13">
        <f>50.593/1.1*10</f>
        <v>459.93636363636364</v>
      </c>
      <c r="G13" t="s">
        <v>74</v>
      </c>
      <c r="H13">
        <v>0.46700000000000003</v>
      </c>
      <c r="I13">
        <f t="shared" si="3"/>
        <v>481.83809523809526</v>
      </c>
      <c r="J13">
        <f t="shared" si="2"/>
        <v>481.83809523809526</v>
      </c>
      <c r="K13">
        <f t="shared" si="2"/>
        <v>438.03463203463201</v>
      </c>
    </row>
    <row r="14" spans="1:12" x14ac:dyDescent="0.2">
      <c r="B14" t="s">
        <v>68</v>
      </c>
      <c r="D14" s="20">
        <f t="shared" ref="D14:E14" si="4">SUM(D15:D17)</f>
        <v>0</v>
      </c>
      <c r="E14" s="20">
        <f t="shared" si="4"/>
        <v>0</v>
      </c>
      <c r="F14" s="20">
        <f>SUM(F15:F17)</f>
        <v>160.82299999999998</v>
      </c>
      <c r="K14">
        <f>SUM(K15:K18)</f>
        <v>125.13099999999999</v>
      </c>
      <c r="L14">
        <f>K3+K14</f>
        <v>364.32100000000003</v>
      </c>
    </row>
    <row r="15" spans="1:12" x14ac:dyDescent="0.2">
      <c r="C15" t="s">
        <v>14</v>
      </c>
      <c r="F15">
        <v>15.77</v>
      </c>
      <c r="H15" t="s">
        <v>72</v>
      </c>
      <c r="K15">
        <f t="shared" si="0"/>
        <v>15.77</v>
      </c>
    </row>
    <row r="16" spans="1:12" x14ac:dyDescent="0.2">
      <c r="C16" t="s">
        <v>15</v>
      </c>
      <c r="F16">
        <f>122.413</f>
        <v>122.413</v>
      </c>
      <c r="H16" t="s">
        <v>72</v>
      </c>
      <c r="K16">
        <f t="shared" si="0"/>
        <v>122.413</v>
      </c>
    </row>
    <row r="17" spans="1:11" x14ac:dyDescent="0.2">
      <c r="C17" t="s">
        <v>16</v>
      </c>
      <c r="F17">
        <v>22.64</v>
      </c>
      <c r="G17" t="s">
        <v>76</v>
      </c>
      <c r="K17">
        <f>F17*2/3</f>
        <v>15.093333333333334</v>
      </c>
    </row>
    <row r="18" spans="1:11" x14ac:dyDescent="0.2">
      <c r="F18">
        <v>-42.218000000000004</v>
      </c>
      <c r="G18" t="s">
        <v>76</v>
      </c>
      <c r="H18" t="s">
        <v>79</v>
      </c>
      <c r="K18">
        <f>F18*2/3</f>
        <v>-28.145333333333337</v>
      </c>
    </row>
    <row r="19" spans="1:11" x14ac:dyDescent="0.2">
      <c r="A19" t="s">
        <v>56</v>
      </c>
      <c r="B19" t="s">
        <v>57</v>
      </c>
      <c r="C19" t="s">
        <v>58</v>
      </c>
      <c r="D19">
        <v>0</v>
      </c>
      <c r="E19">
        <v>0</v>
      </c>
      <c r="F19">
        <v>14.4</v>
      </c>
      <c r="G19" t="s">
        <v>75</v>
      </c>
      <c r="I19">
        <f t="shared" si="0"/>
        <v>0</v>
      </c>
      <c r="J19">
        <f t="shared" si="0"/>
        <v>0</v>
      </c>
      <c r="K19">
        <f>F19*3/2/2</f>
        <v>10.8</v>
      </c>
    </row>
    <row r="20" spans="1:11" x14ac:dyDescent="0.2">
      <c r="B20" t="s">
        <v>69</v>
      </c>
      <c r="C20" t="s">
        <v>59</v>
      </c>
      <c r="D20">
        <v>2.2499999999999999E-2</v>
      </c>
      <c r="E20">
        <v>2.2499999999999999E-2</v>
      </c>
      <c r="F20">
        <v>2.2499999999999999E-2</v>
      </c>
      <c r="I20">
        <v>0.03</v>
      </c>
      <c r="J20">
        <v>0.03</v>
      </c>
      <c r="K20">
        <v>0.03</v>
      </c>
    </row>
    <row r="21" spans="1:11" x14ac:dyDescent="0.2">
      <c r="I21">
        <f t="shared" si="0"/>
        <v>0</v>
      </c>
      <c r="J21">
        <f t="shared" si="0"/>
        <v>0</v>
      </c>
      <c r="K21">
        <f t="shared" si="0"/>
        <v>0</v>
      </c>
    </row>
    <row r="22" spans="1:11" x14ac:dyDescent="0.2">
      <c r="A22" t="s">
        <v>19</v>
      </c>
      <c r="B22" t="s">
        <v>60</v>
      </c>
      <c r="C22" t="s">
        <v>61</v>
      </c>
      <c r="D22">
        <v>0</v>
      </c>
      <c r="E22">
        <v>0</v>
      </c>
      <c r="F22">
        <v>5.98</v>
      </c>
      <c r="G22" t="s">
        <v>76</v>
      </c>
      <c r="I22">
        <f t="shared" si="0"/>
        <v>0</v>
      </c>
      <c r="J22">
        <f t="shared" si="0"/>
        <v>0</v>
      </c>
      <c r="K22">
        <f>F22*3/2/2</f>
        <v>4.4850000000000003</v>
      </c>
    </row>
    <row r="23" spans="1:11" x14ac:dyDescent="0.2">
      <c r="C23" t="s">
        <v>62</v>
      </c>
      <c r="D23">
        <v>13.98</v>
      </c>
      <c r="E23">
        <v>13.98</v>
      </c>
      <c r="F23">
        <v>13.98</v>
      </c>
      <c r="I23">
        <f>(D23+0.6)*1</f>
        <v>14.58</v>
      </c>
      <c r="J23">
        <f>(E23+0.6)*1</f>
        <v>14.58</v>
      </c>
      <c r="K23">
        <f>F23*1</f>
        <v>13.98</v>
      </c>
    </row>
    <row r="24" spans="1:11" x14ac:dyDescent="0.2">
      <c r="B24" t="s">
        <v>21</v>
      </c>
      <c r="C24" t="s">
        <v>61</v>
      </c>
      <c r="D24">
        <v>0</v>
      </c>
      <c r="E24">
        <v>0</v>
      </c>
      <c r="F24">
        <v>0.20799999999999999</v>
      </c>
      <c r="I24">
        <f t="shared" si="0"/>
        <v>0</v>
      </c>
      <c r="J24">
        <f t="shared" si="0"/>
        <v>0</v>
      </c>
      <c r="K24">
        <v>1.2</v>
      </c>
    </row>
    <row r="25" spans="1:11" x14ac:dyDescent="0.2">
      <c r="B25" t="s">
        <v>63</v>
      </c>
      <c r="C25" t="s">
        <v>62</v>
      </c>
      <c r="D25">
        <v>25.55</v>
      </c>
      <c r="E25">
        <v>25.55</v>
      </c>
      <c r="F25">
        <v>25.55</v>
      </c>
      <c r="I25">
        <f>(D25+1)*1</f>
        <v>26.55</v>
      </c>
      <c r="J25">
        <f>(E25+1)*1</f>
        <v>26.55</v>
      </c>
      <c r="K25">
        <f>F25*1</f>
        <v>25.55</v>
      </c>
    </row>
    <row r="26" spans="1:11" x14ac:dyDescent="0.2">
      <c r="B26" t="s">
        <v>22</v>
      </c>
      <c r="C26" t="s">
        <v>23</v>
      </c>
      <c r="D26">
        <v>2.06</v>
      </c>
      <c r="E26">
        <v>2.06</v>
      </c>
      <c r="F26">
        <v>2.266</v>
      </c>
      <c r="I26">
        <f>D26*1</f>
        <v>2.06</v>
      </c>
      <c r="J26">
        <f>E26*1</f>
        <v>2.06</v>
      </c>
      <c r="K26">
        <f>F26</f>
        <v>2.266</v>
      </c>
    </row>
    <row r="27" spans="1:11" x14ac:dyDescent="0.2">
      <c r="B27" t="s">
        <v>63</v>
      </c>
      <c r="C27" t="s">
        <v>24</v>
      </c>
      <c r="D27">
        <v>0</v>
      </c>
      <c r="E27">
        <v>0</v>
      </c>
      <c r="F27">
        <v>0.92500000000000004</v>
      </c>
      <c r="I27">
        <f t="shared" si="0"/>
        <v>0</v>
      </c>
      <c r="J27">
        <f t="shared" si="0"/>
        <v>0</v>
      </c>
      <c r="K27">
        <f t="shared" si="0"/>
        <v>0.92500000000000004</v>
      </c>
    </row>
    <row r="28" spans="1:11" x14ac:dyDescent="0.2">
      <c r="C28" t="s">
        <v>64</v>
      </c>
      <c r="D28">
        <v>50.07</v>
      </c>
      <c r="E28">
        <v>50.07</v>
      </c>
      <c r="F28">
        <v>50.07</v>
      </c>
      <c r="I28">
        <f>D28*1</f>
        <v>50.07</v>
      </c>
      <c r="J28">
        <f>E28*1</f>
        <v>50.07</v>
      </c>
      <c r="K28">
        <f>F28*1</f>
        <v>50.07</v>
      </c>
    </row>
    <row r="29" spans="1:11" x14ac:dyDescent="0.2">
      <c r="C29" t="s">
        <v>65</v>
      </c>
      <c r="D29" s="21">
        <f>7.31%*18720*5820*11*7000/3600*0.75/6.4808/1000000</f>
        <v>19.713651493642761</v>
      </c>
      <c r="E29" s="21">
        <f>1%*18720*5820*11*7000/3600*0.75/6.4808/1000000</f>
        <v>2.6968059498827306</v>
      </c>
      <c r="F29">
        <v>0</v>
      </c>
      <c r="I29">
        <f>(7.31%+3.75%)*18720*5820*11*7000/3600*1/6.4808/1000000*10</f>
        <v>397.68898407604001</v>
      </c>
      <c r="J29">
        <f>(1%+3.75%)*18720*5820*11*7000/3600*1/6.4808/1000000*10</f>
        <v>170.79771015923961</v>
      </c>
      <c r="K29">
        <f>3.75%*18720*5820*11*7000/3600*1/6.4808/1000000*10</f>
        <v>134.84029749413654</v>
      </c>
    </row>
    <row r="30" spans="1:11" x14ac:dyDescent="0.2">
      <c r="B30" t="s">
        <v>25</v>
      </c>
      <c r="C30" t="s">
        <v>26</v>
      </c>
      <c r="D30">
        <v>0</v>
      </c>
      <c r="E30">
        <v>0</v>
      </c>
      <c r="F30">
        <v>7.5999999999999998E-2</v>
      </c>
      <c r="I30">
        <f t="shared" si="0"/>
        <v>0</v>
      </c>
      <c r="J30">
        <f t="shared" si="0"/>
        <v>0</v>
      </c>
      <c r="K30">
        <f t="shared" si="0"/>
        <v>7.5999999999999998E-2</v>
      </c>
    </row>
    <row r="31" spans="1:11" x14ac:dyDescent="0.2">
      <c r="B31" t="s">
        <v>63</v>
      </c>
      <c r="C31" t="s">
        <v>27</v>
      </c>
      <c r="D31">
        <v>0</v>
      </c>
      <c r="E31">
        <v>0</v>
      </c>
      <c r="F31">
        <v>3.95</v>
      </c>
      <c r="I31">
        <f t="shared" si="0"/>
        <v>0</v>
      </c>
      <c r="J31">
        <f t="shared" si="0"/>
        <v>0</v>
      </c>
      <c r="K31">
        <f t="shared" si="0"/>
        <v>3.95</v>
      </c>
    </row>
    <row r="32" spans="1:11" x14ac:dyDescent="0.2">
      <c r="C32" t="s">
        <v>28</v>
      </c>
      <c r="D32">
        <v>0</v>
      </c>
      <c r="E32">
        <v>0</v>
      </c>
      <c r="F32">
        <v>0.03</v>
      </c>
      <c r="I32">
        <f t="shared" si="0"/>
        <v>0</v>
      </c>
      <c r="J32">
        <f t="shared" si="0"/>
        <v>0</v>
      </c>
      <c r="K32">
        <f t="shared" si="0"/>
        <v>0.03</v>
      </c>
    </row>
    <row r="33" spans="2:16" x14ac:dyDescent="0.2">
      <c r="C33" t="s">
        <v>29</v>
      </c>
      <c r="D33">
        <v>0</v>
      </c>
      <c r="E33">
        <v>0</v>
      </c>
      <c r="F33">
        <v>1.54</v>
      </c>
      <c r="I33">
        <f t="shared" si="0"/>
        <v>0</v>
      </c>
      <c r="J33">
        <f t="shared" si="0"/>
        <v>0</v>
      </c>
      <c r="K33">
        <f t="shared" si="0"/>
        <v>1.54</v>
      </c>
    </row>
    <row r="34" spans="2:16" x14ac:dyDescent="0.2">
      <c r="B34" t="s">
        <v>66</v>
      </c>
      <c r="C34" t="s">
        <v>30</v>
      </c>
      <c r="D34">
        <v>0</v>
      </c>
      <c r="E34">
        <v>0</v>
      </c>
      <c r="F34">
        <v>0.64800000000000002</v>
      </c>
      <c r="I34">
        <f t="shared" si="0"/>
        <v>0</v>
      </c>
      <c r="J34">
        <f t="shared" si="0"/>
        <v>0</v>
      </c>
      <c r="K34">
        <f t="shared" si="0"/>
        <v>0.64800000000000002</v>
      </c>
    </row>
    <row r="35" spans="2:16" x14ac:dyDescent="0.2">
      <c r="C35" t="s">
        <v>9</v>
      </c>
      <c r="D35">
        <v>11.41</v>
      </c>
      <c r="E35">
        <v>11.41</v>
      </c>
      <c r="F35">
        <v>11.41</v>
      </c>
      <c r="I35">
        <f>D35*1</f>
        <v>11.41</v>
      </c>
      <c r="J35">
        <f>E35*1</f>
        <v>11.41</v>
      </c>
      <c r="K35">
        <f>F35*1</f>
        <v>11.41</v>
      </c>
    </row>
    <row r="36" spans="2:16" x14ac:dyDescent="0.2">
      <c r="D36" s="24">
        <f t="shared" ref="D36:E36" si="5">SUM(D22:D35)</f>
        <v>122.78365149364275</v>
      </c>
      <c r="E36" s="24">
        <f t="shared" si="5"/>
        <v>105.76680594988272</v>
      </c>
      <c r="F36" s="24">
        <f>SUM(F22:F35)</f>
        <v>116.633</v>
      </c>
      <c r="I36" s="1">
        <f t="shared" ref="I36:J36" si="6">SUM(I22:I35)</f>
        <v>502.35898407604003</v>
      </c>
      <c r="J36" s="1">
        <f t="shared" si="6"/>
        <v>275.46771015923963</v>
      </c>
      <c r="K36" s="1">
        <f>SUM(K22:K35)</f>
        <v>250.9702974941365</v>
      </c>
    </row>
    <row r="37" spans="2:16" x14ac:dyDescent="0.2">
      <c r="I37">
        <f t="shared" si="0"/>
        <v>0</v>
      </c>
      <c r="J37">
        <f t="shared" si="0"/>
        <v>0</v>
      </c>
      <c r="K37">
        <f t="shared" si="0"/>
        <v>0</v>
      </c>
    </row>
    <row r="38" spans="2:16" x14ac:dyDescent="0.2">
      <c r="H38" t="s">
        <v>50</v>
      </c>
      <c r="I38">
        <f t="shared" si="0"/>
        <v>0</v>
      </c>
      <c r="J38">
        <f t="shared" si="0"/>
        <v>0</v>
      </c>
      <c r="K38">
        <f t="shared" si="0"/>
        <v>0</v>
      </c>
    </row>
    <row r="39" spans="2:16" x14ac:dyDescent="0.2">
      <c r="C39" t="s">
        <v>10</v>
      </c>
      <c r="D39">
        <v>44758</v>
      </c>
      <c r="E39">
        <v>37769</v>
      </c>
      <c r="F39">
        <v>40365</v>
      </c>
      <c r="H39">
        <v>241.91999999999996</v>
      </c>
      <c r="I39">
        <v>44758</v>
      </c>
      <c r="J39">
        <v>37769</v>
      </c>
      <c r="K39">
        <v>40365</v>
      </c>
      <c r="L39" t="s">
        <v>81</v>
      </c>
    </row>
    <row r="40" spans="2:16" x14ac:dyDescent="0.2">
      <c r="D40">
        <f>D39*99.9%*1000/22.4</f>
        <v>1996126.8750000005</v>
      </c>
      <c r="E40">
        <f t="shared" ref="E40:F40" si="7">E39*99.9%*1000/22.4</f>
        <v>1684429.9553571432</v>
      </c>
      <c r="F40">
        <f t="shared" si="7"/>
        <v>1800206.9196428573</v>
      </c>
      <c r="I40">
        <f t="shared" si="0"/>
        <v>1996126.8750000005</v>
      </c>
      <c r="J40">
        <f t="shared" si="0"/>
        <v>1684429.9553571432</v>
      </c>
      <c r="K40">
        <f t="shared" si="0"/>
        <v>1800206.9196428573</v>
      </c>
      <c r="L40" t="s">
        <v>82</v>
      </c>
    </row>
    <row r="41" spans="2:16" x14ac:dyDescent="0.2">
      <c r="D41">
        <f>D40*H39</f>
        <v>482903013.60000002</v>
      </c>
      <c r="E41">
        <f>E40*H39</f>
        <v>407497294.80000001</v>
      </c>
      <c r="F41">
        <f>H39*F40</f>
        <v>435506057.99999994</v>
      </c>
      <c r="I41">
        <f t="shared" si="0"/>
        <v>482903013.60000002</v>
      </c>
      <c r="J41">
        <f t="shared" si="0"/>
        <v>407497294.80000001</v>
      </c>
      <c r="K41">
        <f t="shared" si="0"/>
        <v>435506057.99999994</v>
      </c>
      <c r="L41" t="s">
        <v>83</v>
      </c>
    </row>
    <row r="42" spans="2:16" ht="15.75" thickBot="1" x14ac:dyDescent="0.25">
      <c r="C42" t="s">
        <v>13</v>
      </c>
      <c r="D42" s="22">
        <v>11706</v>
      </c>
      <c r="E42" s="22">
        <v>9888</v>
      </c>
      <c r="F42" s="22">
        <v>10567</v>
      </c>
      <c r="H42">
        <v>806.4</v>
      </c>
      <c r="I42" s="22">
        <v>11706</v>
      </c>
      <c r="J42" s="22">
        <v>9888</v>
      </c>
      <c r="K42" s="22">
        <v>10567</v>
      </c>
      <c r="L42" t="s">
        <v>81</v>
      </c>
    </row>
    <row r="43" spans="2:16" x14ac:dyDescent="0.2">
      <c r="D43" s="2">
        <v>0.86750000000000005</v>
      </c>
      <c r="E43" s="2">
        <v>0.86750000000000005</v>
      </c>
      <c r="F43" s="2">
        <v>0.86750000000000005</v>
      </c>
      <c r="I43">
        <f t="shared" si="0"/>
        <v>0.86750000000000005</v>
      </c>
      <c r="J43">
        <f t="shared" si="0"/>
        <v>0.86750000000000005</v>
      </c>
      <c r="K43">
        <f t="shared" si="0"/>
        <v>0.86750000000000005</v>
      </c>
      <c r="L43" t="s">
        <v>84</v>
      </c>
    </row>
    <row r="44" spans="2:16" x14ac:dyDescent="0.2">
      <c r="D44">
        <f>D42*D43*1000/22.4*H42</f>
        <v>365578380</v>
      </c>
      <c r="E44">
        <f>E42*E43*1000/22.4*H42</f>
        <v>308802240</v>
      </c>
      <c r="F44">
        <f>F42*F43*1000/22.4*H42</f>
        <v>330007410.00000006</v>
      </c>
      <c r="I44">
        <f t="shared" si="0"/>
        <v>365578380</v>
      </c>
      <c r="J44">
        <f t="shared" si="0"/>
        <v>308802240</v>
      </c>
      <c r="K44">
        <f t="shared" si="0"/>
        <v>330007410.00000006</v>
      </c>
      <c r="L44" t="s">
        <v>82</v>
      </c>
      <c r="N44" t="s">
        <v>90</v>
      </c>
      <c r="O44" t="s">
        <v>89</v>
      </c>
      <c r="P44">
        <v>43704.92</v>
      </c>
    </row>
    <row r="45" spans="2:16" x14ac:dyDescent="0.2">
      <c r="D45">
        <f>D41+D44</f>
        <v>848481393.60000002</v>
      </c>
      <c r="E45">
        <f t="shared" ref="E45" si="8">E41+E44</f>
        <v>716299534.79999995</v>
      </c>
      <c r="F45">
        <f>F41+F44</f>
        <v>765513468</v>
      </c>
      <c r="I45">
        <f t="shared" si="0"/>
        <v>848481393.60000002</v>
      </c>
      <c r="J45">
        <f t="shared" si="0"/>
        <v>716299534.79999995</v>
      </c>
      <c r="K45">
        <f t="shared" si="0"/>
        <v>765513468</v>
      </c>
      <c r="L45" t="s">
        <v>83</v>
      </c>
      <c r="N45" t="s">
        <v>94</v>
      </c>
      <c r="O45" t="s">
        <v>91</v>
      </c>
      <c r="P45">
        <f>241.92*1000/22.4</f>
        <v>10800</v>
      </c>
    </row>
    <row r="46" spans="2:16" x14ac:dyDescent="0.2">
      <c r="B46" s="1" t="s">
        <v>70</v>
      </c>
      <c r="D46" s="24">
        <f>D45/3600/1000</f>
        <v>235.68927600000001</v>
      </c>
      <c r="E46" s="24">
        <f t="shared" ref="E46:F46" si="9">E45/3600/1000</f>
        <v>198.972093</v>
      </c>
      <c r="F46" s="24">
        <f t="shared" si="9"/>
        <v>212.64263</v>
      </c>
      <c r="G46" t="s">
        <v>4</v>
      </c>
      <c r="I46">
        <f t="shared" si="0"/>
        <v>235.68927600000001</v>
      </c>
      <c r="J46">
        <f t="shared" si="0"/>
        <v>198.972093</v>
      </c>
      <c r="K46">
        <f t="shared" si="0"/>
        <v>212.64263</v>
      </c>
      <c r="N46" t="s">
        <v>92</v>
      </c>
      <c r="P46">
        <v>0.999</v>
      </c>
    </row>
    <row r="47" spans="2:16" x14ac:dyDescent="0.2">
      <c r="C47" t="s">
        <v>17</v>
      </c>
      <c r="I47">
        <f t="shared" si="0"/>
        <v>0</v>
      </c>
      <c r="J47">
        <f t="shared" si="0"/>
        <v>0</v>
      </c>
      <c r="K47">
        <f t="shared" si="0"/>
        <v>0</v>
      </c>
      <c r="N47" t="s">
        <v>93</v>
      </c>
      <c r="P47">
        <v>11430.13</v>
      </c>
    </row>
    <row r="48" spans="2:16" x14ac:dyDescent="0.2">
      <c r="D48" s="3">
        <v>0.4</v>
      </c>
      <c r="E48" s="3">
        <v>0.4</v>
      </c>
      <c r="F48" s="3">
        <v>0.4</v>
      </c>
      <c r="I48" s="3">
        <v>0.4</v>
      </c>
      <c r="J48" s="3">
        <v>0.4</v>
      </c>
      <c r="K48" s="3">
        <v>0.4</v>
      </c>
      <c r="N48" t="s">
        <v>95</v>
      </c>
      <c r="P48">
        <f>806.4*1000/22.4</f>
        <v>36000</v>
      </c>
    </row>
    <row r="49" spans="1:16" ht="15" x14ac:dyDescent="0.25">
      <c r="C49" s="4" t="s">
        <v>18</v>
      </c>
      <c r="D49">
        <v>0.1</v>
      </c>
      <c r="E49">
        <f>D49</f>
        <v>0.1</v>
      </c>
      <c r="F49">
        <f>D49</f>
        <v>0.1</v>
      </c>
      <c r="I49">
        <v>0.2</v>
      </c>
      <c r="J49">
        <f>I49</f>
        <v>0.2</v>
      </c>
      <c r="K49">
        <f>I49</f>
        <v>0.2</v>
      </c>
      <c r="N49" t="s">
        <v>92</v>
      </c>
      <c r="P49">
        <v>0.86750000000000005</v>
      </c>
    </row>
    <row r="50" spans="1:16" x14ac:dyDescent="0.2">
      <c r="C50" t="s">
        <v>20</v>
      </c>
      <c r="D50">
        <f>D49/6.4808</f>
        <v>1.5430193803234168E-2</v>
      </c>
      <c r="E50">
        <f t="shared" ref="E50:F50" si="10">E49/6.4808</f>
        <v>1.5430193803234168E-2</v>
      </c>
      <c r="F50">
        <f t="shared" si="10"/>
        <v>1.5430193803234168E-2</v>
      </c>
      <c r="I50">
        <f>I49/6.4808</f>
        <v>3.0860387606468337E-2</v>
      </c>
      <c r="J50">
        <f t="shared" ref="J50" si="11">J49/6.4808</f>
        <v>3.0860387606468337E-2</v>
      </c>
      <c r="K50">
        <f>K49/6.4808</f>
        <v>3.0860387606468337E-2</v>
      </c>
      <c r="N50" t="s">
        <v>96</v>
      </c>
      <c r="P50">
        <f>(P44*P45*P46+P47*P48*P49)/3600/1000*10</f>
        <v>2301.4002299000003</v>
      </c>
    </row>
    <row r="51" spans="1:16" x14ac:dyDescent="0.2">
      <c r="D51">
        <f>5820*11/(1-D48)*D50*7000</f>
        <v>11524811.7516356</v>
      </c>
      <c r="E51">
        <f>5820*11/(1-E48)*E50*7000</f>
        <v>11524811.7516356</v>
      </c>
      <c r="F51">
        <f>5820*11/(1-F48)*F50*7000</f>
        <v>11524811.7516356</v>
      </c>
      <c r="I51">
        <f>5820*11/(1-I48)*I50*7000</f>
        <v>23049623.5032712</v>
      </c>
      <c r="J51">
        <f>5820*11/(1-J48)*J50*7000</f>
        <v>23049623.5032712</v>
      </c>
      <c r="K51">
        <f>5820*11/(1-K48)*K50*7000</f>
        <v>23049623.5032712</v>
      </c>
      <c r="N51" t="s">
        <v>97</v>
      </c>
      <c r="P51">
        <v>45.768358480639023</v>
      </c>
    </row>
    <row r="52" spans="1:16" x14ac:dyDescent="0.2">
      <c r="D52">
        <f>D51/1000000</f>
        <v>11.5248117516356</v>
      </c>
      <c r="E52">
        <f t="shared" ref="E52:F52" si="12">E51/1000000</f>
        <v>11.5248117516356</v>
      </c>
      <c r="F52">
        <f t="shared" si="12"/>
        <v>11.5248117516356</v>
      </c>
      <c r="I52">
        <f>I51/1000000</f>
        <v>23.049623503271199</v>
      </c>
      <c r="J52">
        <f t="shared" ref="J52:K52" si="13">J51/1000000</f>
        <v>23.049623503271199</v>
      </c>
      <c r="K52">
        <f t="shared" si="13"/>
        <v>23.049623503271199</v>
      </c>
      <c r="N52" t="s">
        <v>98</v>
      </c>
      <c r="P52">
        <f>K61*P50*P45*P46/10/(P44*P45*P46+P47*P48*P49)</f>
        <v>0.14845468110334992</v>
      </c>
    </row>
    <row r="53" spans="1:16" x14ac:dyDescent="0.2">
      <c r="B53" s="1" t="s">
        <v>71</v>
      </c>
      <c r="D53">
        <f>D52*10</f>
        <v>115.24811751635599</v>
      </c>
      <c r="E53">
        <f>E52*10</f>
        <v>115.24811751635599</v>
      </c>
      <c r="F53">
        <f>F52*10+F19</f>
        <v>129.648117516356</v>
      </c>
      <c r="I53">
        <f>I52*10</f>
        <v>230.49623503271198</v>
      </c>
      <c r="J53">
        <f>J52*10</f>
        <v>230.49623503271198</v>
      </c>
      <c r="K53">
        <f>K52*10+K19</f>
        <v>241.29623503271199</v>
      </c>
      <c r="N53" t="s">
        <v>99</v>
      </c>
      <c r="P53">
        <f>K61*P50*P48*P49/10/(P44*P45*P46+P47*P48*P49)</f>
        <v>0.42971116402120813</v>
      </c>
    </row>
    <row r="54" spans="1:16" ht="15" thickBot="1" x14ac:dyDescent="0.25">
      <c r="I54">
        <f t="shared" si="0"/>
        <v>0</v>
      </c>
      <c r="J54">
        <f t="shared" si="0"/>
        <v>0</v>
      </c>
      <c r="K54">
        <f t="shared" si="0"/>
        <v>0</v>
      </c>
      <c r="N54" t="s">
        <v>97</v>
      </c>
      <c r="P54">
        <f>(10*P52*P44*P46+10*P53*P47*P49)/P50</f>
        <v>46.678417217594813</v>
      </c>
    </row>
    <row r="55" spans="1:16" x14ac:dyDescent="0.2">
      <c r="A55" s="5"/>
      <c r="B55" s="6"/>
      <c r="C55" s="6"/>
      <c r="D55" s="18" t="s">
        <v>49</v>
      </c>
      <c r="E55" s="19" t="s">
        <v>48</v>
      </c>
      <c r="F55" s="19" t="s">
        <v>47</v>
      </c>
      <c r="G55" s="7"/>
      <c r="I55" t="str">
        <f t="shared" si="0"/>
        <v>40%E</v>
      </c>
      <c r="J55" t="str">
        <f t="shared" si="0"/>
        <v>40%R</v>
      </c>
      <c r="K55" t="str">
        <f t="shared" si="0"/>
        <v>40%HTR</v>
      </c>
      <c r="N55" t="s">
        <v>100</v>
      </c>
      <c r="P55">
        <f>P52/P45/P46</f>
        <v>1.3759563369234969E-5</v>
      </c>
    </row>
    <row r="56" spans="1:16" x14ac:dyDescent="0.2">
      <c r="A56" s="8" t="s">
        <v>31</v>
      </c>
      <c r="B56" s="9" t="s">
        <v>32</v>
      </c>
      <c r="C56" s="9" t="s">
        <v>33</v>
      </c>
      <c r="D56" s="9">
        <f>(D10+D14)*1000000/(D46*10*7000*20)</f>
        <v>8.4607461854019306</v>
      </c>
      <c r="E56" s="9">
        <f>(E10+E14)*1000000/(E46*10*7000*20)</f>
        <v>10.022044362056054</v>
      </c>
      <c r="F56" s="9">
        <f>(F3+F10+F14)*1000000/(F46*10*7000*20)</f>
        <v>10.696247111330013</v>
      </c>
      <c r="G56" s="10" t="s">
        <v>33</v>
      </c>
      <c r="I56" s="9">
        <f>(I10+I14)*1000000/(I46*10*7000*20)</f>
        <v>8.0578535099065984</v>
      </c>
      <c r="J56" s="9">
        <f>(J10+J14)*1000000/(J46*10*7000*20)</f>
        <v>9.5448041543390989</v>
      </c>
      <c r="K56" s="9">
        <f>L56+M56</f>
        <v>9.3959339889589124</v>
      </c>
      <c r="L56">
        <f>(K10)*1000000/(K46*10*7000*20)</f>
        <v>8.7840404901946112</v>
      </c>
      <c r="M56">
        <f>(K3+K14)*1000000/(K46*10*7000*40)</f>
        <v>0.61189349876430166</v>
      </c>
      <c r="N56" t="s">
        <v>101</v>
      </c>
      <c r="P56">
        <f>P53/P48/P49</f>
        <v>1.3759563369234969E-5</v>
      </c>
    </row>
    <row r="57" spans="1:16" x14ac:dyDescent="0.2">
      <c r="A57" s="8"/>
      <c r="B57" s="9" t="s">
        <v>34</v>
      </c>
      <c r="C57" s="9">
        <f>0.05*(1+0.05)^20/(1.05^20-1)</f>
        <v>8.0242587190691314E-2</v>
      </c>
      <c r="D57" s="9">
        <f>D56*(C57*20-1)</f>
        <v>5.117497084206537</v>
      </c>
      <c r="E57" s="9">
        <f>E56*(C57*20-1)</f>
        <v>6.0618510089691311</v>
      </c>
      <c r="F57" s="9">
        <f>F56*(C57*20-1)</f>
        <v>6.4696437175515609</v>
      </c>
      <c r="G57" s="10" t="s">
        <v>33</v>
      </c>
      <c r="H57" s="9">
        <f>(0.05/(1-(1+0.05)^(-20)))</f>
        <v>8.0242587190691314E-2</v>
      </c>
      <c r="I57" s="9">
        <f>I56*(H57*20-1)</f>
        <v>4.8738067468633677</v>
      </c>
      <c r="J57" s="9">
        <f>J56*(H57*20-1)</f>
        <v>5.7731914371134581</v>
      </c>
      <c r="K57" s="9">
        <f>L57+M57</f>
        <v>6.1275498269585675</v>
      </c>
      <c r="L57" s="9">
        <f>L56*(H57*20-1)</f>
        <v>5.3130422082254682</v>
      </c>
      <c r="M57">
        <f>M56*(N57*40-1)</f>
        <v>0.81450761873309885</v>
      </c>
      <c r="N57">
        <f>(0.05/(1-(1+0.05)^(-40)))</f>
        <v>5.8278161166035E-2</v>
      </c>
    </row>
    <row r="58" spans="1:16" x14ac:dyDescent="0.2">
      <c r="A58" s="8" t="s">
        <v>35</v>
      </c>
      <c r="B58" s="9"/>
      <c r="C58" s="9"/>
      <c r="D58" s="9">
        <f>D56*10%</f>
        <v>0.84607461854019306</v>
      </c>
      <c r="E58" s="9">
        <f t="shared" ref="E58:F58" si="14">E56*10%</f>
        <v>1.0022044362056055</v>
      </c>
      <c r="F58" s="9">
        <f t="shared" si="14"/>
        <v>1.0696247111330013</v>
      </c>
      <c r="G58" s="10" t="s">
        <v>33</v>
      </c>
      <c r="I58" s="9">
        <f>I56*10%</f>
        <v>0.80578535099065984</v>
      </c>
      <c r="J58" s="9">
        <f t="shared" ref="J58:K58" si="15">J56*10%</f>
        <v>0.95448041543390993</v>
      </c>
      <c r="K58" s="9">
        <f t="shared" si="15"/>
        <v>0.93959339889589133</v>
      </c>
    </row>
    <row r="59" spans="1:16" x14ac:dyDescent="0.2">
      <c r="A59" s="8" t="s">
        <v>36</v>
      </c>
      <c r="B59" s="9"/>
      <c r="C59" s="9"/>
      <c r="D59" s="9">
        <f>(SUM(D22:D35))*1000000/(D46*10*7000)</f>
        <v>7.4422230572548242</v>
      </c>
      <c r="E59" s="9">
        <f>(SUM(E22:E35))*1000000/(E46*10*7000)</f>
        <v>7.5938004567937591</v>
      </c>
      <c r="F59" s="9">
        <f>(SUM(F22:F35))*1000000/(F46*10*7000)</f>
        <v>7.8356146850032573</v>
      </c>
      <c r="G59" s="10" t="s">
        <v>33</v>
      </c>
      <c r="I59" s="9">
        <f>(SUM(I22:I35))*1000000/(I46*10*7000)</f>
        <v>30.4492297535506</v>
      </c>
      <c r="J59" s="9">
        <f>(SUM(J22:J35))*1000000/(J46*10*7000)</f>
        <v>19.77791429411587</v>
      </c>
      <c r="K59" s="9">
        <f>(SUM(K22:K35))*1000000/(K46*10*7000)</f>
        <v>16.860635913889656</v>
      </c>
    </row>
    <row r="60" spans="1:16" x14ac:dyDescent="0.2">
      <c r="A60" s="8" t="s">
        <v>37</v>
      </c>
      <c r="B60" s="9"/>
      <c r="C60" s="9"/>
      <c r="D60" s="9">
        <f>(D53)*1000000/(D46*10*7000)</f>
        <v>6.9854755665891446</v>
      </c>
      <c r="E60" s="9">
        <f>(E53)*1000000/(E46*10*7000)</f>
        <v>8.2745356596569835</v>
      </c>
      <c r="F60" s="9">
        <f>(F53)*1000000/(F46*10*7000)</f>
        <v>8.7099936852707813</v>
      </c>
      <c r="G60" s="10" t="s">
        <v>33</v>
      </c>
      <c r="I60" s="9">
        <f>(I53)*1000000/(I46*10*7000)</f>
        <v>13.970951133178289</v>
      </c>
      <c r="J60" s="9">
        <f>(J53)*1000000/(J46*10*7000)</f>
        <v>16.549071319313967</v>
      </c>
      <c r="K60" s="9">
        <f>(K53)*1000000/(K46*10*7000)</f>
        <v>16.210715000542859</v>
      </c>
    </row>
    <row r="61" spans="1:16" x14ac:dyDescent="0.2">
      <c r="A61" s="8" t="s">
        <v>38</v>
      </c>
      <c r="B61" s="9"/>
      <c r="C61" s="9"/>
      <c r="D61" s="23">
        <f>SUM(D56:D60)</f>
        <v>28.85201651199263</v>
      </c>
      <c r="E61" s="23">
        <f>SUM(E56:E60)</f>
        <v>32.95443592368153</v>
      </c>
      <c r="F61" s="23">
        <f t="shared" ref="F61" si="16">SUM(F56:F60)</f>
        <v>34.781123910288613</v>
      </c>
      <c r="G61" s="10" t="s">
        <v>33</v>
      </c>
      <c r="I61" s="14">
        <f>SUM(I56:I60)</f>
        <v>58.15762649448952</v>
      </c>
      <c r="J61" s="14">
        <f>SUM(J56:J60)</f>
        <v>52.599461620316305</v>
      </c>
      <c r="K61" s="14">
        <f t="shared" ref="K61" si="17">SUM(K56:K60)</f>
        <v>49.534428129245882</v>
      </c>
    </row>
    <row r="62" spans="1:16" x14ac:dyDescent="0.2">
      <c r="A62" s="8"/>
      <c r="B62" s="9"/>
      <c r="C62" s="9"/>
      <c r="D62" s="9">
        <f>D61*6.4808</f>
        <v>186.98414861092184</v>
      </c>
      <c r="E62" s="9">
        <f t="shared" ref="E62:F62" si="18">E61*6.4808</f>
        <v>213.57110833419526</v>
      </c>
      <c r="F62" s="9">
        <f t="shared" si="18"/>
        <v>225.40950783779846</v>
      </c>
      <c r="G62" s="10" t="s">
        <v>39</v>
      </c>
      <c r="I62" s="9">
        <f>I61*6.4808</f>
        <v>376.9079457854877</v>
      </c>
      <c r="J62" s="9">
        <f t="shared" ref="J62:K62" si="19">J61*6.4808</f>
        <v>340.88659086894592</v>
      </c>
      <c r="K62" s="9">
        <f t="shared" si="19"/>
        <v>321.02272182001673</v>
      </c>
    </row>
    <row r="63" spans="1:16" x14ac:dyDescent="0.2">
      <c r="A63" s="11"/>
      <c r="B63" s="12"/>
      <c r="C63" s="12"/>
      <c r="D63" s="12"/>
      <c r="E63" s="12"/>
      <c r="F63" s="12"/>
      <c r="G63" s="13"/>
      <c r="I63">
        <f t="shared" si="0"/>
        <v>0</v>
      </c>
      <c r="J63">
        <f t="shared" si="0"/>
        <v>0</v>
      </c>
      <c r="K63">
        <f t="shared" si="0"/>
        <v>0</v>
      </c>
    </row>
    <row r="64" spans="1:16" x14ac:dyDescent="0.2">
      <c r="A64" s="8"/>
      <c r="B64" s="9"/>
      <c r="C64" s="9" t="s">
        <v>40</v>
      </c>
      <c r="D64" s="9">
        <f>D61*D41/D45</f>
        <v>16.420779320761998</v>
      </c>
      <c r="E64" s="9">
        <f t="shared" ref="E64:F64" si="20">E61*E41/E45</f>
        <v>18.747525075958158</v>
      </c>
      <c r="F64" s="9">
        <f t="shared" si="20"/>
        <v>19.787228834201695</v>
      </c>
      <c r="G64" s="10"/>
      <c r="I64" s="9">
        <f>I61*I41/I45</f>
        <v>33.099715927597678</v>
      </c>
      <c r="J64" s="9">
        <f t="shared" ref="J64:K64" si="21">J61*J41/J45</f>
        <v>29.923429064071648</v>
      </c>
      <c r="K64" s="9">
        <f t="shared" si="21"/>
        <v>28.180488563072785</v>
      </c>
      <c r="L64" t="s">
        <v>85</v>
      </c>
    </row>
    <row r="65" spans="1:15" x14ac:dyDescent="0.2">
      <c r="A65" s="8"/>
      <c r="B65" s="9"/>
      <c r="C65" s="9"/>
      <c r="D65" s="9">
        <f>D64*D46</f>
        <v>3870.2015894661672</v>
      </c>
      <c r="E65" s="9">
        <f t="shared" ref="E65:F65" si="22">E64*E46</f>
        <v>3730.2343029333788</v>
      </c>
      <c r="F65" s="9">
        <f t="shared" si="22"/>
        <v>4207.608379716482</v>
      </c>
      <c r="G65" s="10"/>
      <c r="I65" s="9">
        <f>I64*I46</f>
        <v>7801.2480827811651</v>
      </c>
      <c r="J65" s="9">
        <f t="shared" ref="J65:K65" si="23">J64*J46</f>
        <v>5953.9273106153669</v>
      </c>
      <c r="K65" s="9">
        <f t="shared" si="23"/>
        <v>5992.3732027367178</v>
      </c>
      <c r="L65" t="s">
        <v>86</v>
      </c>
    </row>
    <row r="66" spans="1:15" x14ac:dyDescent="0.2">
      <c r="A66" s="8"/>
      <c r="B66" s="9"/>
      <c r="C66" s="9" t="s">
        <v>41</v>
      </c>
      <c r="D66" s="23">
        <f>D65/D39</f>
        <v>8.6469493486441909E-2</v>
      </c>
      <c r="E66" s="23">
        <f t="shared" ref="E66:F66" si="24">E65/E39</f>
        <v>9.8764444463273551E-2</v>
      </c>
      <c r="F66" s="23">
        <f t="shared" si="24"/>
        <v>0.10423902835913494</v>
      </c>
      <c r="G66" s="10" t="s">
        <v>42</v>
      </c>
      <c r="I66" s="14">
        <f>I65/I39</f>
        <v>0.1742984066039851</v>
      </c>
      <c r="J66" s="14">
        <f t="shared" ref="J66:K66" si="25">J65/J39</f>
        <v>0.15764058647608797</v>
      </c>
      <c r="K66" s="14">
        <f t="shared" si="25"/>
        <v>0.14845468110334989</v>
      </c>
      <c r="L66" t="s">
        <v>87</v>
      </c>
      <c r="M66">
        <f>H39*F46*K61/(H39*0.9999*F39+H42*F43*F42)</f>
        <v>0.14852715992112625</v>
      </c>
      <c r="N66">
        <f>H39*E46*J61/(H39*0.9999*E39+H42*E43*E42)</f>
        <v>0.15771755215636474</v>
      </c>
    </row>
    <row r="67" spans="1:15" x14ac:dyDescent="0.2">
      <c r="A67" s="8"/>
      <c r="B67" s="9"/>
      <c r="C67" s="9" t="s">
        <v>43</v>
      </c>
      <c r="D67" s="9">
        <f>D66*6.4808</f>
        <v>0.56039149338693273</v>
      </c>
      <c r="E67" s="9">
        <f t="shared" ref="E67" si="26">E66*6.4808</f>
        <v>0.64007261167758323</v>
      </c>
      <c r="F67" s="9">
        <f>F66*6.4808</f>
        <v>0.67555229498988179</v>
      </c>
      <c r="G67" s="10" t="s">
        <v>44</v>
      </c>
      <c r="I67" s="9">
        <f>I66*6.4808</f>
        <v>1.1295931135191066</v>
      </c>
      <c r="J67" s="9">
        <f t="shared" ref="J67" si="27">J66*6.4808</f>
        <v>1.021637112834231</v>
      </c>
      <c r="K67" s="9">
        <f>K66*6.4808</f>
        <v>0.96210509729459004</v>
      </c>
      <c r="M67">
        <f>K67/(1000/22.4*2)*1000</f>
        <v>10.775577089699407</v>
      </c>
    </row>
    <row r="68" spans="1:15" x14ac:dyDescent="0.2">
      <c r="A68" s="11"/>
      <c r="B68" s="12"/>
      <c r="C68" s="12" t="s">
        <v>45</v>
      </c>
      <c r="D68" s="12"/>
      <c r="E68" s="12"/>
      <c r="F68" s="12"/>
      <c r="G68" s="13"/>
      <c r="I68">
        <f t="shared" ref="I68:K68" si="28">D68</f>
        <v>0</v>
      </c>
      <c r="J68">
        <f t="shared" si="28"/>
        <v>0</v>
      </c>
      <c r="K68">
        <f t="shared" si="28"/>
        <v>0</v>
      </c>
      <c r="M68">
        <f>M67*0.15</f>
        <v>1.6163365634549109</v>
      </c>
    </row>
    <row r="69" spans="1:15" x14ac:dyDescent="0.2">
      <c r="A69" s="8"/>
      <c r="B69" s="9"/>
      <c r="C69" s="9"/>
      <c r="D69" s="9">
        <f>D61*D44/D45</f>
        <v>12.431237191230633</v>
      </c>
      <c r="E69" s="9">
        <f t="shared" ref="E69:F69" si="29">E61*E44/E45</f>
        <v>14.206910847723373</v>
      </c>
      <c r="F69" s="9">
        <f t="shared" si="29"/>
        <v>14.993895076086918</v>
      </c>
      <c r="G69" s="10"/>
      <c r="I69" s="9">
        <f>I61*I44/I45</f>
        <v>25.057910566891842</v>
      </c>
      <c r="J69" s="9">
        <f t="shared" ref="J69:K69" si="30">J61*J44/J45</f>
        <v>22.67603255624466</v>
      </c>
      <c r="K69" s="9">
        <f t="shared" si="30"/>
        <v>21.353939566173096</v>
      </c>
      <c r="L69" s="10" t="s">
        <v>20</v>
      </c>
      <c r="M69" s="1">
        <f>I66/K66*O69</f>
        <v>1.8977164307120988</v>
      </c>
      <c r="N69" s="1">
        <f>J66/K66*O69</f>
        <v>1.7163503495615078</v>
      </c>
      <c r="O69" s="1">
        <v>1.6163365634549109</v>
      </c>
    </row>
    <row r="70" spans="1:15" x14ac:dyDescent="0.2">
      <c r="A70" s="8"/>
      <c r="B70" s="9"/>
      <c r="C70" s="9"/>
      <c r="D70" s="9">
        <f>D69*D46</f>
        <v>2929.9092933854213</v>
      </c>
      <c r="E70" s="9">
        <f t="shared" ref="E70:F70" si="31">E69*E46</f>
        <v>2826.7787864359238</v>
      </c>
      <c r="F70" s="9">
        <f t="shared" si="31"/>
        <v>3188.3412829231725</v>
      </c>
      <c r="G70" s="10"/>
      <c r="I70" s="9">
        <f>I69*I46</f>
        <v>5905.8807995834877</v>
      </c>
      <c r="J70" s="9">
        <f t="shared" ref="J70:K70" si="32">J69*J46</f>
        <v>4511.8976586521403</v>
      </c>
      <c r="K70" s="9">
        <f t="shared" si="32"/>
        <v>4540.7578702121064</v>
      </c>
    </row>
    <row r="71" spans="1:15" x14ac:dyDescent="0.2">
      <c r="A71" s="8"/>
      <c r="B71" s="9"/>
      <c r="C71" s="9"/>
      <c r="D71" s="23">
        <f>D70/D42</f>
        <v>0.25029124324153607</v>
      </c>
      <c r="E71" s="23">
        <f t="shared" ref="E71:F71" si="33">E70/E42</f>
        <v>0.28587973163793728</v>
      </c>
      <c r="F71" s="23">
        <f t="shared" si="33"/>
        <v>0.30172624992175379</v>
      </c>
      <c r="G71" s="10" t="s">
        <v>42</v>
      </c>
      <c r="I71" s="14">
        <f>I70/I42</f>
        <v>0.50451740983969651</v>
      </c>
      <c r="J71" s="14">
        <f t="shared" ref="J71:K71" si="34">J70/J42</f>
        <v>0.45630032955624394</v>
      </c>
      <c r="K71" s="14">
        <f t="shared" si="34"/>
        <v>0.42971116402120813</v>
      </c>
    </row>
    <row r="72" spans="1:15" x14ac:dyDescent="0.2">
      <c r="A72" s="8"/>
      <c r="B72" s="9"/>
      <c r="C72" s="9" t="s">
        <v>46</v>
      </c>
      <c r="D72" s="9">
        <f>D71*6.4808</f>
        <v>1.622087489199747</v>
      </c>
      <c r="E72" s="9">
        <f t="shared" ref="E72:F72" si="35">E71*6.4808</f>
        <v>1.8527293647991441</v>
      </c>
      <c r="F72" s="9">
        <f t="shared" si="35"/>
        <v>1.9554274804929019</v>
      </c>
      <c r="G72" s="10" t="s">
        <v>44</v>
      </c>
      <c r="I72" s="9">
        <f>I71*6.4808</f>
        <v>3.2696764296891052</v>
      </c>
      <c r="J72" s="9">
        <f t="shared" ref="J72:K72" si="36">J71*6.4808</f>
        <v>2.9571911757881058</v>
      </c>
      <c r="K72" s="9">
        <f t="shared" si="36"/>
        <v>2.7848721117886459</v>
      </c>
    </row>
    <row r="73" spans="1:15" x14ac:dyDescent="0.2">
      <c r="A73" s="8"/>
      <c r="B73" s="9"/>
      <c r="C73" s="9"/>
      <c r="D73" s="9"/>
      <c r="E73" s="9"/>
      <c r="F73" s="9"/>
      <c r="G73" s="10"/>
    </row>
    <row r="74" spans="1:15" x14ac:dyDescent="0.2">
      <c r="A74" s="8"/>
      <c r="B74" s="9"/>
      <c r="C74" s="9"/>
      <c r="D74" s="9"/>
      <c r="E74" s="9"/>
      <c r="F74" s="9"/>
      <c r="G74" s="10"/>
    </row>
    <row r="75" spans="1:15" ht="15" thickBot="1" x14ac:dyDescent="0.25">
      <c r="A75" s="15"/>
      <c r="B75" s="16">
        <f>168.08/277.69</f>
        <v>0.60527926824876666</v>
      </c>
      <c r="C75" s="16"/>
      <c r="D75" s="16"/>
      <c r="E75" s="16"/>
      <c r="F75" s="16"/>
      <c r="G75" s="1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4AFCB-A1BF-4D66-AC8F-F3F777AB1144}">
  <dimension ref="A1:P75"/>
  <sheetViews>
    <sheetView tabSelected="1" zoomScaleNormal="100" workbookViewId="0">
      <selection activeCell="H17" sqref="H17"/>
    </sheetView>
  </sheetViews>
  <sheetFormatPr defaultRowHeight="14.25" x14ac:dyDescent="0.2"/>
  <cols>
    <col min="1" max="1" width="24.125" customWidth="1"/>
    <col min="2" max="2" width="28" customWidth="1"/>
    <col min="3" max="3" width="37.375" customWidth="1"/>
    <col min="4" max="4" width="17.75" customWidth="1"/>
    <col min="5" max="5" width="17.875" customWidth="1"/>
    <col min="6" max="6" width="17.7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102</v>
      </c>
      <c r="G1" t="s">
        <v>104</v>
      </c>
      <c r="I1" s="1" t="s">
        <v>103</v>
      </c>
    </row>
    <row r="2" spans="1:12" x14ac:dyDescent="0.2">
      <c r="D2" t="s">
        <v>51</v>
      </c>
      <c r="E2" t="s">
        <v>52</v>
      </c>
      <c r="F2" t="s">
        <v>53</v>
      </c>
      <c r="I2" t="s">
        <v>51</v>
      </c>
      <c r="J2" t="s">
        <v>52</v>
      </c>
      <c r="K2" t="s">
        <v>53</v>
      </c>
    </row>
    <row r="3" spans="1:12" x14ac:dyDescent="0.2">
      <c r="A3" t="s">
        <v>3</v>
      </c>
      <c r="B3" t="s">
        <v>54</v>
      </c>
      <c r="D3" s="20">
        <v>0</v>
      </c>
      <c r="E3" s="20">
        <v>0</v>
      </c>
      <c r="F3" s="20">
        <v>277.69</v>
      </c>
      <c r="I3">
        <f>D3</f>
        <v>0</v>
      </c>
      <c r="J3">
        <f>E3</f>
        <v>0</v>
      </c>
      <c r="K3">
        <f>SUM(K4:K9)</f>
        <v>239.19000000000003</v>
      </c>
    </row>
    <row r="4" spans="1:12" x14ac:dyDescent="0.2">
      <c r="C4" t="s">
        <v>5</v>
      </c>
      <c r="D4" t="s">
        <v>55</v>
      </c>
      <c r="E4" t="s">
        <v>55</v>
      </c>
      <c r="F4">
        <v>7.56</v>
      </c>
      <c r="G4" t="s">
        <v>76</v>
      </c>
      <c r="I4" t="str">
        <f t="shared" ref="I4:K63" si="0">D4</f>
        <v>/</v>
      </c>
      <c r="J4" t="str">
        <f t="shared" si="0"/>
        <v>/</v>
      </c>
      <c r="K4">
        <f>F4*2/3</f>
        <v>5.04</v>
      </c>
    </row>
    <row r="5" spans="1:12" x14ac:dyDescent="0.2">
      <c r="C5" t="s">
        <v>6</v>
      </c>
      <c r="D5" t="s">
        <v>55</v>
      </c>
      <c r="E5" t="s">
        <v>55</v>
      </c>
      <c r="F5">
        <v>168.08</v>
      </c>
      <c r="G5" t="s">
        <v>73</v>
      </c>
      <c r="I5" t="str">
        <f t="shared" si="0"/>
        <v>/</v>
      </c>
      <c r="J5" t="str">
        <f t="shared" si="0"/>
        <v>/</v>
      </c>
      <c r="K5">
        <f t="shared" si="0"/>
        <v>168.08</v>
      </c>
    </row>
    <row r="6" spans="1:12" x14ac:dyDescent="0.2">
      <c r="C6" t="s">
        <v>7</v>
      </c>
      <c r="D6" t="s">
        <v>55</v>
      </c>
      <c r="E6" t="s">
        <v>55</v>
      </c>
      <c r="F6">
        <v>33.630000000000003</v>
      </c>
      <c r="G6" t="s">
        <v>76</v>
      </c>
      <c r="I6" t="str">
        <f t="shared" si="0"/>
        <v>/</v>
      </c>
      <c r="J6" t="str">
        <f t="shared" si="0"/>
        <v>/</v>
      </c>
      <c r="K6">
        <f>F6*2/3</f>
        <v>22.42</v>
      </c>
    </row>
    <row r="7" spans="1:12" x14ac:dyDescent="0.2">
      <c r="C7" t="s">
        <v>8</v>
      </c>
      <c r="D7" t="s">
        <v>55</v>
      </c>
      <c r="E7" t="s">
        <v>55</v>
      </c>
      <c r="F7">
        <v>10.41</v>
      </c>
      <c r="G7" t="s">
        <v>76</v>
      </c>
      <c r="I7" t="str">
        <f t="shared" si="0"/>
        <v>/</v>
      </c>
      <c r="J7" t="str">
        <f t="shared" si="0"/>
        <v>/</v>
      </c>
      <c r="K7">
        <f>F7*2/3</f>
        <v>6.94</v>
      </c>
    </row>
    <row r="8" spans="1:12" x14ac:dyDescent="0.2">
      <c r="C8" t="s">
        <v>78</v>
      </c>
      <c r="D8" t="s">
        <v>55</v>
      </c>
      <c r="E8" t="s">
        <v>55</v>
      </c>
      <c r="F8">
        <v>42.56</v>
      </c>
      <c r="G8" t="s">
        <v>73</v>
      </c>
      <c r="I8" t="str">
        <f t="shared" si="0"/>
        <v>/</v>
      </c>
      <c r="J8" t="str">
        <f t="shared" si="0"/>
        <v>/</v>
      </c>
      <c r="K8">
        <f>F8/2</f>
        <v>21.28</v>
      </c>
    </row>
    <row r="9" spans="1:12" x14ac:dyDescent="0.2">
      <c r="C9" t="s">
        <v>77</v>
      </c>
      <c r="D9" t="s">
        <v>55</v>
      </c>
      <c r="E9" t="s">
        <v>55</v>
      </c>
      <c r="F9">
        <v>15.43</v>
      </c>
      <c r="G9" t="s">
        <v>72</v>
      </c>
      <c r="I9" t="str">
        <f t="shared" si="0"/>
        <v>/</v>
      </c>
      <c r="J9" t="str">
        <f t="shared" si="0"/>
        <v>/</v>
      </c>
      <c r="K9">
        <v>15.43</v>
      </c>
    </row>
    <row r="10" spans="1:12" x14ac:dyDescent="0.2">
      <c r="B10" t="s">
        <v>67</v>
      </c>
      <c r="D10" s="20">
        <f t="shared" ref="D10:E10" si="1">SUM(D11:D13)</f>
        <v>2791.75</v>
      </c>
      <c r="E10" s="20">
        <f t="shared" si="1"/>
        <v>2791.75</v>
      </c>
      <c r="F10" s="20">
        <f>SUM(F11:F13)</f>
        <v>2745.7563636363634</v>
      </c>
      <c r="I10">
        <f>SUM(I11:I13)*1</f>
        <v>2658.8095238095234</v>
      </c>
      <c r="J10">
        <f>SUM(J11:J13)*1</f>
        <v>2658.8095238095234</v>
      </c>
      <c r="K10">
        <f>SUM(K11:K13)*1</f>
        <v>2615.0060606060601</v>
      </c>
    </row>
    <row r="11" spans="1:12" x14ac:dyDescent="0.2">
      <c r="C11" t="s">
        <v>11</v>
      </c>
      <c r="D11">
        <f>77.195*10</f>
        <v>771.94999999999993</v>
      </c>
      <c r="E11">
        <f>77.195*10</f>
        <v>771.94999999999993</v>
      </c>
      <c r="F11">
        <f>77.195*10</f>
        <v>771.94999999999993</v>
      </c>
      <c r="G11" t="s">
        <v>74</v>
      </c>
      <c r="H11">
        <v>0.47799999999999998</v>
      </c>
      <c r="I11">
        <f>D11*2/2.1</f>
        <v>735.19047619047615</v>
      </c>
      <c r="J11">
        <f t="shared" ref="J11:K13" si="2">E11*2/2.1</f>
        <v>735.19047619047615</v>
      </c>
      <c r="K11">
        <f t="shared" si="2"/>
        <v>735.19047619047615</v>
      </c>
    </row>
    <row r="12" spans="1:12" x14ac:dyDescent="0.2">
      <c r="C12" t="s">
        <v>12</v>
      </c>
      <c r="D12">
        <f>151.387*10</f>
        <v>1513.87</v>
      </c>
      <c r="E12">
        <f>151.387*10</f>
        <v>1513.87</v>
      </c>
      <c r="F12">
        <f>151.387*10</f>
        <v>1513.87</v>
      </c>
      <c r="G12" t="s">
        <v>74</v>
      </c>
      <c r="H12">
        <v>0.27500000000000002</v>
      </c>
      <c r="I12">
        <f t="shared" ref="I12:I13" si="3">D12*2/2.1</f>
        <v>1441.7809523809522</v>
      </c>
      <c r="J12">
        <f t="shared" si="2"/>
        <v>1441.7809523809522</v>
      </c>
      <c r="K12">
        <f t="shared" si="2"/>
        <v>1441.7809523809522</v>
      </c>
    </row>
    <row r="13" spans="1:12" x14ac:dyDescent="0.2">
      <c r="C13" t="s">
        <v>80</v>
      </c>
      <c r="D13">
        <f>50.593*10</f>
        <v>505.93000000000006</v>
      </c>
      <c r="E13">
        <f>50.593*10</f>
        <v>505.93000000000006</v>
      </c>
      <c r="F13">
        <f>50.593/1.1*10</f>
        <v>459.93636363636364</v>
      </c>
      <c r="G13" t="s">
        <v>74</v>
      </c>
      <c r="H13">
        <v>0.46700000000000003</v>
      </c>
      <c r="I13">
        <f t="shared" si="3"/>
        <v>481.83809523809526</v>
      </c>
      <c r="J13">
        <f t="shared" si="2"/>
        <v>481.83809523809526</v>
      </c>
      <c r="K13">
        <f t="shared" si="2"/>
        <v>438.03463203463201</v>
      </c>
    </row>
    <row r="14" spans="1:12" x14ac:dyDescent="0.2">
      <c r="B14" t="s">
        <v>68</v>
      </c>
      <c r="D14" s="20">
        <f t="shared" ref="D14:E14" si="4">SUM(D15:D17)</f>
        <v>0</v>
      </c>
      <c r="E14" s="20">
        <f t="shared" si="4"/>
        <v>0</v>
      </c>
      <c r="F14" s="20">
        <f>SUM(F15:F17)</f>
        <v>160.82299999999998</v>
      </c>
      <c r="K14">
        <f>SUM(K15:K18)</f>
        <v>125.13099999999999</v>
      </c>
      <c r="L14">
        <f>K3+K14</f>
        <v>364.32100000000003</v>
      </c>
    </row>
    <row r="15" spans="1:12" x14ac:dyDescent="0.2">
      <c r="C15" t="s">
        <v>14</v>
      </c>
      <c r="F15">
        <v>15.77</v>
      </c>
      <c r="H15" t="s">
        <v>72</v>
      </c>
      <c r="K15">
        <f t="shared" si="0"/>
        <v>15.77</v>
      </c>
    </row>
    <row r="16" spans="1:12" x14ac:dyDescent="0.2">
      <c r="C16" t="s">
        <v>15</v>
      </c>
      <c r="F16">
        <f>122.413</f>
        <v>122.413</v>
      </c>
      <c r="H16" t="s">
        <v>72</v>
      </c>
      <c r="K16">
        <f t="shared" si="0"/>
        <v>122.413</v>
      </c>
    </row>
    <row r="17" spans="1:11" x14ac:dyDescent="0.2">
      <c r="C17" t="s">
        <v>16</v>
      </c>
      <c r="F17">
        <v>22.64</v>
      </c>
      <c r="G17" t="s">
        <v>76</v>
      </c>
      <c r="K17">
        <f>F17*2/3</f>
        <v>15.093333333333334</v>
      </c>
    </row>
    <row r="18" spans="1:11" x14ac:dyDescent="0.2">
      <c r="F18">
        <v>-42.218000000000004</v>
      </c>
      <c r="G18" t="s">
        <v>76</v>
      </c>
      <c r="H18" t="s">
        <v>79</v>
      </c>
      <c r="K18">
        <f>F18*2/3</f>
        <v>-28.145333333333337</v>
      </c>
    </row>
    <row r="19" spans="1:11" x14ac:dyDescent="0.2">
      <c r="A19" t="s">
        <v>56</v>
      </c>
      <c r="B19" t="s">
        <v>57</v>
      </c>
      <c r="C19" t="s">
        <v>58</v>
      </c>
      <c r="D19">
        <v>0</v>
      </c>
      <c r="E19">
        <v>0</v>
      </c>
      <c r="F19">
        <v>14.4</v>
      </c>
      <c r="G19" t="s">
        <v>75</v>
      </c>
      <c r="I19">
        <f t="shared" si="0"/>
        <v>0</v>
      </c>
      <c r="J19">
        <f t="shared" si="0"/>
        <v>0</v>
      </c>
      <c r="K19">
        <f>F19*3/2/2</f>
        <v>10.8</v>
      </c>
    </row>
    <row r="20" spans="1:11" x14ac:dyDescent="0.2">
      <c r="B20" t="s">
        <v>69</v>
      </c>
      <c r="C20" t="s">
        <v>59</v>
      </c>
      <c r="D20">
        <v>2.2499999999999999E-2</v>
      </c>
      <c r="E20">
        <v>2.2499999999999999E-2</v>
      </c>
      <c r="F20">
        <v>2.2499999999999999E-2</v>
      </c>
      <c r="I20">
        <v>0.03</v>
      </c>
      <c r="J20">
        <v>0.03</v>
      </c>
      <c r="K20">
        <v>0.03</v>
      </c>
    </row>
    <row r="21" spans="1:11" x14ac:dyDescent="0.2">
      <c r="I21">
        <f t="shared" si="0"/>
        <v>0</v>
      </c>
      <c r="J21">
        <f t="shared" si="0"/>
        <v>0</v>
      </c>
      <c r="K21">
        <f t="shared" si="0"/>
        <v>0</v>
      </c>
    </row>
    <row r="22" spans="1:11" x14ac:dyDescent="0.2">
      <c r="A22" t="s">
        <v>19</v>
      </c>
      <c r="B22" t="s">
        <v>60</v>
      </c>
      <c r="C22" t="s">
        <v>61</v>
      </c>
      <c r="D22">
        <v>0</v>
      </c>
      <c r="E22">
        <v>0</v>
      </c>
      <c r="F22">
        <v>5.98</v>
      </c>
      <c r="G22" t="s">
        <v>76</v>
      </c>
      <c r="I22">
        <f t="shared" si="0"/>
        <v>0</v>
      </c>
      <c r="J22">
        <f t="shared" si="0"/>
        <v>0</v>
      </c>
      <c r="K22">
        <f>F22*3/2/2</f>
        <v>4.4850000000000003</v>
      </c>
    </row>
    <row r="23" spans="1:11" x14ac:dyDescent="0.2">
      <c r="C23" t="s">
        <v>62</v>
      </c>
      <c r="D23">
        <v>13.98</v>
      </c>
      <c r="E23">
        <v>13.98</v>
      </c>
      <c r="F23">
        <v>13.98</v>
      </c>
      <c r="I23">
        <f>(D23+0.6)*1</f>
        <v>14.58</v>
      </c>
      <c r="J23">
        <f>(E23+0.6)*1</f>
        <v>14.58</v>
      </c>
      <c r="K23">
        <f>F23*1</f>
        <v>13.98</v>
      </c>
    </row>
    <row r="24" spans="1:11" x14ac:dyDescent="0.2">
      <c r="B24" t="s">
        <v>21</v>
      </c>
      <c r="C24" t="s">
        <v>61</v>
      </c>
      <c r="D24">
        <v>0</v>
      </c>
      <c r="E24">
        <v>0</v>
      </c>
      <c r="F24">
        <v>0.20799999999999999</v>
      </c>
      <c r="I24">
        <f t="shared" si="0"/>
        <v>0</v>
      </c>
      <c r="J24">
        <f t="shared" si="0"/>
        <v>0</v>
      </c>
      <c r="K24">
        <v>1.2</v>
      </c>
    </row>
    <row r="25" spans="1:11" x14ac:dyDescent="0.2">
      <c r="B25" t="s">
        <v>63</v>
      </c>
      <c r="C25" t="s">
        <v>62</v>
      </c>
      <c r="D25">
        <v>25.55</v>
      </c>
      <c r="E25">
        <v>25.55</v>
      </c>
      <c r="F25">
        <v>25.55</v>
      </c>
      <c r="I25">
        <f>(D25+1)*1</f>
        <v>26.55</v>
      </c>
      <c r="J25">
        <f>(E25+1)*1</f>
        <v>26.55</v>
      </c>
      <c r="K25">
        <f>F25*1</f>
        <v>25.55</v>
      </c>
    </row>
    <row r="26" spans="1:11" x14ac:dyDescent="0.2">
      <c r="B26" t="s">
        <v>22</v>
      </c>
      <c r="C26" t="s">
        <v>23</v>
      </c>
      <c r="D26">
        <v>2.06</v>
      </c>
      <c r="E26">
        <v>2.06</v>
      </c>
      <c r="F26">
        <v>2.266</v>
      </c>
      <c r="I26">
        <f>D26*1</f>
        <v>2.06</v>
      </c>
      <c r="J26">
        <f>E26*1</f>
        <v>2.06</v>
      </c>
      <c r="K26">
        <f>F26</f>
        <v>2.266</v>
      </c>
    </row>
    <row r="27" spans="1:11" x14ac:dyDescent="0.2">
      <c r="B27" t="s">
        <v>63</v>
      </c>
      <c r="C27" t="s">
        <v>24</v>
      </c>
      <c r="D27">
        <v>0</v>
      </c>
      <c r="E27">
        <v>0</v>
      </c>
      <c r="F27">
        <v>0.92500000000000004</v>
      </c>
      <c r="I27">
        <f t="shared" si="0"/>
        <v>0</v>
      </c>
      <c r="J27">
        <f t="shared" si="0"/>
        <v>0</v>
      </c>
      <c r="K27">
        <f t="shared" si="0"/>
        <v>0.92500000000000004</v>
      </c>
    </row>
    <row r="28" spans="1:11" x14ac:dyDescent="0.2">
      <c r="C28" t="s">
        <v>64</v>
      </c>
      <c r="D28">
        <v>50.07</v>
      </c>
      <c r="E28">
        <v>50.07</v>
      </c>
      <c r="F28">
        <v>50.07</v>
      </c>
      <c r="I28">
        <f>D28*1</f>
        <v>50.07</v>
      </c>
      <c r="J28">
        <f>E28*1</f>
        <v>50.07</v>
      </c>
      <c r="K28">
        <f>F28*1</f>
        <v>50.07</v>
      </c>
    </row>
    <row r="29" spans="1:11" x14ac:dyDescent="0.2">
      <c r="C29" t="s">
        <v>65</v>
      </c>
      <c r="D29" s="21">
        <f>7.31%*18720*5820*11*7000/3600*0.75/6.4808/1000000</f>
        <v>19.713651493642761</v>
      </c>
      <c r="E29" s="21">
        <f>1%*18720*5820*11*7000/3600*0.75/6.4808/1000000</f>
        <v>2.6968059498827306</v>
      </c>
      <c r="F29">
        <v>0</v>
      </c>
      <c r="I29">
        <f>(7.31%+3.75%)*18720*5820*11*7000/3600*0.4/6.4808/1000000*10</f>
        <v>159.07559363041605</v>
      </c>
      <c r="J29">
        <f>(1%+3.75%)*18720*5820*11*7000/3600*0.4/6.4808/1000000*10</f>
        <v>68.31908406369584</v>
      </c>
      <c r="K29">
        <f>3.75%*18720*5820*11*7000/3600*0.4/6.4808/1000000*10</f>
        <v>53.93611899765461</v>
      </c>
    </row>
    <row r="30" spans="1:11" x14ac:dyDescent="0.2">
      <c r="B30" t="s">
        <v>25</v>
      </c>
      <c r="C30" t="s">
        <v>26</v>
      </c>
      <c r="D30">
        <v>0</v>
      </c>
      <c r="E30">
        <v>0</v>
      </c>
      <c r="F30">
        <v>7.5999999999999998E-2</v>
      </c>
      <c r="I30">
        <f t="shared" si="0"/>
        <v>0</v>
      </c>
      <c r="J30">
        <f t="shared" si="0"/>
        <v>0</v>
      </c>
      <c r="K30">
        <f t="shared" si="0"/>
        <v>7.5999999999999998E-2</v>
      </c>
    </row>
    <row r="31" spans="1:11" x14ac:dyDescent="0.2">
      <c r="B31" t="s">
        <v>63</v>
      </c>
      <c r="C31" t="s">
        <v>27</v>
      </c>
      <c r="D31">
        <v>0</v>
      </c>
      <c r="E31">
        <v>0</v>
      </c>
      <c r="F31">
        <v>3.95</v>
      </c>
      <c r="I31">
        <f t="shared" si="0"/>
        <v>0</v>
      </c>
      <c r="J31">
        <f t="shared" si="0"/>
        <v>0</v>
      </c>
      <c r="K31">
        <f t="shared" si="0"/>
        <v>3.95</v>
      </c>
    </row>
    <row r="32" spans="1:11" x14ac:dyDescent="0.2">
      <c r="C32" t="s">
        <v>28</v>
      </c>
      <c r="D32">
        <v>0</v>
      </c>
      <c r="E32">
        <v>0</v>
      </c>
      <c r="F32">
        <v>0.03</v>
      </c>
      <c r="I32">
        <f t="shared" si="0"/>
        <v>0</v>
      </c>
      <c r="J32">
        <f t="shared" si="0"/>
        <v>0</v>
      </c>
      <c r="K32">
        <f t="shared" si="0"/>
        <v>0.03</v>
      </c>
    </row>
    <row r="33" spans="2:11" x14ac:dyDescent="0.2">
      <c r="C33" t="s">
        <v>29</v>
      </c>
      <c r="D33">
        <v>0</v>
      </c>
      <c r="E33">
        <v>0</v>
      </c>
      <c r="F33">
        <v>1.54</v>
      </c>
      <c r="I33">
        <f t="shared" si="0"/>
        <v>0</v>
      </c>
      <c r="J33">
        <f t="shared" si="0"/>
        <v>0</v>
      </c>
      <c r="K33">
        <f t="shared" si="0"/>
        <v>1.54</v>
      </c>
    </row>
    <row r="34" spans="2:11" x14ac:dyDescent="0.2">
      <c r="B34" t="s">
        <v>66</v>
      </c>
      <c r="C34" t="s">
        <v>30</v>
      </c>
      <c r="D34">
        <v>0</v>
      </c>
      <c r="E34">
        <v>0</v>
      </c>
      <c r="F34">
        <v>0.64800000000000002</v>
      </c>
      <c r="I34">
        <f t="shared" si="0"/>
        <v>0</v>
      </c>
      <c r="J34">
        <f t="shared" si="0"/>
        <v>0</v>
      </c>
      <c r="K34">
        <f t="shared" si="0"/>
        <v>0.64800000000000002</v>
      </c>
    </row>
    <row r="35" spans="2:11" x14ac:dyDescent="0.2">
      <c r="C35" t="s">
        <v>9</v>
      </c>
      <c r="D35">
        <v>11.41</v>
      </c>
      <c r="E35">
        <v>11.41</v>
      </c>
      <c r="F35">
        <v>11.41</v>
      </c>
      <c r="I35">
        <f>D35*1</f>
        <v>11.41</v>
      </c>
      <c r="J35">
        <f>E35*1</f>
        <v>11.41</v>
      </c>
      <c r="K35">
        <f>F35*1</f>
        <v>11.41</v>
      </c>
    </row>
    <row r="36" spans="2:11" x14ac:dyDescent="0.2">
      <c r="D36" s="24">
        <f t="shared" ref="D36:E36" si="5">SUM(D22:D35)</f>
        <v>122.78365149364275</v>
      </c>
      <c r="E36" s="24">
        <f t="shared" si="5"/>
        <v>105.76680594988272</v>
      </c>
      <c r="F36" s="24">
        <f>SUM(F22:F35)</f>
        <v>116.633</v>
      </c>
      <c r="I36" s="1">
        <f t="shared" ref="I36:J36" si="6">SUM(I22:I35)</f>
        <v>263.74559363041607</v>
      </c>
      <c r="J36" s="1">
        <f t="shared" si="6"/>
        <v>172.98908406369586</v>
      </c>
      <c r="K36" s="1">
        <f>SUM(K22:K35)</f>
        <v>170.06611899765457</v>
      </c>
    </row>
    <row r="37" spans="2:11" x14ac:dyDescent="0.2">
      <c r="D37" s="24"/>
      <c r="E37" s="24"/>
      <c r="F37" s="24"/>
      <c r="G37" s="24"/>
      <c r="I37">
        <f t="shared" si="0"/>
        <v>0</v>
      </c>
      <c r="J37">
        <f t="shared" si="0"/>
        <v>0</v>
      </c>
      <c r="K37">
        <f t="shared" si="0"/>
        <v>0</v>
      </c>
    </row>
    <row r="38" spans="2:11" x14ac:dyDescent="0.2">
      <c r="D38" s="24"/>
      <c r="E38" s="24"/>
      <c r="F38" s="24"/>
      <c r="G38" s="24"/>
      <c r="H38" t="s">
        <v>50</v>
      </c>
      <c r="I38">
        <f t="shared" si="0"/>
        <v>0</v>
      </c>
      <c r="J38">
        <f t="shared" si="0"/>
        <v>0</v>
      </c>
      <c r="K38">
        <f t="shared" si="0"/>
        <v>0</v>
      </c>
    </row>
    <row r="39" spans="2:11" x14ac:dyDescent="0.2">
      <c r="C39" t="s">
        <v>10</v>
      </c>
      <c r="D39" s="24">
        <v>44758</v>
      </c>
      <c r="E39" s="24">
        <v>37769</v>
      </c>
      <c r="F39" s="24">
        <v>40365</v>
      </c>
      <c r="G39" s="24"/>
      <c r="H39">
        <v>241.91999999999996</v>
      </c>
      <c r="I39">
        <v>44758</v>
      </c>
      <c r="J39">
        <v>37769</v>
      </c>
      <c r="K39">
        <v>40365</v>
      </c>
    </row>
    <row r="40" spans="2:11" x14ac:dyDescent="0.2">
      <c r="D40" s="24">
        <f>D39*99.9%*1000/22.4</f>
        <v>1996126.8750000005</v>
      </c>
      <c r="E40" s="24">
        <f t="shared" ref="E40:F40" si="7">E39*99.9%*1000/22.4</f>
        <v>1684429.9553571432</v>
      </c>
      <c r="F40" s="24">
        <f t="shared" si="7"/>
        <v>1800206.9196428573</v>
      </c>
      <c r="G40" s="24"/>
      <c r="I40">
        <f t="shared" si="0"/>
        <v>1996126.8750000005</v>
      </c>
      <c r="J40">
        <f t="shared" si="0"/>
        <v>1684429.9553571432</v>
      </c>
      <c r="K40">
        <f t="shared" si="0"/>
        <v>1800206.9196428573</v>
      </c>
    </row>
    <row r="41" spans="2:11" x14ac:dyDescent="0.2">
      <c r="D41" s="24">
        <f>D40*H39</f>
        <v>482903013.60000002</v>
      </c>
      <c r="E41" s="24">
        <f>E40*H39</f>
        <v>407497294.80000001</v>
      </c>
      <c r="F41" s="24">
        <f>H39*F40</f>
        <v>435506057.99999994</v>
      </c>
      <c r="G41" s="24"/>
      <c r="I41">
        <f t="shared" si="0"/>
        <v>482903013.60000002</v>
      </c>
      <c r="J41">
        <f t="shared" si="0"/>
        <v>407497294.80000001</v>
      </c>
      <c r="K41">
        <f t="shared" si="0"/>
        <v>435506057.99999994</v>
      </c>
    </row>
    <row r="42" spans="2:11" ht="15.75" thickBot="1" x14ac:dyDescent="0.25">
      <c r="C42" t="s">
        <v>13</v>
      </c>
      <c r="D42" s="25">
        <v>11706</v>
      </c>
      <c r="E42" s="25">
        <v>9888</v>
      </c>
      <c r="F42" s="25">
        <v>10567</v>
      </c>
      <c r="G42" s="24"/>
      <c r="H42">
        <v>806.4</v>
      </c>
      <c r="I42" s="22">
        <v>11706</v>
      </c>
      <c r="J42" s="22">
        <v>9888</v>
      </c>
      <c r="K42" s="22">
        <v>10567</v>
      </c>
    </row>
    <row r="43" spans="2:11" x14ac:dyDescent="0.2">
      <c r="D43" s="26">
        <v>0.86750000000000005</v>
      </c>
      <c r="E43" s="26">
        <v>0.86750000000000005</v>
      </c>
      <c r="F43" s="26">
        <v>0.86750000000000005</v>
      </c>
      <c r="G43" s="24"/>
      <c r="I43">
        <f t="shared" si="0"/>
        <v>0.86750000000000005</v>
      </c>
      <c r="J43">
        <f t="shared" si="0"/>
        <v>0.86750000000000005</v>
      </c>
      <c r="K43">
        <f t="shared" si="0"/>
        <v>0.86750000000000005</v>
      </c>
    </row>
    <row r="44" spans="2:11" x14ac:dyDescent="0.2">
      <c r="D44" s="24">
        <f>D42*D43*1000/22.4*H42</f>
        <v>365578380</v>
      </c>
      <c r="E44" s="24">
        <f>E42*E43*1000/22.4*H42</f>
        <v>308802240</v>
      </c>
      <c r="F44" s="24">
        <f>F42*F43*1000/22.4*H42</f>
        <v>330007410.00000006</v>
      </c>
      <c r="G44" s="24"/>
      <c r="I44">
        <f t="shared" si="0"/>
        <v>365578380</v>
      </c>
      <c r="J44">
        <f t="shared" si="0"/>
        <v>308802240</v>
      </c>
      <c r="K44">
        <f t="shared" si="0"/>
        <v>330007410.00000006</v>
      </c>
    </row>
    <row r="45" spans="2:11" x14ac:dyDescent="0.2">
      <c r="D45" s="24">
        <f>D41+D44</f>
        <v>848481393.60000002</v>
      </c>
      <c r="E45" s="24">
        <f t="shared" ref="E45" si="8">E41+E44</f>
        <v>716299534.79999995</v>
      </c>
      <c r="F45" s="24">
        <f>F41+F44</f>
        <v>765513468</v>
      </c>
      <c r="G45" s="24"/>
      <c r="I45">
        <f t="shared" si="0"/>
        <v>848481393.60000002</v>
      </c>
      <c r="J45">
        <f t="shared" si="0"/>
        <v>716299534.79999995</v>
      </c>
      <c r="K45">
        <f t="shared" si="0"/>
        <v>765513468</v>
      </c>
    </row>
    <row r="46" spans="2:11" x14ac:dyDescent="0.2">
      <c r="B46" s="1" t="s">
        <v>70</v>
      </c>
      <c r="D46" s="24">
        <f>D45/3600/1000</f>
        <v>235.68927600000001</v>
      </c>
      <c r="E46" s="24">
        <f t="shared" ref="E46:F46" si="9">E45/3600/1000</f>
        <v>198.972093</v>
      </c>
      <c r="F46" s="24">
        <f t="shared" si="9"/>
        <v>212.64263</v>
      </c>
      <c r="G46" s="24" t="s">
        <v>4</v>
      </c>
      <c r="I46">
        <f t="shared" si="0"/>
        <v>235.68927600000001</v>
      </c>
      <c r="J46">
        <f t="shared" si="0"/>
        <v>198.972093</v>
      </c>
      <c r="K46">
        <f t="shared" si="0"/>
        <v>212.64263</v>
      </c>
    </row>
    <row r="47" spans="2:11" x14ac:dyDescent="0.2">
      <c r="C47" t="s">
        <v>17</v>
      </c>
      <c r="I47">
        <f t="shared" si="0"/>
        <v>0</v>
      </c>
      <c r="J47">
        <f t="shared" si="0"/>
        <v>0</v>
      </c>
      <c r="K47">
        <f t="shared" si="0"/>
        <v>0</v>
      </c>
    </row>
    <row r="48" spans="2:11" x14ac:dyDescent="0.2">
      <c r="D48" s="3">
        <v>0.4</v>
      </c>
      <c r="E48" s="3">
        <v>0.4</v>
      </c>
      <c r="F48" s="3">
        <v>0.4</v>
      </c>
      <c r="I48" s="3">
        <v>0.4</v>
      </c>
      <c r="J48" s="3">
        <v>0.4</v>
      </c>
      <c r="K48" s="3">
        <v>0.4</v>
      </c>
    </row>
    <row r="49" spans="1:16" ht="15" x14ac:dyDescent="0.25">
      <c r="C49" s="4" t="s">
        <v>18</v>
      </c>
      <c r="D49">
        <v>0.1</v>
      </c>
      <c r="E49">
        <f>D49</f>
        <v>0.1</v>
      </c>
      <c r="F49">
        <f>D49</f>
        <v>0.1</v>
      </c>
      <c r="I49">
        <v>0.2</v>
      </c>
      <c r="J49">
        <f>I49</f>
        <v>0.2</v>
      </c>
      <c r="K49">
        <f>I49</f>
        <v>0.2</v>
      </c>
    </row>
    <row r="50" spans="1:16" x14ac:dyDescent="0.2">
      <c r="C50" t="s">
        <v>20</v>
      </c>
      <c r="D50">
        <f>D49/6.4808</f>
        <v>1.5430193803234168E-2</v>
      </c>
      <c r="E50">
        <f t="shared" ref="E50:F50" si="10">E49/6.4808</f>
        <v>1.5430193803234168E-2</v>
      </c>
      <c r="F50">
        <f t="shared" si="10"/>
        <v>1.5430193803234168E-2</v>
      </c>
      <c r="I50">
        <f>I49/6.4808</f>
        <v>3.0860387606468337E-2</v>
      </c>
      <c r="J50">
        <f t="shared" ref="J50:K50" si="11">J49/6.4808</f>
        <v>3.0860387606468337E-2</v>
      </c>
      <c r="K50">
        <f t="shared" si="11"/>
        <v>3.0860387606468337E-2</v>
      </c>
    </row>
    <row r="51" spans="1:16" x14ac:dyDescent="0.2">
      <c r="D51">
        <f>5820*11/(1-D48)*D50*7000</f>
        <v>11524811.7516356</v>
      </c>
      <c r="E51">
        <f>5820*11/(1-E48)*E50*7000</f>
        <v>11524811.7516356</v>
      </c>
      <c r="F51">
        <f>5820*11/(1-F48)*F50*7000</f>
        <v>11524811.7516356</v>
      </c>
      <c r="I51">
        <f>5820*11/(1-I48)*I50*7000</f>
        <v>23049623.5032712</v>
      </c>
      <c r="J51">
        <f>5820*11/(1-J48)*J50*7000</f>
        <v>23049623.5032712</v>
      </c>
      <c r="K51">
        <f>5820*11/(1-K48)*K50*7000</f>
        <v>23049623.5032712</v>
      </c>
    </row>
    <row r="52" spans="1:16" x14ac:dyDescent="0.2">
      <c r="D52">
        <f>D51/1000000</f>
        <v>11.5248117516356</v>
      </c>
      <c r="E52">
        <f t="shared" ref="E52:F52" si="12">E51/1000000</f>
        <v>11.5248117516356</v>
      </c>
      <c r="F52">
        <f t="shared" si="12"/>
        <v>11.5248117516356</v>
      </c>
      <c r="I52">
        <f>I51/1000000</f>
        <v>23.049623503271199</v>
      </c>
      <c r="J52">
        <f t="shared" ref="J52:K52" si="13">J51/1000000</f>
        <v>23.049623503271199</v>
      </c>
      <c r="K52">
        <f t="shared" si="13"/>
        <v>23.049623503271199</v>
      </c>
    </row>
    <row r="53" spans="1:16" x14ac:dyDescent="0.2">
      <c r="B53" s="1" t="s">
        <v>71</v>
      </c>
      <c r="D53">
        <f>D52*10</f>
        <v>115.24811751635599</v>
      </c>
      <c r="E53">
        <f>E52*10</f>
        <v>115.24811751635599</v>
      </c>
      <c r="F53">
        <f>F52*10+F19</f>
        <v>129.648117516356</v>
      </c>
      <c r="I53">
        <f>I52*10</f>
        <v>230.49623503271198</v>
      </c>
      <c r="J53">
        <f>J52*10</f>
        <v>230.49623503271198</v>
      </c>
      <c r="K53">
        <f>K52*10+K19</f>
        <v>241.29623503271199</v>
      </c>
    </row>
    <row r="54" spans="1:16" ht="15" thickBot="1" x14ac:dyDescent="0.25">
      <c r="I54">
        <f t="shared" si="0"/>
        <v>0</v>
      </c>
      <c r="J54">
        <f t="shared" si="0"/>
        <v>0</v>
      </c>
      <c r="K54">
        <f t="shared" si="0"/>
        <v>0</v>
      </c>
    </row>
    <row r="55" spans="1:16" x14ac:dyDescent="0.2">
      <c r="A55" s="5"/>
      <c r="B55" s="6"/>
      <c r="C55" s="6"/>
      <c r="D55" s="18" t="s">
        <v>49</v>
      </c>
      <c r="E55" s="19" t="s">
        <v>48</v>
      </c>
      <c r="F55" s="19" t="s">
        <v>47</v>
      </c>
      <c r="G55" s="7"/>
      <c r="I55" t="str">
        <f t="shared" si="0"/>
        <v>40%E</v>
      </c>
      <c r="J55" t="str">
        <f t="shared" si="0"/>
        <v>40%R</v>
      </c>
      <c r="K55" t="str">
        <f t="shared" si="0"/>
        <v>40%HTR</v>
      </c>
    </row>
    <row r="56" spans="1:16" x14ac:dyDescent="0.2">
      <c r="A56" s="8" t="s">
        <v>31</v>
      </c>
      <c r="B56" s="9" t="s">
        <v>32</v>
      </c>
      <c r="C56" s="9" t="s">
        <v>33</v>
      </c>
      <c r="D56" s="9">
        <f>(D10+D14)*1000000/(D46*10*7000*20)</f>
        <v>8.4607461854019306</v>
      </c>
      <c r="E56" s="9">
        <f>(E10+E14)*1000000/(E46*10*7000*20)</f>
        <v>10.022044362056054</v>
      </c>
      <c r="F56" s="9">
        <f>(F3+F10+F14)*1000000/(F46*10*7000*20)</f>
        <v>10.696247111330013</v>
      </c>
      <c r="G56" s="10" t="s">
        <v>33</v>
      </c>
      <c r="I56" s="9">
        <f>(I10+I14)*1000000/(I46*10*7000*20)</f>
        <v>8.0578535099065984</v>
      </c>
      <c r="J56" s="9">
        <f>(J10+J14)*1000000/(J46*10*7000*20)</f>
        <v>9.5448041543390989</v>
      </c>
      <c r="K56" s="9">
        <f>L56+M56</f>
        <v>9.3959339889589124</v>
      </c>
      <c r="L56">
        <f>(K10)*1000000/(K46*10*7000*20)</f>
        <v>8.7840404901946112</v>
      </c>
      <c r="M56">
        <f>(K3+K14)*1000000/(K46*10*7000*40)</f>
        <v>0.61189349876430166</v>
      </c>
    </row>
    <row r="57" spans="1:16" x14ac:dyDescent="0.2">
      <c r="A57" s="8"/>
      <c r="B57" s="9" t="s">
        <v>34</v>
      </c>
      <c r="C57" s="9">
        <f>0.05*(1+0.05)^20/(1.05^20-1)</f>
        <v>8.0242587190691314E-2</v>
      </c>
      <c r="D57" s="9">
        <f>D56*(C57*20-1)</f>
        <v>5.117497084206537</v>
      </c>
      <c r="E57" s="9">
        <f>E56*(C57*20-1)</f>
        <v>6.0618510089691311</v>
      </c>
      <c r="F57" s="9">
        <f>F56*(C57*20-1)</f>
        <v>6.4696437175515609</v>
      </c>
      <c r="G57" s="10" t="s">
        <v>33</v>
      </c>
      <c r="H57" s="9">
        <f>0.05*(1+0.05)^20/(1.05^20-1)</f>
        <v>8.0242587190691314E-2</v>
      </c>
      <c r="I57" s="9">
        <f>I56*(H57*20-1)</f>
        <v>4.8738067468633677</v>
      </c>
      <c r="J57" s="9">
        <f>J56*(H57*20-1)</f>
        <v>5.7731914371134581</v>
      </c>
      <c r="K57" s="9">
        <f>L57+M57</f>
        <v>6.1275498269585675</v>
      </c>
      <c r="L57" s="9">
        <f>L56*(H57*20-1)</f>
        <v>5.3130422082254682</v>
      </c>
      <c r="M57">
        <f>M56*(N57*40-1)</f>
        <v>0.81450761873309885</v>
      </c>
      <c r="N57">
        <f>0.05*(1+0.05)^40/(1.05^40-1)</f>
        <v>5.8278161166035E-2</v>
      </c>
    </row>
    <row r="58" spans="1:16" x14ac:dyDescent="0.2">
      <c r="A58" s="8" t="s">
        <v>35</v>
      </c>
      <c r="B58" s="9"/>
      <c r="C58" s="9"/>
      <c r="D58" s="9">
        <f>D56*10%</f>
        <v>0.84607461854019306</v>
      </c>
      <c r="E58" s="9">
        <f t="shared" ref="E58:F58" si="14">E56*10%</f>
        <v>1.0022044362056055</v>
      </c>
      <c r="F58" s="9">
        <f t="shared" si="14"/>
        <v>1.0696247111330013</v>
      </c>
      <c r="G58" s="10" t="s">
        <v>33</v>
      </c>
      <c r="I58" s="9">
        <f>I56*10%</f>
        <v>0.80578535099065984</v>
      </c>
      <c r="J58" s="9">
        <f t="shared" ref="J58:K58" si="15">J56*10%</f>
        <v>0.95448041543390993</v>
      </c>
      <c r="K58" s="9">
        <f t="shared" si="15"/>
        <v>0.93959339889589133</v>
      </c>
    </row>
    <row r="59" spans="1:16" x14ac:dyDescent="0.2">
      <c r="A59" s="8" t="s">
        <v>36</v>
      </c>
      <c r="B59" s="9"/>
      <c r="C59" s="9"/>
      <c r="D59" s="9">
        <f>(SUM(D22:D35))*1000000/(D46*10*7000)</f>
        <v>7.4422230572548242</v>
      </c>
      <c r="E59" s="9">
        <f>(SUM(E22:E35))*1000000/(E46*10*7000)</f>
        <v>7.5938004567937591</v>
      </c>
      <c r="F59" s="9">
        <f>(SUM(F22:F35))*1000000/(F46*10*7000)</f>
        <v>7.8356146850032573</v>
      </c>
      <c r="G59" s="10" t="s">
        <v>33</v>
      </c>
      <c r="I59" s="9">
        <f>(SUM(I22:I35))*1000000/(I46*10*7000)</f>
        <v>15.986277605266304</v>
      </c>
      <c r="J59" s="9">
        <f>(SUM(J22:J35))*1000000/(J46*10*7000)</f>
        <v>12.420197185548876</v>
      </c>
      <c r="K59" s="9">
        <f>(SUM(K22:K35))*1000000/(K46*10*7000)</f>
        <v>11.425347709820835</v>
      </c>
    </row>
    <row r="60" spans="1:16" x14ac:dyDescent="0.2">
      <c r="A60" s="8" t="s">
        <v>37</v>
      </c>
      <c r="B60" s="9"/>
      <c r="C60" s="9"/>
      <c r="D60" s="9">
        <f>(D53)*1000000/(D46*10*7000)</f>
        <v>6.9854755665891446</v>
      </c>
      <c r="E60" s="9">
        <f>(E53)*1000000/(E46*10*7000)</f>
        <v>8.2745356596569835</v>
      </c>
      <c r="F60" s="9">
        <f>(F53)*1000000/(F46*10*7000)</f>
        <v>8.7099936852707813</v>
      </c>
      <c r="G60" s="10" t="s">
        <v>33</v>
      </c>
      <c r="I60" s="9">
        <f>(I53)*1000000/(I46*10*7000)</f>
        <v>13.970951133178289</v>
      </c>
      <c r="J60" s="9">
        <f>(J53)*1000000/(J46*10*7000)</f>
        <v>16.549071319313967</v>
      </c>
      <c r="K60" s="9">
        <f>(K53)*1000000/(K46*10*7000)</f>
        <v>16.210715000542859</v>
      </c>
    </row>
    <row r="61" spans="1:16" x14ac:dyDescent="0.2">
      <c r="A61" s="8" t="s">
        <v>38</v>
      </c>
      <c r="B61" s="9"/>
      <c r="C61" s="9"/>
      <c r="D61" s="23">
        <f>SUM(D56:D60)</f>
        <v>28.85201651199263</v>
      </c>
      <c r="E61" s="23">
        <f>SUM(E56:E60)</f>
        <v>32.95443592368153</v>
      </c>
      <c r="F61" s="23">
        <f t="shared" ref="F61" si="16">SUM(F56:F60)</f>
        <v>34.781123910288613</v>
      </c>
      <c r="G61" s="10" t="s">
        <v>33</v>
      </c>
      <c r="I61" s="14">
        <f>SUM(I56:I60)</f>
        <v>43.694674346205218</v>
      </c>
      <c r="J61" s="14">
        <f>SUM(J56:J60)</f>
        <v>45.24174451174931</v>
      </c>
      <c r="K61" s="14">
        <f t="shared" ref="K61" si="17">SUM(K56:K60)</f>
        <v>44.09913992517707</v>
      </c>
      <c r="N61">
        <v>0.14845468110334989</v>
      </c>
      <c r="O61">
        <v>1.6163365634549109</v>
      </c>
      <c r="P61">
        <f>O61/N61</f>
        <v>10.887743999999998</v>
      </c>
    </row>
    <row r="62" spans="1:16" x14ac:dyDescent="0.2">
      <c r="A62" s="8"/>
      <c r="B62" s="9"/>
      <c r="C62" s="9"/>
      <c r="D62" s="23">
        <f>D61*6.4808</f>
        <v>186.98414861092184</v>
      </c>
      <c r="E62" s="23">
        <f t="shared" ref="E62:F62" si="18">E61*6.4808</f>
        <v>213.57110833419526</v>
      </c>
      <c r="F62" s="23">
        <f t="shared" si="18"/>
        <v>225.40950783779846</v>
      </c>
      <c r="G62" s="10" t="s">
        <v>39</v>
      </c>
      <c r="I62" s="9">
        <f>I61*6.4808</f>
        <v>283.17644550288679</v>
      </c>
      <c r="J62" s="9">
        <f t="shared" ref="J62:K62" si="19">J61*6.4808</f>
        <v>293.20269783174496</v>
      </c>
      <c r="K62" s="9">
        <f t="shared" si="19"/>
        <v>285.7977060270876</v>
      </c>
    </row>
    <row r="63" spans="1:16" x14ac:dyDescent="0.2">
      <c r="A63" s="11"/>
      <c r="B63" s="12"/>
      <c r="C63" s="12"/>
      <c r="D63" s="27"/>
      <c r="E63" s="27"/>
      <c r="F63" s="27"/>
      <c r="G63" s="13"/>
      <c r="I63">
        <f t="shared" si="0"/>
        <v>0</v>
      </c>
      <c r="J63">
        <f t="shared" si="0"/>
        <v>0</v>
      </c>
      <c r="K63">
        <f t="shared" si="0"/>
        <v>0</v>
      </c>
    </row>
    <row r="64" spans="1:16" x14ac:dyDescent="0.2">
      <c r="A64" s="8"/>
      <c r="B64" s="9"/>
      <c r="C64" s="9" t="s">
        <v>40</v>
      </c>
      <c r="D64" s="23">
        <f>D61*D41/D45</f>
        <v>16.420779320761998</v>
      </c>
      <c r="E64" s="23">
        <f t="shared" ref="E64:F64" si="20">E61*E41/E45</f>
        <v>18.747525075958158</v>
      </c>
      <c r="F64" s="23">
        <f t="shared" si="20"/>
        <v>19.787228834201695</v>
      </c>
      <c r="G64" s="10"/>
      <c r="I64" s="9">
        <f>I61*I41/I45</f>
        <v>24.868300093803153</v>
      </c>
      <c r="J64" s="9">
        <f t="shared" ref="J64:K64" si="21">J61*J41/J45</f>
        <v>25.737680404494647</v>
      </c>
      <c r="K64" s="9">
        <f t="shared" si="21"/>
        <v>25.088314435774599</v>
      </c>
    </row>
    <row r="65" spans="1:15" x14ac:dyDescent="0.2">
      <c r="A65" s="8"/>
      <c r="B65" s="9"/>
      <c r="C65" s="9"/>
      <c r="D65" s="23">
        <f>D64*D46</f>
        <v>3870.2015894661672</v>
      </c>
      <c r="E65" s="23">
        <f t="shared" ref="E65:F65" si="22">E64*E46</f>
        <v>3730.2343029333788</v>
      </c>
      <c r="F65" s="23">
        <f t="shared" si="22"/>
        <v>4207.608379716482</v>
      </c>
      <c r="G65" s="10"/>
      <c r="I65" s="9">
        <f>I64*I46</f>
        <v>5861.1916444591971</v>
      </c>
      <c r="J65" s="9">
        <f t="shared" ref="J65:K65" si="23">J64*J46</f>
        <v>5121.0801390473862</v>
      </c>
      <c r="K65" s="9">
        <f t="shared" si="23"/>
        <v>5334.8451638900769</v>
      </c>
    </row>
    <row r="66" spans="1:15" x14ac:dyDescent="0.2">
      <c r="A66" s="8"/>
      <c r="B66" s="9"/>
      <c r="C66" s="9" t="s">
        <v>41</v>
      </c>
      <c r="D66" s="23">
        <f>D65/D39</f>
        <v>8.6469493486441909E-2</v>
      </c>
      <c r="E66" s="23">
        <f t="shared" ref="E66:F66" si="24">E65/E39</f>
        <v>9.8764444463273551E-2</v>
      </c>
      <c r="F66" s="23">
        <f t="shared" si="24"/>
        <v>0.10423902835913494</v>
      </c>
      <c r="G66" s="10" t="s">
        <v>42</v>
      </c>
      <c r="I66" s="14">
        <f>I65/I39</f>
        <v>0.13095293901557703</v>
      </c>
      <c r="J66" s="14">
        <f t="shared" ref="J66:K66" si="25">J65/J39</f>
        <v>0.13558950830171268</v>
      </c>
      <c r="K66" s="14">
        <f t="shared" si="25"/>
        <v>0.13216512235575564</v>
      </c>
      <c r="L66" s="10" t="s">
        <v>20</v>
      </c>
      <c r="M66" s="1">
        <f>I66*P61</f>
        <v>1.4257820760492144</v>
      </c>
      <c r="N66" s="1">
        <f>J66*P61</f>
        <v>1.4762638554749221</v>
      </c>
      <c r="O66" s="1">
        <f>K66*P61</f>
        <v>1.438980017938144</v>
      </c>
    </row>
    <row r="67" spans="1:15" x14ac:dyDescent="0.2">
      <c r="A67" s="8"/>
      <c r="B67" s="9"/>
      <c r="C67" s="9" t="s">
        <v>43</v>
      </c>
      <c r="D67" s="23">
        <f>D66*6.4808</f>
        <v>0.56039149338693273</v>
      </c>
      <c r="E67" s="23">
        <f t="shared" ref="E67" si="26">E66*6.4808</f>
        <v>0.64007261167758323</v>
      </c>
      <c r="F67" s="23">
        <f>F66*6.4808</f>
        <v>0.67555229498988179</v>
      </c>
      <c r="G67" s="10" t="s">
        <v>44</v>
      </c>
      <c r="I67" s="9">
        <f>I66*6.4808</f>
        <v>0.84867980717215163</v>
      </c>
      <c r="J67" s="9">
        <f t="shared" ref="J67" si="27">J66*6.4808</f>
        <v>0.87872848540173953</v>
      </c>
      <c r="K67" s="9">
        <f>K66*6.4808</f>
        <v>0.8565357249631812</v>
      </c>
    </row>
    <row r="68" spans="1:15" x14ac:dyDescent="0.2">
      <c r="A68" s="11"/>
      <c r="B68" s="12"/>
      <c r="C68" s="12" t="s">
        <v>45</v>
      </c>
      <c r="D68" s="27"/>
      <c r="E68" s="27"/>
      <c r="F68" s="27"/>
      <c r="G68" s="13"/>
      <c r="I68">
        <f t="shared" ref="I68:K68" si="28">D68</f>
        <v>0</v>
      </c>
      <c r="J68">
        <f t="shared" si="28"/>
        <v>0</v>
      </c>
      <c r="K68">
        <f t="shared" si="28"/>
        <v>0</v>
      </c>
    </row>
    <row r="69" spans="1:15" x14ac:dyDescent="0.2">
      <c r="A69" s="8"/>
      <c r="B69" s="9"/>
      <c r="C69" s="9"/>
      <c r="D69" s="23">
        <f>D61*D44/D45</f>
        <v>12.431237191230633</v>
      </c>
      <c r="E69" s="23">
        <f t="shared" ref="E69:F69" si="29">E61*E44/E45</f>
        <v>14.206910847723373</v>
      </c>
      <c r="F69" s="23">
        <f t="shared" si="29"/>
        <v>14.993895076086918</v>
      </c>
      <c r="G69" s="10"/>
      <c r="I69" s="9">
        <f>I61*I44/I45</f>
        <v>18.826374252402065</v>
      </c>
      <c r="J69" s="9">
        <f t="shared" ref="J69:K69" si="30">J61*J44/J45</f>
        <v>19.504064107254667</v>
      </c>
      <c r="K69" s="9">
        <f t="shared" si="30"/>
        <v>19.010825489402471</v>
      </c>
    </row>
    <row r="70" spans="1:15" x14ac:dyDescent="0.2">
      <c r="A70" s="8"/>
      <c r="B70" s="9"/>
      <c r="C70" s="9"/>
      <c r="D70" s="23">
        <f>D69*D46</f>
        <v>2929.9092933854213</v>
      </c>
      <c r="E70" s="23">
        <f t="shared" ref="E70:F70" si="31">E69*E46</f>
        <v>2826.7787864359238</v>
      </c>
      <c r="F70" s="23">
        <f t="shared" si="31"/>
        <v>3188.3412829231725</v>
      </c>
      <c r="G70" s="10"/>
      <c r="I70" s="9">
        <f>I69*I46</f>
        <v>4437.1745172536839</v>
      </c>
      <c r="J70" s="9">
        <f t="shared" ref="J70:K70" si="32">J69*J46</f>
        <v>3880.7644574266378</v>
      </c>
      <c r="K70" s="9">
        <f t="shared" si="32"/>
        <v>4042.5119305375783</v>
      </c>
    </row>
    <row r="71" spans="1:15" x14ac:dyDescent="0.2">
      <c r="A71" s="8"/>
      <c r="B71" s="9"/>
      <c r="C71" s="9"/>
      <c r="D71" s="23">
        <f>D70/D42</f>
        <v>0.25029124324153607</v>
      </c>
      <c r="E71" s="23">
        <f t="shared" ref="E71:F71" si="33">E70/E42</f>
        <v>0.28587973163793728</v>
      </c>
      <c r="F71" s="23">
        <f t="shared" si="33"/>
        <v>0.30172624992175379</v>
      </c>
      <c r="G71" s="10" t="s">
        <v>42</v>
      </c>
      <c r="I71" s="14">
        <f>I70/I42</f>
        <v>0.37905129995333026</v>
      </c>
      <c r="J71" s="14">
        <f t="shared" ref="J71:K71" si="34">J70/J42</f>
        <v>0.39247213363942535</v>
      </c>
      <c r="K71" s="14">
        <f t="shared" si="34"/>
        <v>0.38256003885091117</v>
      </c>
    </row>
    <row r="72" spans="1:15" x14ac:dyDescent="0.2">
      <c r="A72" s="8"/>
      <c r="B72" s="9"/>
      <c r="C72" s="9" t="s">
        <v>46</v>
      </c>
      <c r="D72" s="9">
        <f>D71*6.4808</f>
        <v>1.622087489199747</v>
      </c>
      <c r="E72" s="9">
        <f t="shared" ref="E72:F72" si="35">E71*6.4808</f>
        <v>1.8527293647991441</v>
      </c>
      <c r="F72" s="9">
        <f t="shared" si="35"/>
        <v>1.9554274804929019</v>
      </c>
      <c r="G72" s="10" t="s">
        <v>44</v>
      </c>
      <c r="I72" s="9">
        <f>I71*6.4808</f>
        <v>2.4565556647375431</v>
      </c>
      <c r="J72" s="9">
        <f t="shared" ref="J72:K72" si="36">J71*6.4808</f>
        <v>2.5435334036903878</v>
      </c>
      <c r="K72" s="9">
        <f t="shared" si="36"/>
        <v>2.4792950997849852</v>
      </c>
    </row>
    <row r="73" spans="1:15" x14ac:dyDescent="0.2">
      <c r="A73" s="8"/>
      <c r="B73" s="9"/>
      <c r="C73" s="9"/>
      <c r="D73" s="9"/>
      <c r="E73" s="9"/>
      <c r="F73" s="9"/>
      <c r="G73" s="10"/>
    </row>
    <row r="74" spans="1:15" x14ac:dyDescent="0.2">
      <c r="A74" s="8"/>
      <c r="B74" s="9"/>
      <c r="C74" s="9"/>
      <c r="D74" s="9"/>
      <c r="E74" s="9"/>
      <c r="F74" s="9"/>
      <c r="G74" s="10"/>
    </row>
    <row r="75" spans="1:15" ht="15" thickBot="1" x14ac:dyDescent="0.25">
      <c r="A75" s="15"/>
      <c r="B75" s="16">
        <f>168.08/277.69</f>
        <v>0.60527926824876666</v>
      </c>
      <c r="C75" s="16"/>
      <c r="D75" s="16"/>
      <c r="E75" s="16"/>
      <c r="F75" s="16"/>
      <c r="G75" s="1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H-0.15</vt:lpstr>
      <vt:lpstr>L-0.04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Zhengwei</dc:creator>
  <cp:lastModifiedBy>zhouyp2</cp:lastModifiedBy>
  <dcterms:created xsi:type="dcterms:W3CDTF">2021-07-30T07:48:43Z</dcterms:created>
  <dcterms:modified xsi:type="dcterms:W3CDTF">2021-09-10T02:53:05Z</dcterms:modified>
</cp:coreProperties>
</file>