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40" tabRatio="637" activeTab="5"/>
  </bookViews>
  <sheets>
    <sheet name="汇总" sheetId="15" r:id="rId1"/>
    <sheet name="门店汇总" sheetId="1" r:id="rId2"/>
    <sheet name="美团日报" sheetId="2" r:id="rId3"/>
    <sheet name="饿了么日报" sheetId="3" r:id="rId4"/>
    <sheet name="秒达日报" sheetId="4" r:id="rId5"/>
    <sheet name="线上线下销售" sheetId="7" r:id="rId6"/>
    <sheet name="线上订单" sheetId="8" r:id="rId7"/>
  </sheets>
  <definedNames>
    <definedName name="_xlnm._FilterDatabase" localSheetId="4" hidden="1">秒达日报!$A$1:$W$263</definedName>
    <definedName name="_xlnm._FilterDatabase" localSheetId="5" hidden="1">线上线下销售!$A$1:$E$244</definedName>
    <definedName name="_xlnm._FilterDatabase" localSheetId="6" hidden="1">线上订单!$A$2:$F$516</definedName>
    <definedName name="_xlnm._FilterDatabase" localSheetId="1" hidden="1">门店汇总!$A$2:$U$264</definedName>
    <definedName name="_xlnm._FilterDatabase" localSheetId="2" hidden="1">美团日报!$A$1:$W$263</definedName>
  </definedNames>
  <calcPr calcId="144525"/>
</workbook>
</file>

<file path=xl/comments1.xml><?xml version="1.0" encoding="utf-8"?>
<comments xmlns="http://schemas.openxmlformats.org/spreadsheetml/2006/main">
  <authors>
    <author>作者</author>
  </authors>
  <commentList>
    <comment ref="D1" authorId="0">
      <text>
        <r>
          <rPr>
            <b/>
            <sz val="9"/>
            <rFont val="宋体"/>
            <charset val="134"/>
          </rPr>
          <t>标红为PDA无声店铺
标黄为暂停外卖业务</t>
        </r>
      </text>
    </comment>
  </commentList>
</comments>
</file>

<file path=xl/comments2.xml><?xml version="1.0" encoding="utf-8"?>
<comments xmlns="http://schemas.openxmlformats.org/spreadsheetml/2006/main">
  <authors>
    <author>作者</author>
  </authors>
  <commentList>
    <comment ref="D1" authorId="0">
      <text>
        <r>
          <rPr>
            <b/>
            <sz val="9"/>
            <rFont val="宋体"/>
            <charset val="134"/>
          </rPr>
          <t>标红为PDA无声店铺
标黄为暂停外卖业务</t>
        </r>
      </text>
    </comment>
  </commentList>
</comments>
</file>

<file path=xl/comments3.xml><?xml version="1.0" encoding="utf-8"?>
<comments xmlns="http://schemas.openxmlformats.org/spreadsheetml/2006/main">
  <authors>
    <author>作者</author>
  </authors>
  <commentList>
    <comment ref="D1" authorId="0">
      <text>
        <r>
          <rPr>
            <b/>
            <sz val="9"/>
            <rFont val="宋体"/>
            <charset val="134"/>
          </rPr>
          <t>标红为PDA无声店铺
标黄为暂停外卖业务</t>
        </r>
      </text>
    </comment>
  </commentList>
</comments>
</file>

<file path=xl/sharedStrings.xml><?xml version="1.0" encoding="utf-8"?>
<sst xmlns="http://schemas.openxmlformats.org/spreadsheetml/2006/main" count="814">
  <si>
    <t>晴天</t>
  </si>
  <si>
    <t>区域</t>
  </si>
  <si>
    <t>平台</t>
  </si>
  <si>
    <t>上线门店数</t>
  </si>
  <si>
    <t>线上线下销售</t>
  </si>
  <si>
    <t>单店平均</t>
  </si>
  <si>
    <t>线上销售</t>
  </si>
  <si>
    <t>线上单店平均</t>
  </si>
  <si>
    <t>客单价</t>
  </si>
  <si>
    <t>线上占比</t>
  </si>
  <si>
    <t>总订单</t>
  </si>
  <si>
    <t>有效订单</t>
  </si>
  <si>
    <t>星期二</t>
  </si>
  <si>
    <t>多点区</t>
  </si>
  <si>
    <t>美团</t>
  </si>
  <si>
    <t>饿了么</t>
  </si>
  <si>
    <t>秒达</t>
  </si>
  <si>
    <t>全球精选</t>
  </si>
  <si>
    <t>总计</t>
  </si>
  <si>
    <t>物美区</t>
  </si>
  <si>
    <t>DM</t>
  </si>
  <si>
    <t>0FC</t>
  </si>
  <si>
    <t>店铺编号</t>
  </si>
  <si>
    <t>店铺名称</t>
  </si>
  <si>
    <t>店铺类型</t>
  </si>
  <si>
    <t>店铺立位</t>
  </si>
  <si>
    <t>门店地址</t>
  </si>
  <si>
    <t>使用面积</t>
  </si>
  <si>
    <t>日销售额</t>
  </si>
  <si>
    <t>汇总</t>
  </si>
  <si>
    <t>店铺状态</t>
  </si>
  <si>
    <t>线上日销售额</t>
  </si>
  <si>
    <t>完成订单数</t>
  </si>
  <si>
    <t>线上总销售</t>
  </si>
  <si>
    <t>总完成订单</t>
  </si>
  <si>
    <t>线上销售占比</t>
  </si>
  <si>
    <t>新开业</t>
  </si>
  <si>
    <t>闭店</t>
  </si>
  <si>
    <t>陈璐</t>
  </si>
  <si>
    <t>榆树馆胡同店</t>
  </si>
  <si>
    <t>直营店</t>
  </si>
  <si>
    <t>混合商圈</t>
  </si>
  <si>
    <t>北京市西城区榆树馆胡同4号1幢1层01号房</t>
  </si>
  <si>
    <t>陈雷</t>
  </si>
  <si>
    <t>甄光辉</t>
  </si>
  <si>
    <t>立军路店</t>
  </si>
  <si>
    <t>加盟店</t>
  </si>
  <si>
    <t>北京市昌平区佳运园26号楼1层112和1层108</t>
  </si>
  <si>
    <t>谭晶涛</t>
  </si>
  <si>
    <t>苑勇</t>
  </si>
  <si>
    <t>广顺北大街店</t>
  </si>
  <si>
    <t>北京市朝阳区南湖东园122楼01层F-36</t>
  </si>
  <si>
    <t>王安</t>
  </si>
  <si>
    <t>安定门东大街店</t>
  </si>
  <si>
    <t>写字楼</t>
  </si>
  <si>
    <t>北京市东城区安定门东大街28号1号楼1-12一层109、110号</t>
  </si>
  <si>
    <t>宋梦天</t>
  </si>
  <si>
    <t>王建勇</t>
  </si>
  <si>
    <t>交道口东大街店</t>
  </si>
  <si>
    <t>北京市东城区交道口东大街4号楼1层4-14</t>
  </si>
  <si>
    <t>高祥</t>
  </si>
  <si>
    <t>郭公庄中街店</t>
  </si>
  <si>
    <t>北京市丰台区郭公庄中街20号院5号楼102</t>
  </si>
  <si>
    <t>刘朝</t>
  </si>
  <si>
    <t>王佳琳</t>
  </si>
  <si>
    <t>毛纺路店</t>
  </si>
  <si>
    <t>居民区</t>
  </si>
  <si>
    <t>北京市海淀区清河毛纺路清河供应站7幢1层109号</t>
  </si>
  <si>
    <t>彰化路店</t>
  </si>
  <si>
    <t>北京市海淀区彰化路5号楼1层5-4</t>
  </si>
  <si>
    <t>高悉元</t>
  </si>
  <si>
    <t>临河里店</t>
  </si>
  <si>
    <t>北京市通州区华业玫瑰商业中心D1、D2楼D2-103号房</t>
  </si>
  <si>
    <t>牛卫华</t>
  </si>
  <si>
    <t>砖厂南里店</t>
  </si>
  <si>
    <t>北京市通州区梨园镇砖厂南里29号楼1层104</t>
  </si>
  <si>
    <t>高子良</t>
  </si>
  <si>
    <t>珠市口东大街店</t>
  </si>
  <si>
    <t>北京市东城区珠市口2号1层103室</t>
  </si>
  <si>
    <t>花家地街店</t>
  </si>
  <si>
    <t>北京市朝阳区花家地1号楼01层101内15</t>
  </si>
  <si>
    <t>车公庄店</t>
  </si>
  <si>
    <t>北京市西城区车公庄大街甲4号1层3号-3</t>
  </si>
  <si>
    <t>张小虎</t>
  </si>
  <si>
    <t>育知东路店</t>
  </si>
  <si>
    <t>北京市昌平区回龙观镇回龙观西大街18号一层</t>
  </si>
  <si>
    <t>张建新</t>
  </si>
  <si>
    <t>甘露园南里店</t>
  </si>
  <si>
    <t>北京市朝阳区甘露园南里一区16号楼1层101号</t>
  </si>
  <si>
    <t>魏志强</t>
  </si>
  <si>
    <t>酒仙桥南路店</t>
  </si>
  <si>
    <t>居民区+写字楼</t>
  </si>
  <si>
    <t>北京市朝阳区酒仙桥驼房营西里甲6号楼一层</t>
  </si>
  <si>
    <t>广渠内二店</t>
  </si>
  <si>
    <t>北京市东城区广渠门内大街90号楼1层商铺05</t>
  </si>
  <si>
    <t>黄平路店</t>
  </si>
  <si>
    <t>北京市昌平区东小口镇回龙观霍营旺龙花园商业18号1层</t>
  </si>
  <si>
    <t>朝内大街店</t>
  </si>
  <si>
    <t>北京市东城区朝阳门内大街8号1层101号</t>
  </si>
  <si>
    <t>赵冬焕</t>
  </si>
  <si>
    <t>文化园西路二店</t>
  </si>
  <si>
    <t>北京市北京经济技术开发区文化园西路8号院25号楼1层109</t>
  </si>
  <si>
    <t>和平街店</t>
  </si>
  <si>
    <t>北京市朝阳区和平街十五区11号楼一层101内4</t>
  </si>
  <si>
    <t>双桥路第二分店</t>
  </si>
  <si>
    <t>北京市朝阳区双桥路2号院1号楼底商A30-5</t>
  </si>
  <si>
    <t>枣园路第二分店</t>
  </si>
  <si>
    <t>北京市大兴区黄村镇小营北侧北京隆大特产公司院内1幢1层6号</t>
  </si>
  <si>
    <t>常彭飞</t>
  </si>
  <si>
    <t>吴家场路店</t>
  </si>
  <si>
    <t>北京市海淀区莲花池西里26号院1号楼一层125</t>
  </si>
  <si>
    <t>张鑫海</t>
  </si>
  <si>
    <t>农大南路店</t>
  </si>
  <si>
    <t>北京市海淀区农大南路88号1号楼一层1-022室</t>
  </si>
  <si>
    <t>小营西路店</t>
  </si>
  <si>
    <t>北京市海淀区阳光北里小区6幢一层109</t>
  </si>
  <si>
    <t>临河里路店</t>
  </si>
  <si>
    <t>北京市通州区临河里59号楼1层123、124、125</t>
  </si>
  <si>
    <t>王子艺</t>
  </si>
  <si>
    <t>通州西门二店</t>
  </si>
  <si>
    <t>北京市通州区新华西街56号2幢A2</t>
  </si>
  <si>
    <t>朝阳路第四分店</t>
  </si>
  <si>
    <t>北京市朝阳区十里堡乙2号院5号楼1层501</t>
  </si>
  <si>
    <t>潘家园路店</t>
  </si>
  <si>
    <t>北京市朝阳区潘家园南里甲21号1层内2</t>
  </si>
  <si>
    <t>左家庄东里店</t>
  </si>
  <si>
    <t>北京市朝阳区左家庄东里14号楼院1层102号</t>
  </si>
  <si>
    <t>大兴枣园店</t>
  </si>
  <si>
    <t>北京市大兴区枣园巷3号院9号楼-1层06号</t>
  </si>
  <si>
    <t>菜户营东街店</t>
  </si>
  <si>
    <t>北京市丰台区菜户营东街60号60-1幢1层109B</t>
  </si>
  <si>
    <t>张岚</t>
  </si>
  <si>
    <t>学院路店</t>
  </si>
  <si>
    <t>写字楼+学校</t>
  </si>
  <si>
    <t>北京市海淀区学院路31号1幢A段1层101</t>
  </si>
  <si>
    <t>玉带河东街店</t>
  </si>
  <si>
    <t>北京市通州区玉带河东街10号1层10</t>
  </si>
  <si>
    <t>中滩村店</t>
  </si>
  <si>
    <t>北京市昌平区东小口镇立汤路179号院1号楼1层110、103</t>
  </si>
  <si>
    <t>北苑东路店</t>
  </si>
  <si>
    <t>北京市朝阳区北苑东路19号院3号楼1层103、104</t>
  </si>
  <si>
    <t>羊坊店路店</t>
  </si>
  <si>
    <t>北京市海淀区羊坊店路4号羊坊店路16号1层01号</t>
  </si>
  <si>
    <t>孙旭</t>
  </si>
  <si>
    <t>闹市口大街店</t>
  </si>
  <si>
    <t>北京市西城区闹市口大街1号院4号楼-1层1-2</t>
  </si>
  <si>
    <t>光华路店</t>
  </si>
  <si>
    <t>北京市朝阳区光华路15号院1号楼1层103内-1</t>
  </si>
  <si>
    <t>石榴庄店</t>
  </si>
  <si>
    <t>北京市丰台区慧时欣园10号楼一层8号</t>
  </si>
  <si>
    <t>通朝大街店</t>
  </si>
  <si>
    <t>北京市通州区通朝大街210号1层</t>
  </si>
  <si>
    <t>程伟</t>
  </si>
  <si>
    <t>德贤东路店</t>
  </si>
  <si>
    <t>北京市大兴区德贤东路6号院14号楼1层11号</t>
  </si>
  <si>
    <t>广安路分店</t>
  </si>
  <si>
    <t>北京市丰台区广安路9号院8号楼103-02号</t>
  </si>
  <si>
    <t>物资学院路店</t>
  </si>
  <si>
    <t>北京市通州区物资学院51号一层</t>
  </si>
  <si>
    <t>大鲁店北路店</t>
  </si>
  <si>
    <t>北京市朝阳区黄厂南里2号院19号楼1至2层07内1层</t>
  </si>
  <si>
    <t>闫丽鹃</t>
  </si>
  <si>
    <t>龙潭路店</t>
  </si>
  <si>
    <t>北京市东城区体育馆路甲4号1层</t>
  </si>
  <si>
    <t>北展北街店</t>
  </si>
  <si>
    <t>北京市西城区北展北街5、7、9、11、13、15、17号1层9-8</t>
  </si>
  <si>
    <t>安翔路店</t>
  </si>
  <si>
    <t>北京市朝阳区安翔路2号1幢一层房间23</t>
  </si>
  <si>
    <t>刘一迪</t>
  </si>
  <si>
    <t>西草场街店</t>
  </si>
  <si>
    <t>北京市西城区西草场街1、3、5、7、9、11、13号5幢1层11号</t>
  </si>
  <si>
    <t>灯市口大街店</t>
  </si>
  <si>
    <t>北京市东城区灯市口大街12、14号一层102号</t>
  </si>
  <si>
    <t>东三环南路店</t>
  </si>
  <si>
    <t>北京市朝阳区东三环南路98号1幢1层106-1号</t>
  </si>
  <si>
    <t>宣武门外大街店</t>
  </si>
  <si>
    <t>北京市西城区宣武门外大街甲1号-1层-110-2</t>
  </si>
  <si>
    <t>广渠门外大街店</t>
  </si>
  <si>
    <t>北京市东城区广渠家园9号楼一层101-1</t>
  </si>
  <si>
    <t>明光村店</t>
  </si>
  <si>
    <t>北京市海淀区西土城41号1号楼一层101</t>
  </si>
  <si>
    <t>苹果园天宇店</t>
  </si>
  <si>
    <t>北京市石景山区苹果园南路甲11号1幢一层1706号</t>
  </si>
  <si>
    <t>天通北苑店</t>
  </si>
  <si>
    <t>北京市昌平区东小口镇天通北苑一区甲5号楼-1至2层102内一层112</t>
  </si>
  <si>
    <t>马家堡西路店</t>
  </si>
  <si>
    <t>北京市丰台区星河苑2号院18号楼1层商业04</t>
  </si>
  <si>
    <t>上地六街店</t>
  </si>
  <si>
    <t>北京市海淀区上地六街17号1号楼1F6106B号</t>
  </si>
  <si>
    <t>兴隆中街店</t>
  </si>
  <si>
    <t>北京市朝阳区高碑店乡兴隆庄甲8号文化园区1层106室</t>
  </si>
  <si>
    <t>马家堡东路店</t>
  </si>
  <si>
    <t>北京市丰台区马家堡东路94号一层103</t>
  </si>
  <si>
    <t>南横东街店</t>
  </si>
  <si>
    <t>北京市西城区南横东街1-22</t>
  </si>
  <si>
    <t>西四环南路店</t>
  </si>
  <si>
    <t>北京市丰台区西四环南路38号楼一层107、108室</t>
  </si>
  <si>
    <t>高粱桥斜街店</t>
  </si>
  <si>
    <t>北京市海淀区高梁桥斜街59号院1号楼1层102-1号</t>
  </si>
  <si>
    <t>安定门外大街店</t>
  </si>
  <si>
    <t>北京市昌平区沙河镇松兰堡村西沙河镇政府南2号28门</t>
  </si>
  <si>
    <t>新华北路店</t>
  </si>
  <si>
    <t>北京市东城区青年湖东里13号楼甲15号楼及平房4幢1至2层</t>
  </si>
  <si>
    <t>达官营店</t>
  </si>
  <si>
    <t>北京市通州区北皇木厂街2号院1号楼1层1-11</t>
  </si>
  <si>
    <t>四季青路店</t>
  </si>
  <si>
    <t>北京市西城区广安门外大街182号1层101-A7</t>
  </si>
  <si>
    <t>文华东路店</t>
  </si>
  <si>
    <t>北京市海淀区四季青路8号1层166</t>
  </si>
  <si>
    <t>霄云路店</t>
  </si>
  <si>
    <t>北京市昌平区霍营街道站前东街2号2-102B</t>
  </si>
  <si>
    <t>国粹苑店</t>
  </si>
  <si>
    <t>北京市朝阳区霄云路28号2号楼1层107</t>
  </si>
  <si>
    <t>北三环东路店</t>
  </si>
  <si>
    <t>北京市朝阳区高碑店乡半壁店村惠河南街1095号楼1层106</t>
  </si>
  <si>
    <t>农科二路店</t>
  </si>
  <si>
    <t>北京市朝阳区西坝河西里23号6幢一层105</t>
  </si>
  <si>
    <t>广渠路第二分店</t>
  </si>
  <si>
    <t>北京市海淀区中关村南大街12号四区120幢1层108</t>
  </si>
  <si>
    <t>龙域北街店</t>
  </si>
  <si>
    <t>北京市朝阳区双桥东路6幢一层204号</t>
  </si>
  <si>
    <t>海淀第十四分店</t>
  </si>
  <si>
    <t>北京市昌平区回龙观镇龙域北街3号院1号楼1层0101-1</t>
  </si>
  <si>
    <t>太平桥大街店</t>
  </si>
  <si>
    <t>北京市海淀区西二旗大街39号1层39-7-116号</t>
  </si>
  <si>
    <t>阜通东大街店</t>
  </si>
  <si>
    <t>北京市西城区锦什坊街26号恒奥中心C 座写字楼一层101-B室</t>
  </si>
  <si>
    <t>小营路店</t>
  </si>
  <si>
    <t>北京市朝阳区阜通东大街12号楼1层105室内105B</t>
  </si>
  <si>
    <t>农科西大道店</t>
  </si>
  <si>
    <t>北京市朝阳区安慧东里17号楼一层102</t>
  </si>
  <si>
    <t>十里河店</t>
  </si>
  <si>
    <t>北京市海淀区中关村南大街乙12号院3号楼1至2层106</t>
  </si>
  <si>
    <t>月坛北街店</t>
  </si>
  <si>
    <t>北京市朝阳区大洋路8号东方文创大厦1层105室</t>
  </si>
  <si>
    <t>蒲黄榆路店</t>
  </si>
  <si>
    <t>北京市西城区月坛北街2号一层A103</t>
  </si>
  <si>
    <t>百子湾第二分店</t>
  </si>
  <si>
    <t>北京市丰台区方庄芳古园一区29号楼1幢1层B2</t>
  </si>
  <si>
    <t>恒通商务园店</t>
  </si>
  <si>
    <t>北京市朝阳区百子湾路16号百子园5号楼1层A单元102</t>
  </si>
  <si>
    <t>君天大厦店</t>
  </si>
  <si>
    <t>北京市朝阳区酒仙桥北路9号厂区10幢一层3101-05</t>
  </si>
  <si>
    <t>回龙观西大街店</t>
  </si>
  <si>
    <t>北京市朝阳区高碑店乡半壁店村惠河南街1131号一层1011</t>
  </si>
  <si>
    <t>蒲黄榆二店</t>
  </si>
  <si>
    <t>北京市昌平区回龙观镇三合庄村南1幢商业楼一层07</t>
  </si>
  <si>
    <t>宣武门外三分店</t>
  </si>
  <si>
    <t>北京市丰台区蒲安东里2#4#楼1层104</t>
  </si>
  <si>
    <t>玉带河东街二店</t>
  </si>
  <si>
    <t>北京市海淀区学院南路26号三门一层102号</t>
  </si>
  <si>
    <t>联想大厦店</t>
  </si>
  <si>
    <t>北京市西城区宣武门外大街8号楼1层101-2143</t>
  </si>
  <si>
    <t>琨御府店</t>
  </si>
  <si>
    <t>北京市通州区江米店街2号院3号楼1层106</t>
  </si>
  <si>
    <t>小马厂路店</t>
  </si>
  <si>
    <t>北京市海淀区上地信息产业基地创业路6号1层1008</t>
  </si>
  <si>
    <t>360大厦店</t>
  </si>
  <si>
    <t>北京市海淀区玲珑路9号院东区9号楼1F-14号</t>
  </si>
  <si>
    <t>田村路店</t>
  </si>
  <si>
    <t>北京市西城区小马厂路1号院5号楼</t>
  </si>
  <si>
    <t>陈帅先</t>
  </si>
  <si>
    <t>石景山医院店</t>
  </si>
  <si>
    <t>北京市朝阳区酒仙桥路6号院2号楼1层101号内1层106</t>
  </si>
  <si>
    <t>苏小龙</t>
  </si>
  <si>
    <t>酒仙桥南路二店</t>
  </si>
  <si>
    <t>北京市石景山区西黄新村西里1号楼1层101</t>
  </si>
  <si>
    <t>月坛南街店</t>
  </si>
  <si>
    <t>北京市石景山区石景山路24号南楼一层底商1号</t>
  </si>
  <si>
    <t>杏坛路店</t>
  </si>
  <si>
    <t>北京市朝阳区酒仙桥南路5号</t>
  </si>
  <si>
    <t>天桥南大街店</t>
  </si>
  <si>
    <t>北京市西城区月坛南街1号院1号楼1层2-101-1</t>
  </si>
  <si>
    <t>惠河南街第三分店</t>
  </si>
  <si>
    <t>北京市海淀区北三环中路44号10号楼1层133</t>
  </si>
  <si>
    <t>立汤路店</t>
  </si>
  <si>
    <t>北京市西城区天桥南大街1号-2至5层101内1层B102-1室</t>
  </si>
  <si>
    <t>望京北路店</t>
  </si>
  <si>
    <t>北京市朝阳区四惠桥南侧甲一号伊莎文心广场主楼一层A06</t>
  </si>
  <si>
    <t>高梁桥斜街第二分店</t>
  </si>
  <si>
    <t>学院型</t>
  </si>
  <si>
    <t>北京市昌平区立汤路175号新华未来城大厦首层</t>
  </si>
  <si>
    <t>广渠门外大街店第二分店</t>
  </si>
  <si>
    <t>北京市朝阳区利泽东街5号院1号楼中护航大厦</t>
  </si>
  <si>
    <t>邻鲜吉利大学店</t>
  </si>
  <si>
    <t>北京市海淀区上园村3号北京交通大学汽车队办公室西侧芳华超市南门店1层东侧第三间</t>
  </si>
  <si>
    <t>邻鲜劳保学院南店</t>
  </si>
  <si>
    <t>北京市东城区广渠家园3号楼1层101-1</t>
  </si>
  <si>
    <t>邻鲜劳保学院北店</t>
  </si>
  <si>
    <t>北京市昌平区昌流路与神牛路交叉口西南</t>
  </si>
  <si>
    <t>黄亦路第一分店</t>
  </si>
  <si>
    <t>北京市朝阳区惠新东街5号</t>
  </si>
  <si>
    <t>大兴国际机场店</t>
  </si>
  <si>
    <t>北京市昌平区南口路32号</t>
  </si>
  <si>
    <t>玲珑路店</t>
  </si>
  <si>
    <t>北京市大兴区观音寺团河黄亦路公安大学团河校区</t>
  </si>
  <si>
    <t>刘子华</t>
  </si>
  <si>
    <t>北路店</t>
  </si>
  <si>
    <t>北京市大兴区北京大兴国际机场P2停车楼地上三层CE208号（大兴机场内）</t>
  </si>
  <si>
    <t>锅炉厂店</t>
  </si>
  <si>
    <t>海淀区西四环北路160号玲珑天地一层底商</t>
  </si>
  <si>
    <t>钱学华</t>
  </si>
  <si>
    <t>金顶街西口店</t>
  </si>
  <si>
    <t>北京市石景山区古城北路10号（22栋一层）</t>
  </si>
  <si>
    <t>赵玉</t>
  </si>
  <si>
    <t>丰台洋桥店</t>
  </si>
  <si>
    <t>北京市石景山区古城南路</t>
  </si>
  <si>
    <t>丰台北厂店</t>
  </si>
  <si>
    <t>北京市石景山区金顶街西街</t>
  </si>
  <si>
    <t>光华店</t>
  </si>
  <si>
    <t>北京市丰台区马家堡东路25号</t>
  </si>
  <si>
    <t>黑山店</t>
  </si>
  <si>
    <t>北京市丰台区长辛店26楼一层</t>
  </si>
  <si>
    <t>郭达</t>
  </si>
  <si>
    <t>坡头店</t>
  </si>
  <si>
    <t>北京市丰台区梅市口路15号6号楼6-5</t>
  </si>
  <si>
    <t>妇幼店</t>
  </si>
  <si>
    <t>北京市门头沟区黑山大街42号</t>
  </si>
  <si>
    <t>和平门店</t>
  </si>
  <si>
    <t>北京市中门头沟区中门寺街19号</t>
  </si>
  <si>
    <t>民达园店</t>
  </si>
  <si>
    <t>北京市通州区梨园北街4号院光明小区6号楼11单元1111室</t>
  </si>
  <si>
    <t>神州数码店</t>
  </si>
  <si>
    <t>闸机店</t>
  </si>
  <si>
    <t>西城区宣武区宣武门东大街8号楼东</t>
  </si>
  <si>
    <t>刘家窑店</t>
  </si>
  <si>
    <t>清华园荷清苑教师住宅小区商业配套楼一层</t>
  </si>
  <si>
    <t>都立山</t>
  </si>
  <si>
    <t>大幸福店（新）</t>
  </si>
  <si>
    <t>海淀区上地九街九号神州数码科技广场地下一层</t>
  </si>
  <si>
    <t>国瑞城店（新）</t>
  </si>
  <si>
    <t>丰台区南三环东路29号</t>
  </si>
  <si>
    <t>西花市二店（新）</t>
  </si>
  <si>
    <t>东城区幸福大街42号</t>
  </si>
  <si>
    <t>东蒲桥（新）</t>
  </si>
  <si>
    <t>东城区崇文区西花市大街47号1号</t>
  </si>
  <si>
    <t>郭庄店</t>
  </si>
  <si>
    <t>东城区崇文区西花市南里东区1号楼110号</t>
  </si>
  <si>
    <t>正义路（新）</t>
  </si>
  <si>
    <t>东城区天坛东路77号</t>
  </si>
  <si>
    <t>湖光店</t>
  </si>
  <si>
    <t>北京市郭庄北里6号楼6-3物美超市</t>
  </si>
  <si>
    <t>十一学校店</t>
  </si>
  <si>
    <t>西城区前门东大街4号楼裙房</t>
  </si>
  <si>
    <t>珠江峰景店</t>
  </si>
  <si>
    <t>北京市通州区台湖镇湖光小区</t>
  </si>
  <si>
    <t>公益西桥一店</t>
  </si>
  <si>
    <t>北京海淀区玉泉路66号</t>
  </si>
  <si>
    <t>国家大剧院店</t>
  </si>
  <si>
    <t>丰台区青塔西路58＃院21＃楼1－32</t>
  </si>
  <si>
    <t>王春生</t>
  </si>
  <si>
    <t>西下庄店</t>
  </si>
  <si>
    <t>北京市丰台区星河苑2号院22号楼一层</t>
  </si>
  <si>
    <t>和平里北街店</t>
  </si>
  <si>
    <t>西城区西长安街2号国家大剧院地下一层</t>
  </si>
  <si>
    <t>天创大厦店</t>
  </si>
  <si>
    <t>石景山区西下庄八大处路路东11-1</t>
  </si>
  <si>
    <t>台湖爱心店</t>
  </si>
  <si>
    <t>东城区和平里一区4＃</t>
  </si>
  <si>
    <t>王登涛</t>
  </si>
  <si>
    <t>华电大厦店</t>
  </si>
  <si>
    <t>海淀区中关村彩和坊路8号一层120</t>
  </si>
  <si>
    <t>农行三店</t>
  </si>
  <si>
    <t>北京市通州区台湖镇次渠北里</t>
  </si>
  <si>
    <t>静安里店</t>
  </si>
  <si>
    <t>西城区宣武门内大街2号华电大厦B1层</t>
  </si>
  <si>
    <t>西杉店</t>
  </si>
  <si>
    <t>丰台区丽泽路金唐大厦地下一层</t>
  </si>
  <si>
    <t>大厅店</t>
  </si>
  <si>
    <t>朝阳区静安里30号楼一层</t>
  </si>
  <si>
    <t>俞海洋</t>
  </si>
  <si>
    <t>金融街鑫茂店</t>
  </si>
  <si>
    <t>海淀区杏石口路益园文创基地C区西杉创意园四区6号楼一层001号</t>
  </si>
  <si>
    <t>富凯大厦店</t>
  </si>
  <si>
    <t>通州区艺苑西里小区35号楼底商</t>
  </si>
  <si>
    <t>瑞斯康达店</t>
  </si>
  <si>
    <t>北京市西城区金融大街15号鑫茂大厦</t>
  </si>
  <si>
    <t>英大国际店</t>
  </si>
  <si>
    <t>北京市西城区金融大街19号富凯大厦-1层</t>
  </si>
  <si>
    <t>木樨地店</t>
  </si>
  <si>
    <t>上地中关村软件园二期瑞斯康达大厦一层</t>
  </si>
  <si>
    <t>成仪路店</t>
  </si>
  <si>
    <t>北京市东城区建国门内大街乙18号</t>
  </si>
  <si>
    <t>建国门南店</t>
  </si>
  <si>
    <t>西城区木樨地地铁C出口</t>
  </si>
  <si>
    <t>软通动力店</t>
  </si>
  <si>
    <t>石景山区金顶街北路20号院1栋1层104号</t>
  </si>
  <si>
    <t>西集店</t>
  </si>
  <si>
    <t>丰台区苇子坑2号院10幢楼兴东南大厦1层</t>
  </si>
  <si>
    <t>朝阳医院店</t>
  </si>
  <si>
    <t>东城区建国门南大街5号金龙大厦3号楼31111号</t>
  </si>
  <si>
    <t>圣八便利店</t>
  </si>
  <si>
    <t>海淀区西北旺东路10号院东区16号楼B1层</t>
  </si>
  <si>
    <t>杜家坎南路店</t>
  </si>
  <si>
    <t>通州区经济开发区靓丽三街1号北京汽车动力总成公司研发楼A01-08</t>
  </si>
  <si>
    <t>阳光新城一店</t>
  </si>
  <si>
    <t>朝阳区工人体育场南路8号首都医科大学附属北京朝阳医院平房23号</t>
  </si>
  <si>
    <t>阳光新城二店</t>
  </si>
  <si>
    <t>海淀区学清路甲8号综合楼1号一层B025号</t>
  </si>
  <si>
    <t>黑山大街店</t>
  </si>
  <si>
    <t>丰台区杜家坎南路1-7号东方银鼎建材市场C座家具厅门面房C-8号</t>
  </si>
  <si>
    <t>张雪朋</t>
  </si>
  <si>
    <t>印刷学院1店</t>
  </si>
  <si>
    <t>石景山区天翠阳光新城A区石门南路1号院9号楼102号</t>
  </si>
  <si>
    <t>印刷学院2店</t>
  </si>
  <si>
    <t>石景山区天翠阳光新城C区五里坨西街12号院5号楼</t>
  </si>
  <si>
    <t>印刷学院3店</t>
  </si>
  <si>
    <t>北京京煤集团总医院综合楼一楼</t>
  </si>
  <si>
    <t>国电电力店</t>
  </si>
  <si>
    <t>北京大兴区兴华北路25号</t>
  </si>
  <si>
    <t>康泰创新中心店</t>
  </si>
  <si>
    <t>北京大兴区黄村镇康庄路印刷学院</t>
  </si>
  <si>
    <t>农行南楼店</t>
  </si>
  <si>
    <t>十一亦庄店</t>
  </si>
  <si>
    <t>北京市朝阳区安慧北里安园19号楼（国电电力大厦）A座B夹层</t>
  </si>
  <si>
    <t>松榆里店</t>
  </si>
  <si>
    <t>北京市昌平区科学园路21-1号泰康中关村创新中心</t>
  </si>
  <si>
    <t>农学院北苑店</t>
  </si>
  <si>
    <t>北京市东城区建国门内大街乙18号院农业银行内</t>
  </si>
  <si>
    <t>中保大厦店</t>
  </si>
  <si>
    <t>北京市大兴区泰河三街亦庄实验中学食堂内</t>
  </si>
  <si>
    <t>泰康二店</t>
  </si>
  <si>
    <t>北京市朝阳区松榆东里37号楼底商1号房间</t>
  </si>
  <si>
    <t>中信银行店</t>
  </si>
  <si>
    <t>北京市朝阳区北苑路</t>
  </si>
  <si>
    <t>北大体育馆店</t>
  </si>
  <si>
    <t>北京市石景山区实兴大街30号1号楼办公楼309房间</t>
  </si>
  <si>
    <t>北大五四店</t>
  </si>
  <si>
    <t>配送中心店</t>
  </si>
  <si>
    <t>北京市西城区金融街甲27号投资广场A座负一层中信银行</t>
  </si>
  <si>
    <t>竞技大厦店</t>
  </si>
  <si>
    <t>北京市海淀区颐和园路5号北京大邱德拔</t>
  </si>
  <si>
    <t>北清农行南店</t>
  </si>
  <si>
    <t>北京市海淀区颐和园路5号北京大学五四体育场内</t>
  </si>
  <si>
    <t>北清农行北店</t>
  </si>
  <si>
    <t>通州区马驹桥镇物美配送中心</t>
  </si>
  <si>
    <t>华电煤业店</t>
  </si>
  <si>
    <t>北京市昌平区昌盛路18号B1座1层</t>
  </si>
  <si>
    <t>政法大学店</t>
  </si>
  <si>
    <t>北京市海淀区创业路17号</t>
  </si>
  <si>
    <t>泰康燕园店</t>
  </si>
  <si>
    <t>北京市海淀区苏家坨镇三星庄路三星庄中国农业银行北方数据中心北楼</t>
  </si>
  <si>
    <t>金隅科技店</t>
  </si>
  <si>
    <t>北花园路店</t>
  </si>
  <si>
    <t>北京市西城区西直门内大街273号院内华电煤业集团c座二层</t>
  </si>
  <si>
    <t>古城大街店</t>
  </si>
  <si>
    <t>北京市昌平区府学路27号</t>
  </si>
  <si>
    <t>昆仑路店</t>
  </si>
  <si>
    <t>北京市昌平区南邵镇南丰路泰康之家燕园泰康</t>
  </si>
  <si>
    <t>七里庄店</t>
  </si>
  <si>
    <t>北京市房山区琉璃河车站东街22号北京金隅科技学校内</t>
  </si>
  <si>
    <t>石龙店</t>
  </si>
  <si>
    <t>北京市朝阳区北花园路1号院F座物美便利店</t>
  </si>
  <si>
    <t>中再集团店</t>
  </si>
  <si>
    <t>北京市石景山区古城大街75号院3号楼1层2单元101</t>
  </si>
  <si>
    <t>安邦金融店</t>
  </si>
  <si>
    <t>昌平区昆仑路与能源东街交叉口东南200米</t>
  </si>
  <si>
    <t>昌平振兴路店</t>
  </si>
  <si>
    <t>北京市丰台区丰台北路123号农行信息中心</t>
  </si>
  <si>
    <t>中外友好店</t>
  </si>
  <si>
    <t>北京市门头沟区何各庄中街1号院13号楼</t>
  </si>
  <si>
    <t>右安门外大街店</t>
  </si>
  <si>
    <t>北京市金融大街11号中国再保险大厦</t>
  </si>
  <si>
    <t>国电西单店</t>
  </si>
  <si>
    <t>北京市朝阳区建国门外大街6号</t>
  </si>
  <si>
    <t>国电银座店</t>
  </si>
  <si>
    <t>北京市昌平区昌盛园三区5号楼1层101</t>
  </si>
  <si>
    <t>顺畅大道店</t>
  </si>
  <si>
    <t>北京市东城区台基厂大街1号中国人民对外友好协会食堂1层</t>
  </si>
  <si>
    <t>中行结算中心店</t>
  </si>
  <si>
    <t>北京市丰台区玉林东里</t>
  </si>
  <si>
    <t>角门东店</t>
  </si>
  <si>
    <t>北京市西城区西长安街甲86号</t>
  </si>
  <si>
    <t>永定门东街店</t>
  </si>
  <si>
    <t>北京市西城区安儿胡同1号</t>
  </si>
  <si>
    <t>白石桥南店</t>
  </si>
  <si>
    <t>北京市顺义区南法信镇顺畅大道1号</t>
  </si>
  <si>
    <t>光大中心店</t>
  </si>
  <si>
    <t>北京市海淀区稻香湖翠湖北环路9号B栋125、127室</t>
  </si>
  <si>
    <t>北坞创新园店</t>
  </si>
  <si>
    <t>北京市丰台区角门东里小区12号楼</t>
  </si>
  <si>
    <t>霄云中心店</t>
  </si>
  <si>
    <t>永定门西街11号，先农坛体育场2看台</t>
  </si>
  <si>
    <t>高粱桥斜街第三分店</t>
  </si>
  <si>
    <t>北京市海淀区首都体育馆南路2号</t>
  </si>
  <si>
    <t>二纬路店</t>
  </si>
  <si>
    <t>北京市西城区太平桥大街25号中国光大银行</t>
  </si>
  <si>
    <t>华电科工店</t>
  </si>
  <si>
    <t>北京市海淀区北坞村路23号北坞创新园北区1号楼101室</t>
  </si>
  <si>
    <t>多点慧科总部店</t>
  </si>
  <si>
    <t>北京市朝阳区霞光里15号楼1层109-03号</t>
  </si>
  <si>
    <t>草桥店</t>
  </si>
  <si>
    <t>北京市海淀区交大知行大厦一层南</t>
  </si>
  <si>
    <t>物资学院第二分店</t>
  </si>
  <si>
    <t>北京市顺义区首都机场四纬路9号（中国服务大厦）B区大厅经营场地</t>
  </si>
  <si>
    <t>西直门南大街店</t>
  </si>
  <si>
    <t>北京市丰台区汽车博物馆东路6号院1号楼地下一层两房间</t>
  </si>
  <si>
    <t>霄云路第三分店</t>
  </si>
  <si>
    <t>北京市海淀区西四环北路158号1幢1层10001</t>
  </si>
  <si>
    <t>南四环西路店</t>
  </si>
  <si>
    <t>北京市丰台区草桥欣园二区9号楼B座一层铺位号141号</t>
  </si>
  <si>
    <t>北四环中路店</t>
  </si>
  <si>
    <t>北京市通州区物资学院6号一层103号</t>
  </si>
  <si>
    <t>西小口路店</t>
  </si>
  <si>
    <t>北京市西城区西直门南大街2号0129、0130</t>
  </si>
  <si>
    <t>小营东路店</t>
  </si>
  <si>
    <t>北京市朝阳区霄云里南街9号院的华瑞大厦1层104</t>
  </si>
  <si>
    <t>北影学院店</t>
  </si>
  <si>
    <t>北京市丰台区南四环西路158号1区31号楼1层101</t>
  </si>
  <si>
    <t>北清路园区店</t>
  </si>
  <si>
    <t>致真服务站店</t>
  </si>
  <si>
    <t>北京邮电大学店</t>
  </si>
  <si>
    <t>望京服务站店</t>
  </si>
  <si>
    <t>光华路第二分店</t>
  </si>
  <si>
    <t>生物制药基地店</t>
  </si>
  <si>
    <t>对外经贸大学店</t>
  </si>
  <si>
    <t>石油化工学院一店</t>
  </si>
  <si>
    <t>金运大厦店</t>
  </si>
  <si>
    <t>丽泽SOHO店(多点便利店)</t>
  </si>
  <si>
    <t>永安里店</t>
  </si>
  <si>
    <t>未来域店</t>
  </si>
  <si>
    <t>四十七中店</t>
  </si>
  <si>
    <t>安定路店</t>
  </si>
  <si>
    <t>北大昌平校区店</t>
  </si>
  <si>
    <t>学院店</t>
  </si>
  <si>
    <t>北影怀柔店</t>
  </si>
  <si>
    <t>北京科技大学店</t>
  </si>
  <si>
    <t>四惠交通枢纽店</t>
  </si>
  <si>
    <t>长城资产大厦店</t>
  </si>
  <si>
    <t>丽泽路第二分店</t>
  </si>
  <si>
    <t>待开业</t>
  </si>
  <si>
    <t>石油化工学院二店</t>
  </si>
  <si>
    <t>石油化工学院三店</t>
  </si>
  <si>
    <t>云智中心店</t>
  </si>
  <si>
    <t>冬奥会北京村店(多点)</t>
  </si>
  <si>
    <t>冬奥村店</t>
  </si>
  <si>
    <t>地铁广安门内店(多点)</t>
  </si>
  <si>
    <t>地铁店</t>
  </si>
  <si>
    <t>地铁湾子店(多点)</t>
  </si>
  <si>
    <t>冬奥会延庆村店(多点)</t>
  </si>
  <si>
    <t>地铁俸伯站(多点)</t>
  </si>
  <si>
    <t>地铁望京店(多点)</t>
  </si>
  <si>
    <t>政法学院路店(多点)</t>
  </si>
  <si>
    <t>地铁六道口店(多点)</t>
  </si>
  <si>
    <t>地铁刘家窑店(多点)</t>
  </si>
  <si>
    <t>地铁长春桥店(多点)</t>
  </si>
  <si>
    <t>地铁大屯路东店(多点)</t>
  </si>
  <si>
    <t>地铁育新店(多点)</t>
  </si>
  <si>
    <t>地铁十里河店(多点)</t>
  </si>
  <si>
    <t>冬奥会张家口店(多点)</t>
  </si>
  <si>
    <t>地铁万盛东店(多点)</t>
  </si>
  <si>
    <t>地铁劲松店(多点)</t>
  </si>
  <si>
    <t>地铁灯市口店(多点)</t>
  </si>
  <si>
    <t>地铁黄渠店(多点)</t>
  </si>
  <si>
    <t>地铁金安桥店(多点)</t>
  </si>
  <si>
    <t>地铁北辛安一店(多点)</t>
  </si>
  <si>
    <t>地铁北辛安二店(多点)</t>
  </si>
  <si>
    <t>新华百货店(多点)</t>
  </si>
  <si>
    <t>北京师范大学店(多点)</t>
  </si>
  <si>
    <t>西直门外大街店</t>
  </si>
  <si>
    <t>总订单数</t>
  </si>
  <si>
    <t>取消订单数多点</t>
  </si>
  <si>
    <t>取消率（标准3%）</t>
  </si>
  <si>
    <t>申诉后取消订单数</t>
  </si>
  <si>
    <t>申诉后取消率</t>
  </si>
  <si>
    <t>拣货不及时订单数</t>
  </si>
  <si>
    <t>拣货及时率（标准96%）</t>
  </si>
  <si>
    <t>申诉后拣货不及时订单数</t>
  </si>
  <si>
    <t>申诉后拣货及时率</t>
  </si>
  <si>
    <t>客诉数</t>
  </si>
  <si>
    <t>客诉率</t>
  </si>
  <si>
    <t>缺货数量</t>
  </si>
  <si>
    <t>拣缺率</t>
  </si>
  <si>
    <t>谢晨斌</t>
  </si>
  <si>
    <t>崔秀武</t>
  </si>
  <si>
    <t>田超</t>
  </si>
  <si>
    <t>张继红</t>
  </si>
  <si>
    <t>丽泽SOHO店</t>
  </si>
  <si>
    <t>合计</t>
  </si>
  <si>
    <t>取消订单数</t>
  </si>
  <si>
    <t>缺货占比（标准2%）</t>
  </si>
  <si>
    <t>日期</t>
  </si>
  <si>
    <t>门店编码</t>
  </si>
  <si>
    <t>门店名称</t>
  </si>
  <si>
    <t>实销金额</t>
  </si>
  <si>
    <t>检验</t>
  </si>
  <si>
    <t>东三环南路店(多点）</t>
  </si>
  <si>
    <t>临河里店(多点）</t>
  </si>
  <si>
    <t>临河里路店(多点）</t>
  </si>
  <si>
    <t>交道口东大街店(多点）</t>
  </si>
  <si>
    <t>兴隆中街店(多点）</t>
  </si>
  <si>
    <t>北三环东路店(多点）</t>
  </si>
  <si>
    <t>北花园路店(物美)</t>
  </si>
  <si>
    <t>十里河店(多点）</t>
  </si>
  <si>
    <t>台湖爱心店(物美)</t>
  </si>
  <si>
    <t>和平街店(多点）</t>
  </si>
  <si>
    <t>和平里北街店(物美)</t>
  </si>
  <si>
    <t>大厅店(物美)</t>
  </si>
  <si>
    <t>大鲁店北路店(多点）</t>
  </si>
  <si>
    <t>妇幼店(物美)</t>
  </si>
  <si>
    <t>安定路店(多点)</t>
  </si>
  <si>
    <t>安定门东大街店(多点）</t>
  </si>
  <si>
    <t>安定门外大街店(多点）</t>
  </si>
  <si>
    <t>小营路店(多点）</t>
  </si>
  <si>
    <t>广渠内二店(多点）</t>
  </si>
  <si>
    <t>广渠路第二分店(多点）</t>
  </si>
  <si>
    <t>广渠门外大街店(多点）</t>
  </si>
  <si>
    <t>广渠门外大街店第二分店(多点)</t>
  </si>
  <si>
    <t>建国门南店(物美)</t>
  </si>
  <si>
    <t>新华北路店(多点）</t>
  </si>
  <si>
    <t>新华西街第三分店(多点）</t>
  </si>
  <si>
    <t>朝内大街店(多点）</t>
  </si>
  <si>
    <t>未来域店(多点)</t>
  </si>
  <si>
    <t>松榆里店(物美)</t>
  </si>
  <si>
    <t>永安里店(多点)</t>
  </si>
  <si>
    <t>湖光店(物美)</t>
  </si>
  <si>
    <t>灯市口店(多点）</t>
  </si>
  <si>
    <t>物资学院第二分店(多点)</t>
  </si>
  <si>
    <t>物资学院路店(多点）</t>
  </si>
  <si>
    <t>玉带河东街二店(多点）</t>
  </si>
  <si>
    <t>玉带河东街店(多点）</t>
  </si>
  <si>
    <t>珠市口东店(多点）</t>
  </si>
  <si>
    <t>砖厂南里店(多点）</t>
  </si>
  <si>
    <t>通朝大街店(多点）</t>
  </si>
  <si>
    <t>配送中心店(物美)</t>
  </si>
  <si>
    <t>静安里店(物美)</t>
  </si>
  <si>
    <t>七里庄店(物美)</t>
  </si>
  <si>
    <t>东蒲桥(物美)</t>
  </si>
  <si>
    <t>中保大厦店(物美)</t>
  </si>
  <si>
    <t>中信银行店(物美)</t>
  </si>
  <si>
    <t>中再集团店(物美)</t>
  </si>
  <si>
    <t>中外友好店(物美)</t>
  </si>
  <si>
    <t>中行结算中心(物美)</t>
  </si>
  <si>
    <t>丰台北厂店(物美)</t>
  </si>
  <si>
    <t>丰台洋桥店(物美)</t>
  </si>
  <si>
    <t>光大中心店(物美)</t>
  </si>
  <si>
    <t>农行三店(物美)</t>
  </si>
  <si>
    <t>农行南楼店(物美)</t>
  </si>
  <si>
    <t>北京科技大学店(多点)</t>
  </si>
  <si>
    <t>北京邮电大学店(多点)</t>
  </si>
  <si>
    <t>北四环中路（多点）</t>
  </si>
  <si>
    <t>北坞创新园店(物美)</t>
  </si>
  <si>
    <t>北大五四体育场店(物美)</t>
  </si>
  <si>
    <t>北大体育馆店(物美)</t>
  </si>
  <si>
    <t>北影学院店(多点)</t>
  </si>
  <si>
    <t>北影怀柔店(多点)</t>
  </si>
  <si>
    <t>北清农行北店(物美)</t>
  </si>
  <si>
    <t>北清路农行南楼店(物美)</t>
  </si>
  <si>
    <t>北路店(物美)</t>
  </si>
  <si>
    <t>十一亦庄店(物美)</t>
  </si>
  <si>
    <t>十一学校店(物美)</t>
  </si>
  <si>
    <t>华电大厦店(物美)</t>
  </si>
  <si>
    <t>华电科工店(多点)</t>
  </si>
  <si>
    <t>印刷学院1店(物美)</t>
  </si>
  <si>
    <t>印刷学院2店(物美)</t>
  </si>
  <si>
    <t>印刷学院3店(物美)</t>
  </si>
  <si>
    <t>古城大街店(物美)</t>
  </si>
  <si>
    <t>右安门外大街店(物美)</t>
  </si>
  <si>
    <t>国家大剧院店(物美)</t>
  </si>
  <si>
    <t>国瑞城店(物美)</t>
  </si>
  <si>
    <t>国电电力店(物美)</t>
  </si>
  <si>
    <t>国电西单店(物美)</t>
  </si>
  <si>
    <t>国电银座店(物美)</t>
  </si>
  <si>
    <t>坡头店(物美)</t>
  </si>
  <si>
    <t>大幸福店(物美)</t>
  </si>
  <si>
    <t>安邦金融店(物美)</t>
  </si>
  <si>
    <t>富凯大厦店(物美)</t>
  </si>
  <si>
    <t>对外经贸大学店(多点)</t>
  </si>
  <si>
    <t>小营东路店（多点）</t>
  </si>
  <si>
    <t>政法大学店(物美)</t>
  </si>
  <si>
    <t>昆仑路店(物美)</t>
  </si>
  <si>
    <t>朝阳医院店(物美)</t>
  </si>
  <si>
    <t>正义路店(物美)</t>
  </si>
  <si>
    <t>民达园店(物美)</t>
  </si>
  <si>
    <t>永定门东街店(物美)</t>
  </si>
  <si>
    <t>泰康二店(物美)</t>
  </si>
  <si>
    <t>泰康大厦店(物美)</t>
  </si>
  <si>
    <t>泰康燕园店(物美)</t>
  </si>
  <si>
    <t>白石桥南店(物美)</t>
  </si>
  <si>
    <t>石景山医院店(多点）</t>
  </si>
  <si>
    <t>石龙店(物美)</t>
  </si>
  <si>
    <t>神州数码店(物美)</t>
  </si>
  <si>
    <t>竞技大厦店(物美)</t>
  </si>
  <si>
    <t>英大国际店(物美)</t>
  </si>
  <si>
    <t>西下庄店(物美)</t>
  </si>
  <si>
    <t>西小口路店（多点）</t>
  </si>
  <si>
    <t>西直门华电店(物美)</t>
  </si>
  <si>
    <t>西花市二店(物美)</t>
  </si>
  <si>
    <t>西集店(物美)</t>
  </si>
  <si>
    <t>角门东店(物美)</t>
  </si>
  <si>
    <t>郭庄店(物美)</t>
  </si>
  <si>
    <t>金融街鑫茂店(物美)</t>
  </si>
  <si>
    <t>金隅科技店(物美)</t>
  </si>
  <si>
    <t>金顶街西口店(物美)</t>
  </si>
  <si>
    <t>锅炉厂店(物美)</t>
  </si>
  <si>
    <t>阳光新城一店(物美)</t>
  </si>
  <si>
    <t>阳光新城二店(物美)</t>
  </si>
  <si>
    <t>黑山大街店(物美)</t>
  </si>
  <si>
    <t>黑山店(物美)</t>
  </si>
  <si>
    <t>360大厦店(多点）</t>
  </si>
  <si>
    <t>上地六街店(多点）</t>
  </si>
  <si>
    <t>中滩村店(多点）</t>
  </si>
  <si>
    <t>二纬路店(多点)</t>
  </si>
  <si>
    <t>农大南路店(多点）</t>
  </si>
  <si>
    <t>北大昌平校区店(多点)</t>
  </si>
  <si>
    <t>北清路园区店(多点)</t>
  </si>
  <si>
    <t>北苑东路店(多点）</t>
  </si>
  <si>
    <t>四十七中店(多点)</t>
  </si>
  <si>
    <t>回龙观西大街店(多点）</t>
  </si>
  <si>
    <t>天通北苑店(多点）</t>
  </si>
  <si>
    <t>安翔路店(多点）</t>
  </si>
  <si>
    <t>小营西路店(多点）</t>
  </si>
  <si>
    <t>广顺北大街店(多点）</t>
  </si>
  <si>
    <t>恒通商务园店(多点）</t>
  </si>
  <si>
    <t>文华东路店(多点）</t>
  </si>
  <si>
    <t>昌平振兴路店(物美)</t>
  </si>
  <si>
    <t>望京北路店(多点)</t>
  </si>
  <si>
    <t>望京服务站店(多点)</t>
  </si>
  <si>
    <t>毛纺路店(多点）</t>
  </si>
  <si>
    <t>海淀第十四分店(多点）</t>
  </si>
  <si>
    <t>立军路店(多点）</t>
  </si>
  <si>
    <t>立汤路店（多点）</t>
  </si>
  <si>
    <t>联想大厦店(多点）</t>
  </si>
  <si>
    <t>育知东路店(多点）</t>
  </si>
  <si>
    <t>花家地街店(多点）</t>
  </si>
  <si>
    <t>软通动力店(物美)</t>
  </si>
  <si>
    <t>邻鲜劳保学院北店(多点)</t>
  </si>
  <si>
    <t>邻鲜吉利大学店(多点)</t>
  </si>
  <si>
    <t>酒仙桥南路二店(多点）</t>
  </si>
  <si>
    <t>酒仙桥南路店(多点）</t>
  </si>
  <si>
    <t>阜通东大街店(多点）</t>
  </si>
  <si>
    <t>霄云中心店(多点)</t>
  </si>
  <si>
    <t>霄云路第三分店(多点)</t>
  </si>
  <si>
    <t>顺畅大道店(物美)</t>
  </si>
  <si>
    <t>黄平路店(多点）</t>
  </si>
  <si>
    <t>龙域北街店(多点）</t>
  </si>
  <si>
    <t>农科二路店(多点）</t>
  </si>
  <si>
    <t>农科西大道店(多点）</t>
  </si>
  <si>
    <t>南横东街店(多点）</t>
  </si>
  <si>
    <t>四季青路店(多点）</t>
  </si>
  <si>
    <t>圣八便利店(多点)</t>
  </si>
  <si>
    <t>多点慧科总部店(多点)</t>
  </si>
  <si>
    <t>天创大厦店(物美)</t>
  </si>
  <si>
    <t>天桥南大街店(多点)</t>
  </si>
  <si>
    <t>太平桥大街店(多点)</t>
  </si>
  <si>
    <t>学院路店(多点）</t>
  </si>
  <si>
    <t>彰化路店(多点）</t>
  </si>
  <si>
    <t>明光村店(多点）</t>
  </si>
  <si>
    <t>月坛北街店(多点）</t>
  </si>
  <si>
    <t>月坛南街店(多点)</t>
  </si>
  <si>
    <t>木樨地店(物美)</t>
  </si>
  <si>
    <t>杏坛路店(多点）</t>
  </si>
  <si>
    <t>榆树馆胡同店(多点）</t>
  </si>
  <si>
    <t>玲珑路店(物美)</t>
  </si>
  <si>
    <t>琨御府店(多点）</t>
  </si>
  <si>
    <t>田村分店(多点）</t>
  </si>
  <si>
    <t>致真服务站店(多点)</t>
  </si>
  <si>
    <t>苹果园天宇店(多点）</t>
  </si>
  <si>
    <t>西杉店(物美)</t>
  </si>
  <si>
    <t>西直门南大街店(多点)</t>
  </si>
  <si>
    <t>车公庄大街店(多点）</t>
  </si>
  <si>
    <t>达官营店(多点）</t>
  </si>
  <si>
    <t>金运大厦店(多点)</t>
  </si>
  <si>
    <t>闹市口大街店(多点）</t>
  </si>
  <si>
    <t>高粱桥斜街店(多点）</t>
  </si>
  <si>
    <t>高粱桥斜街第三分店(多点)</t>
  </si>
  <si>
    <t>龙潭路店(多点）</t>
  </si>
  <si>
    <t>丽泽SOHO店(多点)</t>
  </si>
  <si>
    <t>丽泽路第二分店(多点)</t>
  </si>
  <si>
    <t>光华路店(多点）</t>
  </si>
  <si>
    <t>公益西桥店(物美)</t>
  </si>
  <si>
    <t>刘家窑店(物美)</t>
  </si>
  <si>
    <t>南四环西路店(多点)</t>
  </si>
  <si>
    <t>君天大厦店(多点）</t>
  </si>
  <si>
    <t>吴家场路店(多点）</t>
  </si>
  <si>
    <t>和平门店(物美)</t>
  </si>
  <si>
    <t>四惠交通枢纽店(多点)</t>
  </si>
  <si>
    <t>大兴国际机场店(多点)</t>
  </si>
  <si>
    <t>大兴枣园店(多点）</t>
  </si>
  <si>
    <t>大兴枣园路第二分店(多点）</t>
  </si>
  <si>
    <t>宣武门外三分店(多点）</t>
  </si>
  <si>
    <t>宣武门外大街店(多点）</t>
  </si>
  <si>
    <t>广安路分店(多点）</t>
  </si>
  <si>
    <t>德贤东路店(多点）</t>
  </si>
  <si>
    <t>惠河南街店(多点）</t>
  </si>
  <si>
    <t>惠河南街第三分店(多点)</t>
  </si>
  <si>
    <t>成仪路店(物美)</t>
  </si>
  <si>
    <t>文化园西路二店(多点）</t>
  </si>
  <si>
    <t>朝阳路店(多点）</t>
  </si>
  <si>
    <t>朝阳路第四分店(多点）</t>
  </si>
  <si>
    <t>杜家坎南路店(物美)</t>
  </si>
  <si>
    <t>潘家园路店(多点）</t>
  </si>
  <si>
    <t>珠江峰景店(物美)</t>
  </si>
  <si>
    <t>百子湾第二分店(多点）</t>
  </si>
  <si>
    <t>石榴庄店(多点）</t>
  </si>
  <si>
    <t>羊坊店路店(多点）</t>
  </si>
  <si>
    <t>草桥欣园店(多点)</t>
  </si>
  <si>
    <t>菜户营东街店(多点）</t>
  </si>
  <si>
    <t>蒲黄榆二店(多点）</t>
  </si>
  <si>
    <t>西四环南路店(多点）</t>
  </si>
  <si>
    <t>西草场街店(多点）</t>
  </si>
  <si>
    <t>郭公庄中街店(多点）</t>
  </si>
  <si>
    <t>长城资产大厦店(多点)</t>
  </si>
  <si>
    <t>马家堡东路店(多点）</t>
  </si>
  <si>
    <t>马家堡西路店(多点）</t>
  </si>
  <si>
    <t>黄亦路第一分店(多点)</t>
  </si>
  <si>
    <t>门店编号</t>
  </si>
  <si>
    <t>门店</t>
  </si>
  <si>
    <t>外卖平台</t>
  </si>
  <si>
    <t>未税实销金额</t>
  </si>
  <si>
    <t>交易次数</t>
  </si>
  <si>
    <t>本期</t>
  </si>
  <si>
    <t>2022.03.01</t>
  </si>
  <si>
    <t>O2O</t>
  </si>
</sst>
</file>

<file path=xl/styles.xml><?xml version="1.0" encoding="utf-8"?>
<styleSheet xmlns="http://schemas.openxmlformats.org/spreadsheetml/2006/main">
  <numFmts count="10">
    <numFmt numFmtId="176" formatCode="0.00_ "/>
    <numFmt numFmtId="177" formatCode="m&quot;月&quot;d&quot;日&quot;;@"/>
    <numFmt numFmtId="178" formatCode="0.00_);[Red]\(0.00\)"/>
    <numFmt numFmtId="179" formatCode="0_);[Red]\(0\)"/>
    <numFmt numFmtId="44" formatCode="_ &quot;￥&quot;* #,##0.00_ ;_ &quot;￥&quot;* \-#,##0.00_ ;_ &quot;￥&quot;* &quot;-&quot;??_ ;_ @_ "/>
    <numFmt numFmtId="41" formatCode="_ * #,##0_ ;_ * \-#,##0_ ;_ * &quot;-&quot;_ ;_ @_ "/>
    <numFmt numFmtId="180" formatCode="[$-F800]dddd\,\ mmmm\ dd\,\ yyyy"/>
    <numFmt numFmtId="181" formatCode="0_ "/>
    <numFmt numFmtId="43" formatCode="_ * #,##0.00_ ;_ * \-#,##0.00_ ;_ * &quot;-&quot;??_ ;_ @_ "/>
    <numFmt numFmtId="42" formatCode="_ &quot;￥&quot;* #,##0_ ;_ &quot;￥&quot;* \-#,##0_ ;_ &quot;￥&quot;* &quot;-&quot;_ ;_ @_ "/>
  </numFmts>
  <fonts count="39">
    <font>
      <sz val="11"/>
      <color theme="1"/>
      <name val="等线"/>
      <charset val="134"/>
      <scheme val="minor"/>
    </font>
    <font>
      <sz val="11"/>
      <color indexed="8"/>
      <name val="等线"/>
      <charset val="134"/>
      <scheme val="minor"/>
    </font>
    <font>
      <b/>
      <sz val="13"/>
      <name val="黑体"/>
      <charset val="134"/>
    </font>
    <font>
      <sz val="11"/>
      <name val="等线"/>
      <charset val="134"/>
      <scheme val="minor"/>
    </font>
    <font>
      <b/>
      <sz val="14"/>
      <color theme="1"/>
      <name val="等线"/>
      <charset val="134"/>
      <scheme val="minor"/>
    </font>
    <font>
      <sz val="11"/>
      <name val="微软雅黑"/>
      <charset val="134"/>
    </font>
    <font>
      <sz val="11"/>
      <color theme="1"/>
      <name val="微软雅黑"/>
      <charset val="134"/>
    </font>
    <font>
      <b/>
      <sz val="14"/>
      <color theme="1"/>
      <name val="微软雅黑"/>
      <charset val="134"/>
    </font>
    <font>
      <b/>
      <sz val="12"/>
      <color theme="1"/>
      <name val="等线"/>
      <charset val="134"/>
      <scheme val="minor"/>
    </font>
    <font>
      <b/>
      <sz val="12"/>
      <color theme="1"/>
      <name val="微软雅黑"/>
      <charset val="134"/>
    </font>
    <font>
      <sz val="11"/>
      <color rgb="FFFF0000"/>
      <name val="微软雅黑"/>
      <charset val="134"/>
    </font>
    <font>
      <b/>
      <sz val="11"/>
      <color theme="1"/>
      <name val="等线"/>
      <charset val="134"/>
      <scheme val="minor"/>
    </font>
    <font>
      <b/>
      <sz val="11"/>
      <color rgb="FFFF0000"/>
      <name val="等线"/>
      <charset val="134"/>
      <scheme val="minor"/>
    </font>
    <font>
      <sz val="11"/>
      <color rgb="FF000000"/>
      <name val="微软雅黑"/>
      <charset val="134"/>
    </font>
    <font>
      <b/>
      <sz val="11"/>
      <color rgb="FF000000"/>
      <name val="微软雅黑"/>
      <charset val="134"/>
    </font>
    <font>
      <b/>
      <sz val="11"/>
      <name val="微软雅黑"/>
      <charset val="134"/>
    </font>
    <font>
      <sz val="9"/>
      <color rgb="FF666666"/>
      <name val="Segoe UI"/>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i/>
      <sz val="11"/>
      <color rgb="FF7F7F7F"/>
      <name val="等线"/>
      <charset val="0"/>
      <scheme val="minor"/>
    </font>
    <font>
      <b/>
      <sz val="11"/>
      <color rgb="FF3F3F3F"/>
      <name val="等线"/>
      <charset val="0"/>
      <scheme val="minor"/>
    </font>
    <font>
      <sz val="11"/>
      <color rgb="FF3F3F76"/>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b/>
      <sz val="11"/>
      <color rgb="FFFA7D00"/>
      <name val="等线"/>
      <charset val="0"/>
      <scheme val="minor"/>
    </font>
    <font>
      <b/>
      <sz val="15"/>
      <color theme="3"/>
      <name val="等线"/>
      <charset val="134"/>
      <scheme val="minor"/>
    </font>
    <font>
      <b/>
      <sz val="11"/>
      <color theme="3"/>
      <name val="等线"/>
      <charset val="134"/>
      <scheme val="minor"/>
    </font>
    <font>
      <b/>
      <sz val="11"/>
      <color theme="1"/>
      <name val="等线"/>
      <charset val="0"/>
      <scheme val="minor"/>
    </font>
    <font>
      <sz val="10"/>
      <name val="Arial"/>
      <charset val="134"/>
    </font>
    <font>
      <sz val="11"/>
      <color rgb="FF9C6500"/>
      <name val="等线"/>
      <charset val="0"/>
      <scheme val="minor"/>
    </font>
    <font>
      <sz val="11"/>
      <name val="ＭＳ Ｐゴシック"/>
      <charset val="134"/>
    </font>
    <font>
      <sz val="11"/>
      <color indexed="10"/>
      <name val="宋体"/>
      <charset val="134"/>
    </font>
  </fonts>
  <fills count="40">
    <fill>
      <patternFill patternType="none"/>
    </fill>
    <fill>
      <patternFill patternType="gray125"/>
    </fill>
    <fill>
      <patternFill patternType="solid">
        <fgColor indexed="22"/>
        <bgColor indexed="64"/>
      </patternFill>
    </fill>
    <fill>
      <patternFill patternType="solid">
        <fgColor rgb="FFFFC000"/>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2"/>
        <bgColor indexed="64"/>
      </patternFill>
    </fill>
    <fill>
      <patternFill patternType="solid">
        <fgColor rgb="FFFFFF00"/>
        <bgColor indexed="64"/>
      </patternFill>
    </fill>
    <fill>
      <patternFill patternType="solid">
        <fgColor rgb="FFFFC000"/>
        <bgColor rgb="FF000000"/>
      </patternFill>
    </fill>
    <fill>
      <patternFill patternType="solid">
        <fgColor rgb="FFFFFFFF"/>
        <bgColor rgb="FF000000"/>
      </patternFill>
    </fill>
    <fill>
      <patternFill patternType="solid">
        <fgColor theme="0"/>
        <bgColor rgb="FF000000"/>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9">
    <xf numFmtId="180" fontId="0" fillId="0" borderId="0"/>
    <xf numFmtId="0" fontId="35" fillId="0" borderId="0"/>
    <xf numFmtId="9" fontId="0" fillId="0" borderId="0" applyFont="0" applyFill="0" applyBorder="0" applyAlignment="0" applyProtection="0">
      <alignment vertical="center"/>
    </xf>
    <xf numFmtId="180" fontId="0" fillId="0" borderId="0">
      <alignment vertical="center"/>
    </xf>
    <xf numFmtId="180" fontId="35" fillId="0" borderId="0"/>
    <xf numFmtId="180" fontId="35" fillId="0" borderId="0"/>
    <xf numFmtId="180" fontId="38" fillId="0" borderId="0">
      <alignment vertical="center"/>
    </xf>
    <xf numFmtId="0" fontId="19" fillId="5" borderId="0" applyNumberFormat="0" applyBorder="0" applyAlignment="0" applyProtection="0">
      <alignment vertical="center"/>
    </xf>
    <xf numFmtId="0" fontId="18" fillId="37" borderId="0" applyNumberFormat="0" applyBorder="0" applyAlignment="0" applyProtection="0">
      <alignment vertical="center"/>
    </xf>
    <xf numFmtId="0" fontId="19" fillId="35" borderId="0" applyNumberFormat="0" applyBorder="0" applyAlignment="0" applyProtection="0">
      <alignment vertical="center"/>
    </xf>
    <xf numFmtId="0" fontId="27" fillId="21" borderId="13" applyNumberFormat="0" applyAlignment="0" applyProtection="0">
      <alignment vertical="center"/>
    </xf>
    <xf numFmtId="0" fontId="18" fillId="34" borderId="0" applyNumberFormat="0" applyBorder="0" applyAlignment="0" applyProtection="0">
      <alignment vertical="center"/>
    </xf>
    <xf numFmtId="0" fontId="18" fillId="38" borderId="0" applyNumberFormat="0" applyBorder="0" applyAlignment="0" applyProtection="0">
      <alignment vertical="center"/>
    </xf>
    <xf numFmtId="44" fontId="0" fillId="0" borderId="0" applyFont="0" applyFill="0" applyBorder="0" applyAlignment="0" applyProtection="0">
      <alignment vertical="center"/>
    </xf>
    <xf numFmtId="0" fontId="19" fillId="29" borderId="0" applyNumberFormat="0" applyBorder="0" applyAlignment="0" applyProtection="0">
      <alignment vertical="center"/>
    </xf>
    <xf numFmtId="9" fontId="0" fillId="0" borderId="0" applyFont="0" applyFill="0" applyBorder="0" applyAlignment="0" applyProtection="0">
      <alignment vertical="center"/>
    </xf>
    <xf numFmtId="0" fontId="19" fillId="8"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9" fillId="33" borderId="0" applyNumberFormat="0" applyBorder="0" applyAlignment="0" applyProtection="0">
      <alignment vertical="center"/>
    </xf>
    <xf numFmtId="0" fontId="19" fillId="30" borderId="0" applyNumberFormat="0" applyBorder="0" applyAlignment="0" applyProtection="0">
      <alignment vertical="center"/>
    </xf>
    <xf numFmtId="0" fontId="31" fillId="20" borderId="13" applyNumberFormat="0" applyAlignment="0" applyProtection="0">
      <alignment vertical="center"/>
    </xf>
    <xf numFmtId="0" fontId="19" fillId="39" borderId="0" applyNumberFormat="0" applyBorder="0" applyAlignment="0" applyProtection="0">
      <alignment vertical="center"/>
    </xf>
    <xf numFmtId="0" fontId="36" fillId="32" borderId="0" applyNumberFormat="0" applyBorder="0" applyAlignment="0" applyProtection="0">
      <alignment vertical="center"/>
    </xf>
    <xf numFmtId="0" fontId="18" fillId="26" borderId="0" applyNumberFormat="0" applyBorder="0" applyAlignment="0" applyProtection="0">
      <alignment vertical="center"/>
    </xf>
    <xf numFmtId="0" fontId="30" fillId="25" borderId="0" applyNumberFormat="0" applyBorder="0" applyAlignment="0" applyProtection="0">
      <alignment vertical="center"/>
    </xf>
    <xf numFmtId="0" fontId="18" fillId="31" borderId="0" applyNumberFormat="0" applyBorder="0" applyAlignment="0" applyProtection="0">
      <alignment vertical="center"/>
    </xf>
    <xf numFmtId="0" fontId="34" fillId="0" borderId="15" applyNumberFormat="0" applyFill="0" applyAlignment="0" applyProtection="0">
      <alignment vertical="center"/>
    </xf>
    <xf numFmtId="0" fontId="29" fillId="24" borderId="0" applyNumberFormat="0" applyBorder="0" applyAlignment="0" applyProtection="0">
      <alignment vertical="center"/>
    </xf>
    <xf numFmtId="0" fontId="28" fillId="23" borderId="14" applyNumberFormat="0" applyAlignment="0" applyProtection="0">
      <alignment vertical="center"/>
    </xf>
    <xf numFmtId="0" fontId="26" fillId="20" borderId="12" applyNumberFormat="0" applyAlignment="0" applyProtection="0">
      <alignment vertical="center"/>
    </xf>
    <xf numFmtId="0" fontId="32" fillId="0" borderId="10" applyNumberFormat="0" applyFill="0" applyAlignment="0" applyProtection="0">
      <alignment vertical="center"/>
    </xf>
    <xf numFmtId="0" fontId="25" fillId="0" borderId="0" applyNumberFormat="0" applyFill="0" applyBorder="0" applyAlignment="0" applyProtection="0">
      <alignment vertical="center"/>
    </xf>
    <xf numFmtId="0" fontId="18" fillId="17" borderId="0" applyNumberFormat="0" applyBorder="0" applyAlignment="0" applyProtection="0">
      <alignment vertical="center"/>
    </xf>
    <xf numFmtId="0" fontId="33" fillId="0" borderId="0" applyNumberFormat="0" applyFill="0" applyBorder="0" applyAlignment="0" applyProtection="0">
      <alignment vertical="center"/>
    </xf>
    <xf numFmtId="180" fontId="0" fillId="0" borderId="0"/>
    <xf numFmtId="42" fontId="0" fillId="0" borderId="0" applyFont="0" applyFill="0" applyBorder="0" applyAlignment="0" applyProtection="0">
      <alignment vertical="center"/>
    </xf>
    <xf numFmtId="180" fontId="0" fillId="0" borderId="0">
      <alignment vertical="center"/>
    </xf>
    <xf numFmtId="0" fontId="18" fillId="6"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4" borderId="0" applyNumberFormat="0" applyBorder="0" applyAlignment="0" applyProtection="0">
      <alignment vertical="center"/>
    </xf>
    <xf numFmtId="0" fontId="22" fillId="0" borderId="0" applyNumberFormat="0" applyFill="0" applyBorder="0" applyAlignment="0" applyProtection="0">
      <alignment vertical="center"/>
    </xf>
    <xf numFmtId="0" fontId="19" fillId="22" borderId="0" applyNumberFormat="0" applyBorder="0" applyAlignment="0" applyProtection="0">
      <alignment vertical="center"/>
    </xf>
    <xf numFmtId="0" fontId="0" fillId="18" borderId="11" applyNumberFormat="0" applyFont="0" applyAlignment="0" applyProtection="0">
      <alignment vertical="center"/>
    </xf>
    <xf numFmtId="0" fontId="18" fillId="19" borderId="0" applyNumberFormat="0" applyBorder="0" applyAlignment="0" applyProtection="0">
      <alignment vertical="center"/>
    </xf>
    <xf numFmtId="0" fontId="19" fillId="16" borderId="0" applyNumberFormat="0" applyBorder="0" applyAlignment="0" applyProtection="0">
      <alignment vertical="center"/>
    </xf>
    <xf numFmtId="180" fontId="0" fillId="0" borderId="0">
      <alignment vertical="center"/>
    </xf>
    <xf numFmtId="0" fontId="18" fillId="15"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0" applyNumberFormat="0" applyFill="0" applyAlignment="0" applyProtection="0">
      <alignment vertical="center"/>
    </xf>
    <xf numFmtId="0" fontId="18" fillId="36" borderId="0" applyNumberFormat="0" applyBorder="0" applyAlignment="0" applyProtection="0">
      <alignment vertical="center"/>
    </xf>
    <xf numFmtId="0" fontId="33" fillId="0" borderId="16" applyNumberFormat="0" applyFill="0" applyAlignment="0" applyProtection="0">
      <alignment vertical="center"/>
    </xf>
    <xf numFmtId="0" fontId="19" fillId="14" borderId="0" applyNumberFormat="0" applyBorder="0" applyAlignment="0" applyProtection="0">
      <alignment vertical="center"/>
    </xf>
    <xf numFmtId="0" fontId="18" fillId="7" borderId="0" applyNumberFormat="0" applyBorder="0" applyAlignment="0" applyProtection="0">
      <alignment vertical="center"/>
    </xf>
    <xf numFmtId="180" fontId="37" fillId="0" borderId="0">
      <alignment vertical="center"/>
    </xf>
    <xf numFmtId="0" fontId="17" fillId="0" borderId="9" applyNumberFormat="0" applyFill="0" applyAlignment="0" applyProtection="0">
      <alignment vertical="center"/>
    </xf>
  </cellStyleXfs>
  <cellXfs count="154">
    <xf numFmtId="180" fontId="0" fillId="0" borderId="0" xfId="0"/>
    <xf numFmtId="0" fontId="1" fillId="0" borderId="0" xfId="0" applyNumberFormat="1" applyFont="1" applyFill="1" applyAlignment="1">
      <alignment vertical="center"/>
    </xf>
    <xf numFmtId="0" fontId="2" fillId="2" borderId="1" xfId="0" applyNumberFormat="1" applyFont="1" applyFill="1" applyBorder="1" applyAlignment="1">
      <alignment horizontal="center" vertical="center"/>
    </xf>
    <xf numFmtId="49" fontId="1" fillId="0" borderId="0" xfId="0" applyNumberFormat="1" applyFont="1" applyFill="1" applyAlignment="1"/>
    <xf numFmtId="0" fontId="1" fillId="0" borderId="0" xfId="0" applyNumberFormat="1" applyFont="1" applyFill="1" applyAlignment="1"/>
    <xf numFmtId="4" fontId="1" fillId="0" borderId="0" xfId="0" applyNumberFormat="1" applyFont="1" applyFill="1" applyAlignment="1"/>
    <xf numFmtId="180" fontId="0" fillId="0" borderId="0" xfId="0" applyAlignment="1">
      <alignment horizontal="center"/>
    </xf>
    <xf numFmtId="4" fontId="0" fillId="0" borderId="0" xfId="0" applyNumberFormat="1"/>
    <xf numFmtId="180" fontId="2" fillId="2" borderId="2" xfId="0" applyFont="1" applyFill="1" applyBorder="1" applyAlignment="1">
      <alignment horizontal="center" vertical="center"/>
    </xf>
    <xf numFmtId="4" fontId="2" fillId="2" borderId="2" xfId="0" applyNumberFormat="1" applyFont="1" applyFill="1" applyBorder="1" applyAlignment="1">
      <alignment horizontal="center" vertical="center"/>
    </xf>
    <xf numFmtId="0" fontId="0" fillId="0" borderId="0" xfId="0" applyNumberFormat="1"/>
    <xf numFmtId="179" fontId="0" fillId="0" borderId="0" xfId="0" applyNumberFormat="1"/>
    <xf numFmtId="180" fontId="3" fillId="0" borderId="0" xfId="0" applyFont="1"/>
    <xf numFmtId="180" fontId="4" fillId="0" borderId="0" xfId="0" applyFont="1"/>
    <xf numFmtId="180" fontId="5" fillId="3" borderId="1" xfId="0" applyFont="1" applyFill="1" applyBorder="1" applyAlignment="1">
      <alignment horizontal="center" vertical="center" wrapText="1"/>
    </xf>
    <xf numFmtId="179" fontId="5" fillId="3" borderId="1" xfId="0" applyNumberFormat="1" applyFont="1" applyFill="1" applyBorder="1" applyAlignment="1">
      <alignment horizontal="center" vertical="center" wrapText="1"/>
    </xf>
    <xf numFmtId="179" fontId="6" fillId="0" borderId="1" xfId="0" applyNumberFormat="1" applyFont="1" applyBorder="1" applyAlignment="1">
      <alignment horizontal="center" vertical="center"/>
    </xf>
    <xf numFmtId="10" fontId="5" fillId="3" borderId="1" xfId="0" applyNumberFormat="1" applyFont="1" applyFill="1" applyBorder="1" applyAlignment="1">
      <alignment horizontal="center" vertical="center" wrapText="1"/>
    </xf>
    <xf numFmtId="179" fontId="0" fillId="0" borderId="1" xfId="0" applyNumberFormat="1" applyBorder="1"/>
    <xf numFmtId="10" fontId="0" fillId="0" borderId="1" xfId="15" applyNumberFormat="1" applyFont="1" applyBorder="1" applyAlignment="1"/>
    <xf numFmtId="178" fontId="5" fillId="3" borderId="1" xfId="0" applyNumberFormat="1" applyFont="1" applyFill="1" applyBorder="1" applyAlignment="1">
      <alignment horizontal="center" vertical="center" wrapText="1"/>
    </xf>
    <xf numFmtId="2" fontId="0" fillId="0" borderId="1" xfId="0" applyNumberFormat="1" applyBorder="1"/>
    <xf numFmtId="1" fontId="0" fillId="0" borderId="1" xfId="0" applyNumberFormat="1" applyBorder="1"/>
    <xf numFmtId="180" fontId="0" fillId="0" borderId="1" xfId="0" applyBorder="1"/>
    <xf numFmtId="180" fontId="6" fillId="4" borderId="1" xfId="0" applyFont="1" applyFill="1" applyBorder="1" applyAlignment="1">
      <alignment horizontal="center" vertical="center"/>
    </xf>
    <xf numFmtId="0" fontId="6" fillId="0" borderId="3" xfId="0" applyNumberFormat="1" applyFont="1" applyBorder="1" applyAlignment="1">
      <alignment horizontal="center" vertical="center"/>
    </xf>
    <xf numFmtId="49" fontId="6" fillId="0" borderId="1" xfId="0" applyNumberFormat="1" applyFont="1" applyBorder="1" applyAlignment="1">
      <alignment horizontal="center" vertical="center"/>
    </xf>
    <xf numFmtId="180" fontId="6" fillId="0" borderId="1" xfId="0" applyFont="1" applyBorder="1" applyAlignment="1">
      <alignment horizontal="center" vertical="center"/>
    </xf>
    <xf numFmtId="179" fontId="6" fillId="0" borderId="3" xfId="0" applyNumberFormat="1" applyFont="1" applyBorder="1" applyAlignment="1">
      <alignment horizontal="center" vertical="center"/>
    </xf>
    <xf numFmtId="180" fontId="6" fillId="0" borderId="1" xfId="0" applyNumberFormat="1" applyFont="1" applyBorder="1" applyAlignment="1">
      <alignment horizontal="center" vertical="center"/>
    </xf>
    <xf numFmtId="180" fontId="6" fillId="0" borderId="1" xfId="0" applyNumberFormat="1" applyFont="1" applyFill="1" applyBorder="1" applyAlignment="1">
      <alignment horizontal="center" vertical="center"/>
    </xf>
    <xf numFmtId="179" fontId="6" fillId="0" borderId="3"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180" fontId="7" fillId="4" borderId="4" xfId="0" applyFont="1" applyFill="1" applyBorder="1" applyAlignment="1">
      <alignment horizontal="center" vertical="center"/>
    </xf>
    <xf numFmtId="180" fontId="7" fillId="4" borderId="5" xfId="0" applyFont="1" applyFill="1" applyBorder="1" applyAlignment="1">
      <alignment horizontal="center" vertical="center"/>
    </xf>
    <xf numFmtId="179" fontId="7" fillId="4" borderId="5" xfId="0" applyNumberFormat="1" applyFont="1" applyFill="1" applyBorder="1" applyAlignment="1">
      <alignment horizontal="center" vertical="center"/>
    </xf>
    <xf numFmtId="180" fontId="7" fillId="4" borderId="3" xfId="0" applyFont="1" applyFill="1" applyBorder="1" applyAlignment="1">
      <alignment horizontal="center" vertical="center"/>
    </xf>
    <xf numFmtId="178" fontId="4" fillId="4" borderId="1" xfId="0" applyNumberFormat="1" applyFont="1" applyFill="1" applyBorder="1"/>
    <xf numFmtId="10" fontId="4" fillId="4" borderId="1" xfId="15" applyNumberFormat="1" applyFont="1" applyFill="1" applyBorder="1" applyAlignment="1"/>
    <xf numFmtId="181" fontId="4" fillId="4" borderId="1" xfId="0" applyNumberFormat="1" applyFont="1" applyFill="1" applyBorder="1"/>
    <xf numFmtId="2" fontId="4" fillId="4" borderId="1" xfId="0" applyNumberFormat="1" applyFont="1" applyFill="1" applyBorder="1"/>
    <xf numFmtId="1" fontId="4" fillId="4" borderId="1" xfId="0" applyNumberFormat="1" applyFont="1" applyFill="1" applyBorder="1"/>
    <xf numFmtId="180" fontId="4" fillId="4" borderId="1" xfId="0" applyFont="1" applyFill="1" applyBorder="1"/>
    <xf numFmtId="180" fontId="8" fillId="0" borderId="0" xfId="0" applyFont="1"/>
    <xf numFmtId="180" fontId="9" fillId="4" borderId="4" xfId="0" applyFont="1" applyFill="1" applyBorder="1" applyAlignment="1">
      <alignment horizontal="center" vertical="center"/>
    </xf>
    <xf numFmtId="180" fontId="9" fillId="4" borderId="5" xfId="0" applyFont="1" applyFill="1" applyBorder="1" applyAlignment="1">
      <alignment horizontal="center" vertical="center"/>
    </xf>
    <xf numFmtId="179" fontId="9" fillId="4" borderId="5" xfId="0" applyNumberFormat="1" applyFont="1" applyFill="1" applyBorder="1" applyAlignment="1">
      <alignment horizontal="center" vertical="center"/>
    </xf>
    <xf numFmtId="180" fontId="9" fillId="4" borderId="3" xfId="0" applyFont="1" applyFill="1" applyBorder="1" applyAlignment="1">
      <alignment horizontal="center" vertical="center"/>
    </xf>
    <xf numFmtId="178" fontId="8" fillId="4" borderId="1" xfId="0" applyNumberFormat="1" applyFont="1" applyFill="1" applyBorder="1"/>
    <xf numFmtId="10" fontId="8" fillId="4" borderId="1" xfId="15" applyNumberFormat="1" applyFont="1" applyFill="1" applyBorder="1" applyAlignment="1"/>
    <xf numFmtId="1" fontId="8" fillId="4" borderId="1" xfId="0" applyNumberFormat="1" applyFont="1" applyFill="1" applyBorder="1"/>
    <xf numFmtId="2" fontId="8" fillId="4" borderId="1" xfId="0" applyNumberFormat="1" applyFont="1" applyFill="1" applyBorder="1"/>
    <xf numFmtId="181" fontId="8" fillId="4" borderId="1" xfId="0" applyNumberFormat="1" applyFont="1" applyFill="1" applyBorder="1"/>
    <xf numFmtId="10" fontId="8" fillId="4" borderId="1" xfId="0" applyNumberFormat="1" applyFont="1" applyFill="1" applyBorder="1"/>
    <xf numFmtId="180" fontId="8" fillId="4" borderId="1" xfId="0" applyFont="1" applyFill="1" applyBorder="1"/>
    <xf numFmtId="179" fontId="3" fillId="0" borderId="0" xfId="0" applyNumberFormat="1" applyFont="1"/>
    <xf numFmtId="178" fontId="0" fillId="0" borderId="0" xfId="0" applyNumberFormat="1"/>
    <xf numFmtId="178" fontId="0" fillId="0" borderId="1" xfId="0" applyNumberFormat="1" applyBorder="1"/>
    <xf numFmtId="179" fontId="0" fillId="0" borderId="1" xfId="15" applyNumberFormat="1" applyFont="1" applyBorder="1" applyAlignment="1"/>
    <xf numFmtId="179" fontId="3" fillId="0" borderId="1" xfId="0" applyNumberFormat="1" applyFont="1" applyBorder="1"/>
    <xf numFmtId="179" fontId="9" fillId="4" borderId="1" xfId="0" applyNumberFormat="1" applyFont="1" applyFill="1" applyBorder="1" applyAlignment="1">
      <alignment horizontal="center" vertical="center"/>
    </xf>
    <xf numFmtId="179" fontId="8" fillId="4" borderId="1" xfId="15" applyNumberFormat="1" applyFont="1" applyFill="1" applyBorder="1" applyAlignment="1"/>
    <xf numFmtId="179" fontId="8" fillId="4" borderId="1" xfId="0" applyNumberFormat="1" applyFont="1" applyFill="1" applyBorder="1"/>
    <xf numFmtId="180" fontId="0" fillId="0" borderId="0" xfId="0" applyAlignment="1">
      <alignment horizontal="center" vertical="center"/>
    </xf>
    <xf numFmtId="49" fontId="0" fillId="0" borderId="0" xfId="0" applyNumberFormat="1" applyAlignment="1">
      <alignment horizontal="center" vertical="center"/>
    </xf>
    <xf numFmtId="179" fontId="0" fillId="0" borderId="0" xfId="0" applyNumberFormat="1" applyAlignment="1">
      <alignment horizontal="center" vertical="center"/>
    </xf>
    <xf numFmtId="180" fontId="6" fillId="3"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179" fontId="6" fillId="3" borderId="1" xfId="0" applyNumberFormat="1" applyFont="1" applyFill="1" applyBorder="1" applyAlignment="1">
      <alignment horizontal="center" vertical="center" wrapText="1"/>
    </xf>
    <xf numFmtId="178" fontId="6" fillId="3" borderId="1" xfId="0" applyNumberFormat="1" applyFont="1" applyFill="1" applyBorder="1" applyAlignment="1">
      <alignment horizontal="center" vertical="center" wrapText="1"/>
    </xf>
    <xf numFmtId="178" fontId="6" fillId="5" borderId="4" xfId="0" applyNumberFormat="1" applyFont="1" applyFill="1" applyBorder="1" applyAlignment="1">
      <alignment horizontal="center" vertical="center" wrapText="1"/>
    </xf>
    <xf numFmtId="178" fontId="6" fillId="5" borderId="3" xfId="0" applyNumberFormat="1" applyFont="1" applyFill="1" applyBorder="1" applyAlignment="1">
      <alignment horizontal="center" vertical="center" wrapText="1"/>
    </xf>
    <xf numFmtId="178" fontId="6" fillId="5" borderId="1" xfId="0" applyNumberFormat="1" applyFont="1" applyFill="1" applyBorder="1" applyAlignment="1">
      <alignment horizontal="center" vertical="center" wrapText="1"/>
    </xf>
    <xf numFmtId="180" fontId="6" fillId="5" borderId="1" xfId="0" applyFont="1" applyFill="1" applyBorder="1" applyAlignment="1">
      <alignment horizontal="center" vertical="center" wrapText="1"/>
    </xf>
    <xf numFmtId="178" fontId="6" fillId="0" borderId="1" xfId="0" applyNumberFormat="1" applyFont="1" applyBorder="1" applyAlignment="1">
      <alignment horizontal="center" vertical="center"/>
    </xf>
    <xf numFmtId="178" fontId="6" fillId="6" borderId="4" xfId="0" applyNumberFormat="1" applyFont="1" applyFill="1" applyBorder="1" applyAlignment="1">
      <alignment horizontal="center" vertical="center" wrapText="1"/>
    </xf>
    <xf numFmtId="178" fontId="6" fillId="6" borderId="3" xfId="0" applyNumberFormat="1" applyFont="1" applyFill="1" applyBorder="1" applyAlignment="1">
      <alignment horizontal="center" vertical="center" wrapText="1"/>
    </xf>
    <xf numFmtId="178" fontId="6" fillId="7" borderId="4" xfId="0" applyNumberFormat="1" applyFont="1" applyFill="1" applyBorder="1" applyAlignment="1">
      <alignment horizontal="center" vertical="center" wrapText="1"/>
    </xf>
    <xf numFmtId="178" fontId="6" fillId="7" borderId="3" xfId="0" applyNumberFormat="1" applyFont="1" applyFill="1" applyBorder="1" applyAlignment="1">
      <alignment horizontal="center" vertical="center" wrapText="1"/>
    </xf>
    <xf numFmtId="178" fontId="6" fillId="6" borderId="1" xfId="0" applyNumberFormat="1" applyFont="1" applyFill="1" applyBorder="1" applyAlignment="1">
      <alignment horizontal="center" vertical="center" wrapText="1"/>
    </xf>
    <xf numFmtId="180" fontId="6" fillId="6" borderId="1" xfId="0" applyFont="1" applyFill="1" applyBorder="1" applyAlignment="1">
      <alignment horizontal="center" vertical="center" wrapText="1"/>
    </xf>
    <xf numFmtId="178" fontId="6" fillId="7" borderId="1" xfId="0" applyNumberFormat="1" applyFont="1" applyFill="1" applyBorder="1" applyAlignment="1">
      <alignment horizontal="center" vertical="center" wrapText="1"/>
    </xf>
    <xf numFmtId="180" fontId="6" fillId="7" borderId="1" xfId="0" applyFont="1" applyFill="1" applyBorder="1" applyAlignment="1">
      <alignment horizontal="center" vertical="center" wrapText="1"/>
    </xf>
    <xf numFmtId="178" fontId="6" fillId="3" borderId="4" xfId="0" applyNumberFormat="1" applyFont="1" applyFill="1" applyBorder="1" applyAlignment="1">
      <alignment horizontal="center" vertical="center" wrapText="1"/>
    </xf>
    <xf numFmtId="178" fontId="6" fillId="3" borderId="5" xfId="0" applyNumberFormat="1" applyFont="1" applyFill="1" applyBorder="1" applyAlignment="1">
      <alignment horizontal="center" vertical="center" wrapText="1"/>
    </xf>
    <xf numFmtId="178" fontId="6" fillId="3" borderId="3" xfId="0" applyNumberFormat="1" applyFont="1" applyFill="1" applyBorder="1" applyAlignment="1">
      <alignment horizontal="center" vertical="center" wrapText="1"/>
    </xf>
    <xf numFmtId="178" fontId="10" fillId="0" borderId="1" xfId="0" applyNumberFormat="1" applyFont="1" applyBorder="1" applyAlignment="1">
      <alignment horizontal="center" vertical="center"/>
    </xf>
    <xf numFmtId="179" fontId="10" fillId="0" borderId="1" xfId="0" applyNumberFormat="1" applyFont="1" applyBorder="1" applyAlignment="1">
      <alignment horizontal="center" vertical="center"/>
    </xf>
    <xf numFmtId="10" fontId="10" fillId="0" borderId="1" xfId="15" applyNumberFormat="1" applyFont="1" applyBorder="1" applyAlignment="1">
      <alignment horizontal="center" vertical="center"/>
    </xf>
    <xf numFmtId="180" fontId="11" fillId="0" borderId="1" xfId="0" applyFont="1" applyBorder="1" applyAlignment="1">
      <alignment horizontal="center" vertical="center"/>
    </xf>
    <xf numFmtId="180" fontId="0" fillId="0" borderId="1" xfId="0" applyBorder="1" applyAlignment="1">
      <alignment horizontal="center" vertical="center"/>
    </xf>
    <xf numFmtId="180" fontId="12" fillId="8" borderId="4" xfId="0" applyFont="1" applyFill="1" applyBorder="1" applyAlignment="1">
      <alignment horizontal="center" vertical="center"/>
    </xf>
    <xf numFmtId="49" fontId="12" fillId="8" borderId="5" xfId="0" applyNumberFormat="1" applyFont="1" applyFill="1" applyBorder="1" applyAlignment="1">
      <alignment horizontal="center" vertical="center"/>
    </xf>
    <xf numFmtId="180" fontId="12" fillId="8" borderId="3" xfId="0" applyFont="1" applyFill="1" applyBorder="1" applyAlignment="1">
      <alignment horizontal="center" vertical="center"/>
    </xf>
    <xf numFmtId="180" fontId="12" fillId="8" borderId="1" xfId="0" applyFont="1" applyFill="1" applyBorder="1" applyAlignment="1">
      <alignment horizontal="center" vertical="center"/>
    </xf>
    <xf numFmtId="178" fontId="12" fillId="8" borderId="1" xfId="0" applyNumberFormat="1" applyFont="1" applyFill="1" applyBorder="1" applyAlignment="1">
      <alignment horizontal="center" vertical="center"/>
    </xf>
    <xf numFmtId="179" fontId="12" fillId="8" borderId="1" xfId="0" applyNumberFormat="1" applyFont="1" applyFill="1" applyBorder="1" applyAlignment="1">
      <alignment horizontal="center" vertical="center"/>
    </xf>
    <xf numFmtId="0" fontId="12" fillId="8" borderId="1" xfId="0" applyNumberFormat="1" applyFont="1" applyFill="1" applyBorder="1" applyAlignment="1">
      <alignment horizontal="center" vertical="center"/>
    </xf>
    <xf numFmtId="10" fontId="12" fillId="8" borderId="1" xfId="0" applyNumberFormat="1" applyFont="1" applyFill="1" applyBorder="1" applyAlignment="1">
      <alignment horizontal="center" vertical="center"/>
    </xf>
    <xf numFmtId="14" fontId="13" fillId="9" borderId="1" xfId="0" applyNumberFormat="1" applyFont="1" applyFill="1" applyBorder="1" applyAlignment="1">
      <alignment horizontal="center" vertical="center" wrapText="1"/>
    </xf>
    <xf numFmtId="14" fontId="13" fillId="10" borderId="1" xfId="0" applyNumberFormat="1" applyFont="1" applyFill="1" applyBorder="1" applyAlignment="1">
      <alignment horizontal="center" vertical="center" wrapText="1"/>
    </xf>
    <xf numFmtId="179" fontId="13" fillId="11" borderId="1" xfId="0" applyNumberFormat="1" applyFont="1" applyFill="1" applyBorder="1" applyAlignment="1">
      <alignment horizontal="center" vertical="center" wrapText="1"/>
    </xf>
    <xf numFmtId="177" fontId="13" fillId="12" borderId="1" xfId="0" applyNumberFormat="1" applyFont="1" applyFill="1" applyBorder="1" applyAlignment="1">
      <alignment horizontal="center" vertical="center" wrapText="1"/>
    </xf>
    <xf numFmtId="177" fontId="13" fillId="12" borderId="6" xfId="0" applyNumberFormat="1" applyFont="1" applyFill="1" applyBorder="1" applyAlignment="1">
      <alignment horizontal="center" vertical="center" wrapText="1"/>
    </xf>
    <xf numFmtId="180" fontId="13" fillId="12" borderId="1" xfId="0" applyNumberFormat="1" applyFont="1" applyFill="1" applyBorder="1" applyAlignment="1">
      <alignment horizontal="center" vertical="center" wrapText="1"/>
    </xf>
    <xf numFmtId="177" fontId="13" fillId="12" borderId="7" xfId="0" applyNumberFormat="1" applyFont="1" applyFill="1" applyBorder="1" applyAlignment="1">
      <alignment horizontal="center" vertical="center" wrapText="1"/>
    </xf>
    <xf numFmtId="180" fontId="13" fillId="12" borderId="1" xfId="0" applyNumberFormat="1" applyFont="1" applyFill="1" applyBorder="1" applyAlignment="1">
      <alignment horizontal="center" vertical="center"/>
    </xf>
    <xf numFmtId="177" fontId="13" fillId="12" borderId="8" xfId="0" applyNumberFormat="1" applyFont="1" applyFill="1" applyBorder="1" applyAlignment="1">
      <alignment horizontal="center" vertical="center" wrapText="1"/>
    </xf>
    <xf numFmtId="180" fontId="13" fillId="0" borderId="1" xfId="0" applyNumberFormat="1" applyFont="1" applyFill="1" applyBorder="1" applyAlignment="1">
      <alignment horizontal="center" vertical="center" wrapText="1"/>
    </xf>
    <xf numFmtId="177" fontId="14" fillId="11" borderId="6" xfId="0" applyNumberFormat="1" applyFont="1" applyFill="1" applyBorder="1" applyAlignment="1">
      <alignment horizontal="center" vertical="center" wrapText="1"/>
    </xf>
    <xf numFmtId="180" fontId="13" fillId="11" borderId="1" xfId="0" applyNumberFormat="1" applyFont="1" applyFill="1" applyBorder="1" applyAlignment="1">
      <alignment horizontal="center" vertical="center" wrapText="1"/>
    </xf>
    <xf numFmtId="177" fontId="14" fillId="11" borderId="7" xfId="0" applyNumberFormat="1" applyFont="1" applyFill="1" applyBorder="1" applyAlignment="1">
      <alignment horizontal="center" vertical="center" wrapText="1"/>
    </xf>
    <xf numFmtId="180" fontId="13" fillId="11" borderId="1" xfId="0" applyNumberFormat="1" applyFont="1" applyFill="1" applyBorder="1" applyAlignment="1">
      <alignment horizontal="center" vertical="center"/>
    </xf>
    <xf numFmtId="177" fontId="14" fillId="11" borderId="8" xfId="0" applyNumberFormat="1" applyFont="1" applyFill="1" applyBorder="1" applyAlignment="1">
      <alignment horizontal="center" vertical="center" wrapText="1"/>
    </xf>
    <xf numFmtId="180" fontId="14" fillId="3" borderId="1" xfId="0" applyNumberFormat="1" applyFont="1" applyFill="1" applyBorder="1" applyAlignment="1">
      <alignment horizontal="center" vertical="center" wrapText="1"/>
    </xf>
    <xf numFmtId="180" fontId="13" fillId="11" borderId="1" xfId="0" applyFont="1" applyFill="1" applyBorder="1" applyAlignment="1">
      <alignment horizontal="center" vertical="center" wrapText="1"/>
    </xf>
    <xf numFmtId="180" fontId="10" fillId="11" borderId="1" xfId="0" applyFont="1" applyFill="1" applyBorder="1" applyAlignment="1">
      <alignment horizontal="center" vertical="center" wrapText="1"/>
    </xf>
    <xf numFmtId="0" fontId="13" fillId="12" borderId="1" xfId="0" applyNumberFormat="1" applyFont="1" applyFill="1" applyBorder="1" applyAlignment="1">
      <alignment horizontal="center" vertical="center" wrapText="1"/>
    </xf>
    <xf numFmtId="178" fontId="13" fillId="12" borderId="1" xfId="15" applyNumberFormat="1" applyFont="1" applyFill="1" applyBorder="1" applyAlignment="1">
      <alignment horizontal="center" vertical="center" wrapText="1"/>
    </xf>
    <xf numFmtId="178" fontId="13" fillId="0" borderId="1" xfId="15" applyNumberFormat="1" applyFont="1" applyFill="1" applyBorder="1" applyAlignment="1">
      <alignment horizontal="center" vertical="center" wrapText="1"/>
    </xf>
    <xf numFmtId="176" fontId="13" fillId="0" borderId="1" xfId="15" applyNumberFormat="1" applyFont="1" applyFill="1" applyBorder="1" applyAlignment="1">
      <alignment horizontal="center" vertical="center" wrapText="1"/>
    </xf>
    <xf numFmtId="178" fontId="10" fillId="12" borderId="1" xfId="15" applyNumberFormat="1" applyFont="1" applyFill="1" applyBorder="1" applyAlignment="1">
      <alignment horizontal="center" vertical="center" wrapText="1"/>
    </xf>
    <xf numFmtId="178" fontId="10" fillId="0" borderId="1" xfId="15" applyNumberFormat="1" applyFont="1" applyFill="1" applyBorder="1" applyAlignment="1">
      <alignment horizontal="center" vertical="center" wrapText="1"/>
    </xf>
    <xf numFmtId="0" fontId="13" fillId="11" borderId="1" xfId="0" applyNumberFormat="1" applyFont="1" applyFill="1" applyBorder="1" applyAlignment="1">
      <alignment horizontal="center" vertical="center" wrapText="1"/>
    </xf>
    <xf numFmtId="178" fontId="5" fillId="11" borderId="1" xfId="15" applyNumberFormat="1" applyFont="1" applyFill="1" applyBorder="1" applyAlignment="1">
      <alignment horizontal="center" vertical="center" wrapText="1"/>
    </xf>
    <xf numFmtId="178" fontId="5" fillId="3" borderId="1" xfId="15" applyNumberFormat="1" applyFont="1" applyFill="1" applyBorder="1" applyAlignment="1">
      <alignment horizontal="center" vertical="center" wrapText="1"/>
    </xf>
    <xf numFmtId="179" fontId="15" fillId="11" borderId="1" xfId="0" applyNumberFormat="1" applyFont="1" applyFill="1" applyBorder="1" applyAlignment="1">
      <alignment horizontal="center" vertical="center" wrapText="1"/>
    </xf>
    <xf numFmtId="178" fontId="15" fillId="3" borderId="1" xfId="15" applyNumberFormat="1" applyFont="1" applyFill="1" applyBorder="1" applyAlignment="1">
      <alignment horizontal="center" vertical="center" wrapText="1"/>
    </xf>
    <xf numFmtId="4" fontId="16" fillId="0" borderId="0" xfId="0" applyNumberFormat="1" applyFont="1"/>
    <xf numFmtId="0" fontId="16" fillId="0" borderId="0" xfId="0" applyNumberFormat="1" applyFont="1"/>
    <xf numFmtId="49" fontId="0" fillId="0" borderId="0" xfId="0" applyNumberFormat="1"/>
    <xf numFmtId="180" fontId="13" fillId="11" borderId="1" xfId="0" applyFont="1" applyFill="1" applyBorder="1" applyAlignment="1">
      <alignment horizontal="center" vertical="center"/>
    </xf>
    <xf numFmtId="180" fontId="5" fillId="11" borderId="1" xfId="0" applyFont="1" applyFill="1" applyBorder="1" applyAlignment="1">
      <alignment horizontal="center" vertical="center" wrapText="1"/>
    </xf>
    <xf numFmtId="10" fontId="13" fillId="0" borderId="1" xfId="15" applyNumberFormat="1" applyFont="1" applyFill="1" applyBorder="1" applyAlignment="1">
      <alignment horizontal="center" vertical="center" wrapText="1"/>
    </xf>
    <xf numFmtId="179" fontId="13" fillId="0" borderId="1" xfId="15" applyNumberFormat="1" applyFont="1" applyFill="1" applyBorder="1" applyAlignment="1">
      <alignment horizontal="center" vertical="center" wrapText="1"/>
    </xf>
    <xf numFmtId="0" fontId="13" fillId="0" borderId="1" xfId="15" applyNumberFormat="1" applyFont="1" applyFill="1" applyBorder="1" applyAlignment="1">
      <alignment horizontal="center" vertical="center" wrapText="1"/>
    </xf>
    <xf numFmtId="10" fontId="10" fillId="0" borderId="1" xfId="15" applyNumberFormat="1" applyFont="1" applyFill="1" applyBorder="1" applyAlignment="1">
      <alignment horizontal="center" vertical="center" wrapText="1"/>
    </xf>
    <xf numFmtId="179" fontId="10" fillId="0" borderId="1" xfId="0" applyNumberFormat="1" applyFont="1" applyFill="1" applyBorder="1" applyAlignment="1">
      <alignment horizontal="center" vertical="center" wrapText="1"/>
    </xf>
    <xf numFmtId="178" fontId="10" fillId="12" borderId="1" xfId="0" applyNumberFormat="1" applyFont="1" applyFill="1" applyBorder="1" applyAlignment="1">
      <alignment horizontal="center" vertical="center" wrapText="1"/>
    </xf>
    <xf numFmtId="178" fontId="5" fillId="11" borderId="1" xfId="0" applyNumberFormat="1" applyFont="1" applyFill="1" applyBorder="1" applyAlignment="1">
      <alignment horizontal="center" vertical="center" wrapText="1"/>
    </xf>
    <xf numFmtId="10" fontId="5" fillId="3" borderId="1" xfId="15" applyNumberFormat="1" applyFont="1" applyFill="1" applyBorder="1" applyAlignment="1">
      <alignment horizontal="center" vertical="center" wrapText="1"/>
    </xf>
    <xf numFmtId="10" fontId="15" fillId="3" borderId="1" xfId="15" applyNumberFormat="1" applyFont="1" applyFill="1" applyBorder="1" applyAlignment="1">
      <alignment horizontal="center" vertical="center" wrapText="1"/>
    </xf>
    <xf numFmtId="179" fontId="15" fillId="3" borderId="1" xfId="0" applyNumberFormat="1" applyFont="1" applyFill="1" applyBorder="1" applyAlignment="1">
      <alignment horizontal="center" vertical="center" wrapText="1"/>
    </xf>
    <xf numFmtId="176" fontId="0" fillId="0" borderId="0" xfId="0" applyNumberFormat="1"/>
    <xf numFmtId="176" fontId="16" fillId="0" borderId="0" xfId="0" applyNumberFormat="1" applyFont="1"/>
    <xf numFmtId="3" fontId="0" fillId="0" borderId="0" xfId="0" applyNumberFormat="1"/>
    <xf numFmtId="179" fontId="13" fillId="12" borderId="1" xfId="15" applyNumberFormat="1" applyFont="1" applyFill="1" applyBorder="1" applyAlignment="1">
      <alignment horizontal="center" vertical="center" wrapText="1"/>
    </xf>
    <xf numFmtId="0" fontId="13" fillId="12" borderId="1" xfId="15" applyNumberFormat="1" applyFont="1" applyFill="1" applyBorder="1" applyAlignment="1">
      <alignment horizontal="center" vertical="center" wrapText="1"/>
    </xf>
    <xf numFmtId="0" fontId="13" fillId="13" borderId="1" xfId="15" applyNumberFormat="1" applyFont="1" applyFill="1" applyBorder="1" applyAlignment="1">
      <alignment horizontal="center" vertical="center" wrapText="1"/>
    </xf>
    <xf numFmtId="179" fontId="10" fillId="13" borderId="1" xfId="0" applyNumberFormat="1" applyFont="1" applyFill="1" applyBorder="1" applyAlignment="1">
      <alignment horizontal="center" vertical="center" wrapText="1"/>
    </xf>
    <xf numFmtId="179" fontId="13" fillId="13" borderId="1" xfId="15" applyNumberFormat="1" applyFont="1" applyFill="1" applyBorder="1" applyAlignment="1">
      <alignment horizontal="center" vertical="center" wrapText="1"/>
    </xf>
    <xf numFmtId="179" fontId="10" fillId="12" borderId="1" xfId="0" applyNumberFormat="1" applyFont="1" applyFill="1" applyBorder="1" applyAlignment="1">
      <alignment horizontal="center" vertical="center" wrapText="1"/>
    </xf>
    <xf numFmtId="179" fontId="5" fillId="11" borderId="1" xfId="0" applyNumberFormat="1" applyFont="1" applyFill="1" applyBorder="1" applyAlignment="1">
      <alignment horizontal="center" vertical="center" wrapText="1"/>
    </xf>
  </cellXfs>
  <cellStyles count="59">
    <cellStyle name="常规" xfId="0" builtinId="0"/>
    <cellStyle name="常规 6" xfId="1"/>
    <cellStyle name="百分比 2" xfId="2"/>
    <cellStyle name="常规 2" xfId="3"/>
    <cellStyle name="常规 4" xfId="4"/>
    <cellStyle name="常规 5" xfId="5"/>
    <cellStyle name="常规_★09年契約進捗確認表0604_笘・0蟷ｴ螂醍ｴ・ｲ謐礼｢ｺ隱崎｡ｨ0224(蟄・" xfId="6"/>
    <cellStyle name="60% - 强调文字颜色 6" xfId="7" builtinId="52"/>
    <cellStyle name="20% - 强调文字颜色 4" xfId="8" builtinId="42"/>
    <cellStyle name="强调文字颜色 4" xfId="9" builtinId="41"/>
    <cellStyle name="输入" xfId="10" builtinId="20"/>
    <cellStyle name="40% - 强调文字颜色 3" xfId="11" builtinId="39"/>
    <cellStyle name="20% - 强调文字颜色 3" xfId="12" builtinId="38"/>
    <cellStyle name="货币" xfId="13" builtinId="4"/>
    <cellStyle name="强调文字颜色 3" xfId="14" builtinId="37"/>
    <cellStyle name="百分比" xfId="15" builtinId="5"/>
    <cellStyle name="60% - 强调文字颜色 2" xfId="16" builtinId="36"/>
    <cellStyle name="60% - 强调文字颜色 5" xfId="17" builtinId="48"/>
    <cellStyle name="强调文字颜色 2" xfId="18" builtinId="33"/>
    <cellStyle name="60% - 强调文字颜色 1" xfId="19" builtinId="32"/>
    <cellStyle name="60% - 强调文字颜色 4" xfId="20" builtinId="44"/>
    <cellStyle name="计算" xfId="21" builtinId="22"/>
    <cellStyle name="强调文字颜色 1" xfId="22" builtinId="29"/>
    <cellStyle name="适中" xfId="23" builtinId="28"/>
    <cellStyle name="20% - 强调文字颜色 5" xfId="24" builtinId="46"/>
    <cellStyle name="好" xfId="25" builtinId="26"/>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常规 10" xfId="35"/>
    <cellStyle name="货币[0]" xfId="36" builtinId="7"/>
    <cellStyle name="常规 2 2" xfId="37"/>
    <cellStyle name="40% - 强调文字颜色 4" xfId="38" builtinId="43"/>
    <cellStyle name="千位分隔" xfId="39" builtinId="3"/>
    <cellStyle name="已访问的超链接" xfId="40" builtinId="9"/>
    <cellStyle name="标题" xfId="41" builtinId="15"/>
    <cellStyle name="40% - 强调文字颜色 2" xfId="42" builtinId="35"/>
    <cellStyle name="警告文本" xfId="43" builtinId="11"/>
    <cellStyle name="60% - 强调文字颜色 3" xfId="44" builtinId="40"/>
    <cellStyle name="注释" xfId="45" builtinId="10"/>
    <cellStyle name="20% - 强调文字颜色 6" xfId="46" builtinId="50"/>
    <cellStyle name="强调文字颜色 5" xfId="47" builtinId="45"/>
    <cellStyle name="常规 2 4" xfId="48"/>
    <cellStyle name="40% - 强调文字颜色 6" xfId="49" builtinId="51"/>
    <cellStyle name="超链接" xfId="50" builtinId="8"/>
    <cellStyle name="千位分隔[0]" xfId="51" builtinId="6"/>
    <cellStyle name="标题 2" xfId="52" builtinId="17"/>
    <cellStyle name="40% - 强调文字颜色 5" xfId="53" builtinId="47"/>
    <cellStyle name="标题 3" xfId="54" builtinId="18"/>
    <cellStyle name="强调文字颜色 6" xfId="55" builtinId="49"/>
    <cellStyle name="40% - 强调文字颜色 1" xfId="56" builtinId="31"/>
    <cellStyle name="常规 3" xfId="57"/>
    <cellStyle name="链接单元格" xfId="58" builtinId="24"/>
  </cellStyles>
  <dxfs count="4">
    <dxf>
      <font>
        <color rgb="FF9C0006"/>
      </font>
      <fill>
        <patternFill patternType="solid">
          <bgColor rgb="FFFFC7CE"/>
        </patternFill>
      </fill>
    </dxf>
    <dxf>
      <font>
        <color rgb="FF9C6500"/>
      </font>
      <fill>
        <patternFill patternType="solid">
          <bgColor rgb="FFFFEB9C"/>
        </patternFill>
      </fill>
    </dxf>
    <dxf>
      <font>
        <color theme="0"/>
      </font>
      <fill>
        <patternFill patternType="solid">
          <bgColor rgb="FF00B050"/>
        </patternFill>
      </fill>
    </dxf>
    <dxf>
      <font>
        <color theme="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M28"/>
  <sheetViews>
    <sheetView workbookViewId="0">
      <selection activeCell="I29" sqref="I29"/>
    </sheetView>
  </sheetViews>
  <sheetFormatPr defaultColWidth="8.88392857142857" defaultRowHeight="12.4"/>
  <cols>
    <col min="1" max="1" width="9.38392857142857" customWidth="1"/>
    <col min="2" max="2" width="13.6696428571429" customWidth="1"/>
    <col min="3" max="3" width="6.88392857142857" customWidth="1"/>
    <col min="4" max="4" width="8.88392857142857" customWidth="1"/>
    <col min="5" max="5" width="11.1339285714286" style="11" customWidth="1"/>
    <col min="6" max="6" width="13.6339285714286" customWidth="1"/>
    <col min="7" max="7" width="10.6339285714286" customWidth="1"/>
    <col min="8" max="8" width="13.6339285714286" customWidth="1"/>
    <col min="9" max="9" width="13" customWidth="1"/>
    <col min="10" max="11" width="8.88392857142857" customWidth="1"/>
    <col min="12" max="12" width="14.6339285714286" customWidth="1"/>
    <col min="13" max="13" width="8.63392857142857" customWidth="1"/>
  </cols>
  <sheetData>
    <row r="1" ht="29" spans="1:13">
      <c r="A1" s="100" t="s">
        <v>0</v>
      </c>
      <c r="B1" s="101">
        <v>44621</v>
      </c>
      <c r="C1" s="101" t="s">
        <v>1</v>
      </c>
      <c r="D1" s="102" t="s">
        <v>2</v>
      </c>
      <c r="E1" s="102" t="s">
        <v>3</v>
      </c>
      <c r="F1" s="116" t="s">
        <v>4</v>
      </c>
      <c r="G1" s="116" t="s">
        <v>5</v>
      </c>
      <c r="H1" s="117" t="s">
        <v>6</v>
      </c>
      <c r="I1" s="132" t="s">
        <v>7</v>
      </c>
      <c r="J1" s="116" t="s">
        <v>8</v>
      </c>
      <c r="K1" s="117" t="s">
        <v>9</v>
      </c>
      <c r="L1" s="133" t="s">
        <v>10</v>
      </c>
      <c r="M1" s="116" t="s">
        <v>11</v>
      </c>
    </row>
    <row r="2" ht="15" spans="1:13">
      <c r="A2" s="103">
        <v>44621</v>
      </c>
      <c r="B2" s="103" t="s">
        <v>12</v>
      </c>
      <c r="C2" s="104" t="s">
        <v>13</v>
      </c>
      <c r="D2" s="105" t="s">
        <v>14</v>
      </c>
      <c r="E2" s="118">
        <v>105</v>
      </c>
      <c r="F2" s="119">
        <f>SUMIFS(门店汇总!J:J,门店汇总!A:A,"多点区")</f>
        <v>1184958.6751</v>
      </c>
      <c r="G2" s="119">
        <f>F2/$E$6</f>
        <v>11285.3207152381</v>
      </c>
      <c r="H2" s="120">
        <f>SUMIFS(门店汇总!M:M,门店汇总!A:A,"多点区")</f>
        <v>105364.324023701</v>
      </c>
      <c r="I2" s="119">
        <f>H2/E2</f>
        <v>1003.46975260668</v>
      </c>
      <c r="J2" s="119">
        <f>H2/M2</f>
        <v>41.6130821578597</v>
      </c>
      <c r="K2" s="134">
        <f t="shared" ref="K2:K16" si="0">I2/G2</f>
        <v>0.0889181422422255</v>
      </c>
      <c r="L2" s="135">
        <f>SUMIFS(美团日报!H:H,美团日报!W:W,"多点区")</f>
        <v>2532</v>
      </c>
      <c r="M2" s="147">
        <f>SUMIFS(美团日报!I:I,美团日报!W:W,"多点区")</f>
        <v>2532</v>
      </c>
    </row>
    <row r="3" ht="15" spans="1:13">
      <c r="A3" s="103"/>
      <c r="B3" s="103"/>
      <c r="C3" s="106"/>
      <c r="D3" s="105" t="s">
        <v>15</v>
      </c>
      <c r="E3" s="118">
        <v>105</v>
      </c>
      <c r="F3" s="119">
        <f>SUMIFS(门店汇总!J:J,门店汇总!A:A,"多点区")</f>
        <v>1184958.6751</v>
      </c>
      <c r="G3" s="119">
        <f>F3/$E$6</f>
        <v>11285.3207152381</v>
      </c>
      <c r="H3" s="120">
        <f>SUMIFS(门店汇总!O:O,门店汇总!A:A,"多点区")</f>
        <v>77505.0786798699</v>
      </c>
      <c r="I3" s="119">
        <f>H3/E3</f>
        <v>738.143606474951</v>
      </c>
      <c r="J3" s="119">
        <f>H3/M3</f>
        <v>36.1497568469542</v>
      </c>
      <c r="K3" s="134">
        <f t="shared" si="0"/>
        <v>0.0654074106620884</v>
      </c>
      <c r="L3" s="135">
        <f>SUMIFS(饿了么日报!H:H,饿了么日报!W:W,"多点区")</f>
        <v>2144</v>
      </c>
      <c r="M3" s="147">
        <f>SUMIFS(饿了么日报!I:I,饿了么日报!W:W,"多点区")</f>
        <v>2144</v>
      </c>
    </row>
    <row r="4" ht="15" spans="1:13">
      <c r="A4" s="103"/>
      <c r="B4" s="103"/>
      <c r="C4" s="106"/>
      <c r="D4" s="105" t="s">
        <v>16</v>
      </c>
      <c r="E4" s="118">
        <v>98</v>
      </c>
      <c r="F4" s="119">
        <f>SUMIFS(门店汇总!J:J,门店汇总!A:A,"多点区")</f>
        <v>1184958.6751</v>
      </c>
      <c r="G4" s="119">
        <f>F4/$E$6</f>
        <v>11285.3207152381</v>
      </c>
      <c r="H4" s="121">
        <f>SUMIFS(线上订单!$E:$E,线上订单!$C:$C,"*"&amp;"多点"&amp;"*",线上订单!$D:$D,"O2O")</f>
        <v>36559.6226840936</v>
      </c>
      <c r="I4" s="119">
        <f>H4/E4</f>
        <v>373.057374327486</v>
      </c>
      <c r="J4" s="119">
        <f>H4/M4</f>
        <v>44.9135413809504</v>
      </c>
      <c r="K4" s="134">
        <f t="shared" si="0"/>
        <v>0.0330568695157916</v>
      </c>
      <c r="L4" s="136">
        <f>SUMIFS(线上订单!$F:$F,线上订单!$C:$C,"*"&amp;"多点"&amp;"*",线上订单!$D:$D,"O2O")</f>
        <v>814</v>
      </c>
      <c r="M4" s="148">
        <f>L4</f>
        <v>814</v>
      </c>
    </row>
    <row r="5" ht="14.4" spans="1:13">
      <c r="A5" s="103"/>
      <c r="B5" s="103"/>
      <c r="C5" s="106"/>
      <c r="D5" s="107" t="s">
        <v>17</v>
      </c>
      <c r="E5" s="118">
        <v>66</v>
      </c>
      <c r="F5" s="119">
        <f>SUMIFS(门店汇总!J:J,门店汇总!A:A,"多点区")</f>
        <v>1184958.6751</v>
      </c>
      <c r="G5" s="119">
        <f>F5/$E$6</f>
        <v>11285.3207152381</v>
      </c>
      <c r="H5" s="121">
        <f>SUMIFS(线上订单!$E:$E,线上订单!$C:$C,"*"&amp;"多点"&amp;"*",线上订单!$D:$D,"全球精选")</f>
        <v>475.11827798978</v>
      </c>
      <c r="I5" s="119">
        <f>H5/E5</f>
        <v>7.19876178772394</v>
      </c>
      <c r="J5" s="119">
        <f>H5/M5</f>
        <v>59.3897847487225</v>
      </c>
      <c r="K5" s="134">
        <f t="shared" si="0"/>
        <v>0.000637887213785936</v>
      </c>
      <c r="L5" s="136">
        <f>SUMIFS(线上订单!$F:$F,线上订单!$C:$C,"*"&amp;"多点"&amp;"*",线上订单!$D:$D,"全球精选")</f>
        <v>8</v>
      </c>
      <c r="M5" s="149">
        <f>L5</f>
        <v>8</v>
      </c>
    </row>
    <row r="6" ht="15" spans="1:13">
      <c r="A6" s="103"/>
      <c r="B6" s="103"/>
      <c r="C6" s="108"/>
      <c r="D6" s="109" t="s">
        <v>18</v>
      </c>
      <c r="E6" s="118">
        <v>105</v>
      </c>
      <c r="F6" s="122">
        <f>MAX(F2:F5)</f>
        <v>1184958.6751</v>
      </c>
      <c r="G6" s="122">
        <f>F6/$E$6</f>
        <v>11285.3207152381</v>
      </c>
      <c r="H6" s="123">
        <f>SUM(H2:H5)</f>
        <v>219904.143665654</v>
      </c>
      <c r="I6" s="122">
        <f>H6/MAX(E2:E5)</f>
        <v>2094.32517776813</v>
      </c>
      <c r="J6" s="122">
        <f>SUM(H2:H5)/SUM(M2:M5)</f>
        <v>39.9971159813849</v>
      </c>
      <c r="K6" s="137">
        <f t="shared" si="0"/>
        <v>0.18557958879629</v>
      </c>
      <c r="L6" s="138">
        <f>SUM(L2:L5)</f>
        <v>5498</v>
      </c>
      <c r="M6" s="150">
        <f>SUM(M2:M5)</f>
        <v>5498</v>
      </c>
    </row>
    <row r="7" ht="15" spans="1:13">
      <c r="A7" s="103"/>
      <c r="B7" s="103"/>
      <c r="C7" s="104" t="s">
        <v>19</v>
      </c>
      <c r="D7" s="105" t="s">
        <v>14</v>
      </c>
      <c r="E7" s="118">
        <v>42</v>
      </c>
      <c r="F7" s="119">
        <f>SUMIFS(门店汇总!J:J,门店汇总!A:A,"物美区")</f>
        <v>596860.9604</v>
      </c>
      <c r="G7" s="119">
        <f>F7/$E$11</f>
        <v>14210.975247619</v>
      </c>
      <c r="H7" s="120">
        <f>SUMIFS(门店汇总!M:M,门店汇总!A:A,"物美区")</f>
        <v>31624.7301696831</v>
      </c>
      <c r="I7" s="119">
        <f>H7/E7</f>
        <v>752.969765944836</v>
      </c>
      <c r="J7" s="119">
        <f>H7/M7</f>
        <v>42.4493022411854</v>
      </c>
      <c r="K7" s="134">
        <f t="shared" si="0"/>
        <v>0.0529850874288866</v>
      </c>
      <c r="L7" s="135">
        <f>SUMIFS(美团日报!H:H,美团日报!W:W,"物美区")</f>
        <v>745</v>
      </c>
      <c r="M7" s="147">
        <f>SUMIFS(美团日报!I:I,美团日报!W:W,"物美区")</f>
        <v>745</v>
      </c>
    </row>
    <row r="8" ht="15" spans="1:13">
      <c r="A8" s="103"/>
      <c r="B8" s="103"/>
      <c r="C8" s="106"/>
      <c r="D8" s="105" t="s">
        <v>15</v>
      </c>
      <c r="E8" s="118">
        <v>42</v>
      </c>
      <c r="F8" s="119">
        <f>SUMIFS(门店汇总!J:J,门店汇总!A:A,"物美区")</f>
        <v>596860.9604</v>
      </c>
      <c r="G8" s="119">
        <f>F8/$E$11</f>
        <v>14210.975247619</v>
      </c>
      <c r="H8" s="120">
        <f>SUMIFS(门店汇总!O:O,门店汇总!A:A,"物美区")</f>
        <v>20856.4974750341</v>
      </c>
      <c r="I8" s="119">
        <f>H8/E8</f>
        <v>496.583273215097</v>
      </c>
      <c r="J8" s="119">
        <f>H8/M8</f>
        <v>39.0571113764683</v>
      </c>
      <c r="K8" s="134">
        <f t="shared" si="0"/>
        <v>0.0349436449337492</v>
      </c>
      <c r="L8" s="135">
        <f>SUMIFS(饿了么日报!H:H,饿了么日报!W:W,"物美区")</f>
        <v>534</v>
      </c>
      <c r="M8" s="147">
        <f>SUMIFS(饿了么日报!I:I,饿了么日报!W:W,"物美区")</f>
        <v>534</v>
      </c>
    </row>
    <row r="9" ht="15" spans="1:13">
      <c r="A9" s="103"/>
      <c r="B9" s="103"/>
      <c r="C9" s="106"/>
      <c r="D9" s="105" t="s">
        <v>16</v>
      </c>
      <c r="E9" s="118">
        <v>55</v>
      </c>
      <c r="F9" s="119">
        <f>SUMIFS(门店汇总!J:J,门店汇总!A:A,"物美区")</f>
        <v>596860.9604</v>
      </c>
      <c r="G9" s="119">
        <f>F9/$E$11</f>
        <v>14210.975247619</v>
      </c>
      <c r="H9" s="121">
        <f>SUMIFS(线上订单!$E:$E,线上订单!$C:$C,"*"&amp;"物美"&amp;"*",线上订单!$D:$D,"O2O")</f>
        <v>6288.8004384184</v>
      </c>
      <c r="I9" s="119">
        <f>H9/E9</f>
        <v>114.341826153062</v>
      </c>
      <c r="J9" s="119">
        <f>H9/M9</f>
        <v>41.9253362561227</v>
      </c>
      <c r="K9" s="134">
        <f t="shared" si="0"/>
        <v>0.00804602246930374</v>
      </c>
      <c r="L9" s="136">
        <f>SUMIFS(线上订单!$F:$F,线上订单!$C:$C,"*"&amp;"物美"&amp;"*",线上订单!$D:$D,"O2O")</f>
        <v>150</v>
      </c>
      <c r="M9" s="148">
        <f>L9</f>
        <v>150</v>
      </c>
    </row>
    <row r="10" ht="14.4" spans="1:13">
      <c r="A10" s="103"/>
      <c r="B10" s="103"/>
      <c r="C10" s="106"/>
      <c r="D10" s="107" t="s">
        <v>17</v>
      </c>
      <c r="E10" s="118">
        <v>24</v>
      </c>
      <c r="F10" s="119">
        <f>SUMIFS(门店汇总!J:J,门店汇总!A:A,"物美区")</f>
        <v>596860.9604</v>
      </c>
      <c r="G10" s="119">
        <f>F10/$E$11</f>
        <v>14210.975247619</v>
      </c>
      <c r="H10" s="121">
        <f>SUMIFS(线上订单!$E:$E,线上订单!$C:$C,"*"&amp;"物美"&amp;"*",线上订单!$D:$D,"全球精选")</f>
        <v>61.41592920354</v>
      </c>
      <c r="I10" s="119">
        <f>H10/E10</f>
        <v>2.5589970501475</v>
      </c>
      <c r="J10" s="119">
        <f>H10/M10</f>
        <v>30.70796460177</v>
      </c>
      <c r="K10" s="134">
        <f t="shared" si="0"/>
        <v>0.000180071881454881</v>
      </c>
      <c r="L10" s="135">
        <f>SUMIFS(线上订单!$F:$F,线上订单!$C:$C,"*"&amp;"物美"&amp;"*",线上订单!$D:$D,"全球精选")</f>
        <v>2</v>
      </c>
      <c r="M10" s="151">
        <f>L10</f>
        <v>2</v>
      </c>
    </row>
    <row r="11" ht="15" spans="1:13">
      <c r="A11" s="103"/>
      <c r="B11" s="103"/>
      <c r="C11" s="108"/>
      <c r="D11" s="109" t="s">
        <v>18</v>
      </c>
      <c r="E11" s="118">
        <v>42</v>
      </c>
      <c r="F11" s="122">
        <f>MAX(F7:F10)</f>
        <v>596860.9604</v>
      </c>
      <c r="G11" s="122">
        <f>F11/$E$11</f>
        <v>14210.975247619</v>
      </c>
      <c r="H11" s="123">
        <f>SUM(H7:H10)</f>
        <v>58831.4440123391</v>
      </c>
      <c r="I11" s="139">
        <f>H11/MAX(E7:E10)</f>
        <v>1069.66261840617</v>
      </c>
      <c r="J11" s="122">
        <f>SUM(H7:H10)/SUM(M7:M10)</f>
        <v>41.1121202042901</v>
      </c>
      <c r="K11" s="137">
        <f t="shared" si="0"/>
        <v>0.0752701767308605</v>
      </c>
      <c r="L11" s="138">
        <f>SUM(L7:L10)</f>
        <v>1431</v>
      </c>
      <c r="M11" s="152">
        <f>SUM(M7:M10)</f>
        <v>1431</v>
      </c>
    </row>
    <row r="12" ht="15" spans="1:13">
      <c r="A12" s="103"/>
      <c r="B12" s="103"/>
      <c r="C12" s="110" t="s">
        <v>18</v>
      </c>
      <c r="D12" s="111" t="s">
        <v>14</v>
      </c>
      <c r="E12" s="124">
        <f>E2+E7</f>
        <v>147</v>
      </c>
      <c r="F12" s="125">
        <f>F2+F7</f>
        <v>1781819.6355</v>
      </c>
      <c r="G12" s="125">
        <f>F12/225</f>
        <v>7919.19838</v>
      </c>
      <c r="H12" s="126">
        <f>H2+H7</f>
        <v>136989.054193384</v>
      </c>
      <c r="I12" s="140">
        <f>H12/E12</f>
        <v>931.89832784615</v>
      </c>
      <c r="J12" s="125">
        <f>H12/M12</f>
        <v>41.8031901719207</v>
      </c>
      <c r="K12" s="141">
        <f t="shared" si="0"/>
        <v>0.117675840802229</v>
      </c>
      <c r="L12" s="15">
        <f>L2+L7</f>
        <v>3277</v>
      </c>
      <c r="M12" s="153">
        <f>M2+M7</f>
        <v>3277</v>
      </c>
    </row>
    <row r="13" ht="15" spans="1:13">
      <c r="A13" s="103"/>
      <c r="B13" s="103"/>
      <c r="C13" s="112"/>
      <c r="D13" s="111" t="s">
        <v>15</v>
      </c>
      <c r="E13" s="124">
        <f>E3+E8</f>
        <v>147</v>
      </c>
      <c r="F13" s="125">
        <f>F3+F8</f>
        <v>1781819.6355</v>
      </c>
      <c r="G13" s="125">
        <f>F13/225</f>
        <v>7919.19838</v>
      </c>
      <c r="H13" s="126">
        <f>H3+H8</f>
        <v>98361.5761549039</v>
      </c>
      <c r="I13" s="140">
        <f>H13/E13</f>
        <v>669.126368400707</v>
      </c>
      <c r="J13" s="125">
        <f>H13/M13</f>
        <v>36.7294907225183</v>
      </c>
      <c r="K13" s="141">
        <f t="shared" si="0"/>
        <v>0.0844942046268965</v>
      </c>
      <c r="L13" s="15">
        <f>L3+L8</f>
        <v>2678</v>
      </c>
      <c r="M13" s="153">
        <f>M3+M8</f>
        <v>2678</v>
      </c>
    </row>
    <row r="14" ht="15" spans="1:13">
      <c r="A14" s="103"/>
      <c r="B14" s="103"/>
      <c r="C14" s="112"/>
      <c r="D14" s="111" t="s">
        <v>16</v>
      </c>
      <c r="E14" s="124">
        <f>E4+E9</f>
        <v>153</v>
      </c>
      <c r="F14" s="125">
        <f>F4+F9</f>
        <v>1781819.6355</v>
      </c>
      <c r="G14" s="125">
        <f>F14/225</f>
        <v>7919.19838</v>
      </c>
      <c r="H14" s="126">
        <f>H4+H9</f>
        <v>42848.423122512</v>
      </c>
      <c r="I14" s="140">
        <f>H14/E14</f>
        <v>280.055053088314</v>
      </c>
      <c r="J14" s="125">
        <f>H14/M14</f>
        <v>44.4485717038507</v>
      </c>
      <c r="K14" s="141">
        <f t="shared" si="0"/>
        <v>0.0353640658624736</v>
      </c>
      <c r="L14" s="15">
        <f>L4+L9</f>
        <v>964</v>
      </c>
      <c r="M14" s="153">
        <f>M4+M9</f>
        <v>964</v>
      </c>
    </row>
    <row r="15" ht="14.4" spans="1:13">
      <c r="A15" s="103"/>
      <c r="B15" s="103"/>
      <c r="C15" s="112"/>
      <c r="D15" s="113" t="s">
        <v>17</v>
      </c>
      <c r="E15" s="124">
        <f>E5+E10</f>
        <v>90</v>
      </c>
      <c r="F15" s="125">
        <f>F5+F10</f>
        <v>1781819.6355</v>
      </c>
      <c r="G15" s="125">
        <f>F15/225</f>
        <v>7919.19838</v>
      </c>
      <c r="H15" s="126">
        <f>H5+H10</f>
        <v>536.53420719332</v>
      </c>
      <c r="I15" s="140">
        <f>H15/E15</f>
        <v>5.96149119103689</v>
      </c>
      <c r="J15" s="125">
        <f>H15/M15</f>
        <v>53.653420719332</v>
      </c>
      <c r="K15" s="141">
        <f t="shared" si="0"/>
        <v>0.000752789727567967</v>
      </c>
      <c r="L15" s="15">
        <f>L5+L10</f>
        <v>10</v>
      </c>
      <c r="M15" s="153">
        <f>M5+M10</f>
        <v>10</v>
      </c>
    </row>
    <row r="16" ht="15" spans="1:13">
      <c r="A16" s="103"/>
      <c r="B16" s="103"/>
      <c r="C16" s="114"/>
      <c r="D16" s="115" t="s">
        <v>18</v>
      </c>
      <c r="E16" s="127">
        <f>E6+E11</f>
        <v>147</v>
      </c>
      <c r="F16" s="128">
        <f>F6+F11</f>
        <v>1781819.6355</v>
      </c>
      <c r="G16" s="128">
        <f>F16/225</f>
        <v>7919.19838</v>
      </c>
      <c r="H16" s="128">
        <f>H6+H11</f>
        <v>278735.587677993</v>
      </c>
      <c r="I16" s="128">
        <f>H16/E16</f>
        <v>1896.16046039451</v>
      </c>
      <c r="J16" s="128">
        <f>H16/M16</f>
        <v>40.2273903417511</v>
      </c>
      <c r="K16" s="142">
        <f t="shared" si="0"/>
        <v>0.239438434221231</v>
      </c>
      <c r="L16" s="143">
        <f>L6+L11</f>
        <v>6929</v>
      </c>
      <c r="M16" s="127">
        <f>M6+M11</f>
        <v>6929</v>
      </c>
    </row>
    <row r="17" ht="13.6" spans="6:13">
      <c r="F17" s="129"/>
      <c r="G17" s="129"/>
      <c r="H17" s="130"/>
      <c r="I17" s="129"/>
      <c r="J17" s="144"/>
      <c r="K17" s="57"/>
      <c r="L17" s="144"/>
      <c r="M17" s="11"/>
    </row>
    <row r="18" ht="13.6" spans="6:13">
      <c r="F18" s="129"/>
      <c r="G18" s="129"/>
      <c r="H18" s="130"/>
      <c r="I18" s="145"/>
      <c r="J18" s="144"/>
      <c r="K18" s="57"/>
      <c r="L18" s="144"/>
      <c r="M18" s="11"/>
    </row>
    <row r="19" spans="6:13">
      <c r="F19" s="57"/>
      <c r="G19" s="11"/>
      <c r="H19" s="11"/>
      <c r="I19" s="146"/>
      <c r="J19" s="57"/>
      <c r="K19" s="57"/>
      <c r="L19" s="144"/>
      <c r="M19" s="11"/>
    </row>
    <row r="20" spans="6:13">
      <c r="F20" s="57"/>
      <c r="G20" s="11"/>
      <c r="H20" s="57"/>
      <c r="I20" s="146"/>
      <c r="J20" s="144"/>
      <c r="K20" s="57"/>
      <c r="L20" s="144"/>
      <c r="M20" s="11"/>
    </row>
    <row r="21" ht="13.6" spans="6:13">
      <c r="F21" s="57"/>
      <c r="H21" s="129"/>
      <c r="I21" s="146"/>
      <c r="J21" s="144"/>
      <c r="K21" s="57"/>
      <c r="L21" s="144"/>
      <c r="M21" s="11"/>
    </row>
    <row r="22" spans="8:13">
      <c r="H22" s="57"/>
      <c r="I22" s="146"/>
      <c r="J22" s="57"/>
      <c r="K22" s="57"/>
      <c r="L22" s="144"/>
      <c r="M22" s="57"/>
    </row>
    <row r="23" spans="8:13">
      <c r="H23" s="57"/>
      <c r="I23" s="146"/>
      <c r="J23" s="57"/>
      <c r="K23" s="57"/>
      <c r="L23" s="144"/>
      <c r="M23" s="57"/>
    </row>
    <row r="24" spans="8:13">
      <c r="H24" s="57"/>
      <c r="I24" s="146"/>
      <c r="K24" s="57"/>
      <c r="L24" s="144"/>
      <c r="M24" s="57"/>
    </row>
    <row r="25" spans="8:9">
      <c r="H25" s="57"/>
      <c r="I25" s="146"/>
    </row>
    <row r="26" spans="8:9">
      <c r="H26" s="57"/>
      <c r="I26" s="57"/>
    </row>
    <row r="28" spans="7:7">
      <c r="G28" s="131"/>
    </row>
  </sheetData>
  <mergeCells count="5">
    <mergeCell ref="A2:A16"/>
    <mergeCell ref="B2:B16"/>
    <mergeCell ref="C2:C6"/>
    <mergeCell ref="C7:C11"/>
    <mergeCell ref="C12:C16"/>
  </mergeCells>
  <pageMargins left="0.699305555555556" right="0.699305555555556" top="0.75" bottom="0.75" header="0.3" footer="0.3"/>
  <pageSetup paperSize="9" orientation="portrait"/>
  <headerFooter/>
  <ignoredErrors>
    <ignoredError sqref="G12:G15 I6"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U264"/>
  <sheetViews>
    <sheetView workbookViewId="0">
      <pane ySplit="2" topLeftCell="A237" activePane="bottomLeft" state="frozen"/>
      <selection/>
      <selection pane="bottomLeft" activeCell="D262" sqref="D262"/>
    </sheetView>
  </sheetViews>
  <sheetFormatPr defaultColWidth="8.63392857142857" defaultRowHeight="12.4"/>
  <cols>
    <col min="1" max="1" width="7.38392857142857" style="64" customWidth="1"/>
    <col min="2" max="2" width="7.66964285714286" style="65" customWidth="1"/>
    <col min="3" max="3" width="7.38392857142857" style="65" customWidth="1"/>
    <col min="4" max="4" width="9.13392857142857" style="66" customWidth="1"/>
    <col min="5" max="5" width="23.6339285714286" style="64" customWidth="1"/>
    <col min="6" max="6" width="14.8839285714286" style="64" customWidth="1"/>
    <col min="7" max="7" width="13.8839285714286" style="64" customWidth="1"/>
    <col min="8" max="8" width="20.6339285714286" style="64" hidden="1" customWidth="1"/>
    <col min="9" max="9" width="9.13392857142857" style="64" hidden="1" customWidth="1"/>
    <col min="10" max="10" width="13.1339285714286" style="64" customWidth="1"/>
    <col min="11" max="11" width="17.1339285714286" style="64" customWidth="1"/>
    <col min="12" max="12" width="15.1339285714286" style="64" customWidth="1"/>
    <col min="13" max="13" width="17.1339285714286" style="64" customWidth="1"/>
    <col min="14" max="14" width="15.1339285714286" style="64" customWidth="1"/>
    <col min="15" max="15" width="17.1339285714286" style="64" customWidth="1"/>
    <col min="16" max="18" width="15.1339285714286" style="64" customWidth="1"/>
    <col min="19" max="19" width="17.1339285714286" style="64" customWidth="1"/>
    <col min="20" max="20" width="11.3839285714286" style="64" customWidth="1"/>
    <col min="21" max="21" width="9.5" style="64" customWidth="1"/>
    <col min="22" max="16384" width="8.63392857142857" style="64"/>
  </cols>
  <sheetData>
    <row r="1" ht="14.4" spans="1:21">
      <c r="A1" s="67" t="s">
        <v>1</v>
      </c>
      <c r="B1" s="68" t="s">
        <v>20</v>
      </c>
      <c r="C1" s="68" t="s">
        <v>21</v>
      </c>
      <c r="D1" s="69" t="s">
        <v>22</v>
      </c>
      <c r="E1" s="67" t="s">
        <v>23</v>
      </c>
      <c r="F1" s="67" t="s">
        <v>24</v>
      </c>
      <c r="G1" s="67" t="s">
        <v>25</v>
      </c>
      <c r="H1" s="67" t="s">
        <v>26</v>
      </c>
      <c r="I1" s="67" t="s">
        <v>27</v>
      </c>
      <c r="J1" s="70" t="s">
        <v>28</v>
      </c>
      <c r="K1" s="71" t="s">
        <v>16</v>
      </c>
      <c r="L1" s="72"/>
      <c r="M1" s="76" t="s">
        <v>14</v>
      </c>
      <c r="N1" s="77"/>
      <c r="O1" s="78" t="s">
        <v>15</v>
      </c>
      <c r="P1" s="79"/>
      <c r="Q1" s="84" t="s">
        <v>29</v>
      </c>
      <c r="R1" s="85"/>
      <c r="S1" s="86"/>
      <c r="T1" s="84" t="s">
        <v>30</v>
      </c>
      <c r="U1" s="86"/>
    </row>
    <row r="2" ht="15" spans="1:21">
      <c r="A2" s="67"/>
      <c r="B2" s="68"/>
      <c r="C2" s="68"/>
      <c r="D2" s="69"/>
      <c r="E2" s="67"/>
      <c r="F2" s="67"/>
      <c r="G2" s="67"/>
      <c r="H2" s="67"/>
      <c r="I2" s="67"/>
      <c r="J2" s="70"/>
      <c r="K2" s="73" t="s">
        <v>31</v>
      </c>
      <c r="L2" s="74" t="s">
        <v>32</v>
      </c>
      <c r="M2" s="80" t="s">
        <v>31</v>
      </c>
      <c r="N2" s="81" t="s">
        <v>32</v>
      </c>
      <c r="O2" s="82" t="s">
        <v>31</v>
      </c>
      <c r="P2" s="83" t="s">
        <v>32</v>
      </c>
      <c r="Q2" s="70" t="s">
        <v>33</v>
      </c>
      <c r="R2" s="70" t="s">
        <v>34</v>
      </c>
      <c r="S2" s="70" t="s">
        <v>35</v>
      </c>
      <c r="T2" s="70" t="s">
        <v>36</v>
      </c>
      <c r="U2" s="70" t="s">
        <v>37</v>
      </c>
    </row>
    <row r="3" ht="14.4" spans="1:21">
      <c r="A3" s="27" t="s">
        <v>13</v>
      </c>
      <c r="B3" s="26" t="e">
        <v>#N/A</v>
      </c>
      <c r="C3" s="26" t="s">
        <v>38</v>
      </c>
      <c r="D3" s="16">
        <v>8613</v>
      </c>
      <c r="E3" s="27" t="s">
        <v>39</v>
      </c>
      <c r="F3" s="16" t="s">
        <v>40</v>
      </c>
      <c r="G3" s="26" t="s">
        <v>41</v>
      </c>
      <c r="H3" s="27" t="s">
        <v>42</v>
      </c>
      <c r="I3" s="27">
        <v>87</v>
      </c>
      <c r="J3" s="75">
        <f>VLOOKUP(D3,美团日报!$C:$E,3,0)</f>
        <v>3915.4358</v>
      </c>
      <c r="K3" s="75">
        <f>VLOOKUP(D:D,秒达日报!C:F,4,0)</f>
        <v>53.2743362831901</v>
      </c>
      <c r="L3" s="16">
        <f>VLOOKUP(D:D,秒达日报!C:I,7,0)</f>
        <v>1</v>
      </c>
      <c r="M3" s="75">
        <f>VLOOKUP(D:D,美团日报!C:F,4,0)</f>
        <v>296.41990744498</v>
      </c>
      <c r="N3" s="16">
        <f>VLOOKUP(D:D,美团日报!C:I,7,0)</f>
        <v>8</v>
      </c>
      <c r="O3" s="75">
        <f>VLOOKUP(D:D,饿了么日报!C:F,4,0)</f>
        <v>308.00332873264</v>
      </c>
      <c r="P3" s="16">
        <f>VLOOKUP(D:D,饿了么日报!C:I,7,0)</f>
        <v>9</v>
      </c>
      <c r="Q3" s="87">
        <f>K3+M3+O3</f>
        <v>657.69757246081</v>
      </c>
      <c r="R3" s="88">
        <f t="shared" ref="R3" si="0">L3+N3+P3</f>
        <v>18</v>
      </c>
      <c r="S3" s="89">
        <f t="shared" ref="S3" si="1">Q3/J3</f>
        <v>0.167975573104994</v>
      </c>
      <c r="T3" s="90"/>
      <c r="U3" s="90"/>
    </row>
    <row r="4" ht="14.4" spans="1:21">
      <c r="A4" s="27" t="s">
        <v>13</v>
      </c>
      <c r="B4" s="26" t="s">
        <v>43</v>
      </c>
      <c r="C4" s="26" t="s">
        <v>44</v>
      </c>
      <c r="D4" s="16">
        <v>8620</v>
      </c>
      <c r="E4" s="27" t="s">
        <v>45</v>
      </c>
      <c r="F4" s="16" t="s">
        <v>46</v>
      </c>
      <c r="G4" s="26" t="s">
        <v>41</v>
      </c>
      <c r="H4" s="27" t="s">
        <v>47</v>
      </c>
      <c r="I4" s="27">
        <v>119.3</v>
      </c>
      <c r="J4" s="75">
        <f>VLOOKUP(D4,美团日报!$C:$E,3,0)</f>
        <v>0</v>
      </c>
      <c r="K4" s="75">
        <f>VLOOKUP(D:D,秒达日报!C:F,4,0)</f>
        <v>0</v>
      </c>
      <c r="L4" s="16">
        <f>VLOOKUP(D:D,秒达日报!C:I,7,0)</f>
        <v>0</v>
      </c>
      <c r="M4" s="75">
        <f>VLOOKUP(D:D,美团日报!C:F,4,0)</f>
        <v>0</v>
      </c>
      <c r="N4" s="16">
        <f>VLOOKUP(D:D,美团日报!C:I,7,0)</f>
        <v>0</v>
      </c>
      <c r="O4" s="75">
        <f>VLOOKUP(D:D,饿了么日报!C:F,4,0)</f>
        <v>0</v>
      </c>
      <c r="P4" s="16">
        <f>VLOOKUP(D:D,饿了么日报!C:I,7,0)</f>
        <v>0</v>
      </c>
      <c r="Q4" s="87">
        <f t="shared" ref="Q4:Q67" si="2">K4+M4+O4</f>
        <v>0</v>
      </c>
      <c r="R4" s="88">
        <f t="shared" ref="R4:R67" si="3">L4+N4+P4</f>
        <v>0</v>
      </c>
      <c r="S4" s="89" t="e">
        <f t="shared" ref="S4:S67" si="4">Q4/J4</f>
        <v>#DIV/0!</v>
      </c>
      <c r="T4" s="90"/>
      <c r="U4" s="90"/>
    </row>
    <row r="5" ht="14.4" spans="1:21">
      <c r="A5" s="27" t="s">
        <v>13</v>
      </c>
      <c r="B5" s="26" t="s">
        <v>48</v>
      </c>
      <c r="C5" s="26" t="s">
        <v>49</v>
      </c>
      <c r="D5" s="16">
        <v>8608</v>
      </c>
      <c r="E5" s="27" t="s">
        <v>50</v>
      </c>
      <c r="F5" s="16" t="s">
        <v>46</v>
      </c>
      <c r="G5" s="26" t="s">
        <v>41</v>
      </c>
      <c r="H5" s="27" t="s">
        <v>51</v>
      </c>
      <c r="I5" s="27">
        <v>172</v>
      </c>
      <c r="J5" s="75">
        <f>VLOOKUP(D5,美团日报!$C:$E,3,0)</f>
        <v>12874.7361</v>
      </c>
      <c r="K5" s="75">
        <f>VLOOKUP(D:D,秒达日报!C:F,4,0)</f>
        <v>327.14159292034</v>
      </c>
      <c r="L5" s="16">
        <f>VLOOKUP(D:D,秒达日报!C:I,7,0)</f>
        <v>10</v>
      </c>
      <c r="M5" s="75">
        <f>VLOOKUP(D:D,美团日报!C:F,4,0)</f>
        <v>1012.7704798245</v>
      </c>
      <c r="N5" s="16">
        <f>VLOOKUP(D:D,美团日报!C:I,7,0)</f>
        <v>28</v>
      </c>
      <c r="O5" s="75">
        <f>VLOOKUP(D:D,饿了么日报!C:F,4,0)</f>
        <v>1670.23918161893</v>
      </c>
      <c r="P5" s="16">
        <f>VLOOKUP(D:D,饿了么日报!C:I,7,0)</f>
        <v>48</v>
      </c>
      <c r="Q5" s="87">
        <f t="shared" si="2"/>
        <v>3010.15125436377</v>
      </c>
      <c r="R5" s="88">
        <f t="shared" si="3"/>
        <v>86</v>
      </c>
      <c r="S5" s="89">
        <f t="shared" si="4"/>
        <v>0.233802947958193</v>
      </c>
      <c r="T5" s="90"/>
      <c r="U5" s="90"/>
    </row>
    <row r="6" ht="14.4" spans="1:21">
      <c r="A6" s="27" t="s">
        <v>13</v>
      </c>
      <c r="B6" s="26" t="s">
        <v>48</v>
      </c>
      <c r="C6" s="26" t="s">
        <v>52</v>
      </c>
      <c r="D6" s="16">
        <v>8600</v>
      </c>
      <c r="E6" s="27" t="s">
        <v>53</v>
      </c>
      <c r="F6" s="16" t="s">
        <v>40</v>
      </c>
      <c r="G6" s="26" t="s">
        <v>54</v>
      </c>
      <c r="H6" s="27" t="s">
        <v>55</v>
      </c>
      <c r="I6" s="27">
        <v>137</v>
      </c>
      <c r="J6" s="75">
        <f>VLOOKUP(D6,美团日报!$C:$E,3,0)</f>
        <v>11494.6114</v>
      </c>
      <c r="K6" s="75">
        <f>VLOOKUP(D:D,秒达日报!C:F,4,0)</f>
        <v>984.33149305833</v>
      </c>
      <c r="L6" s="16">
        <f>VLOOKUP(D:D,秒达日报!C:I,7,0)</f>
        <v>34</v>
      </c>
      <c r="M6" s="75">
        <f>VLOOKUP(D:D,美团日报!C:F,4,0)</f>
        <v>615.55622310623</v>
      </c>
      <c r="N6" s="16">
        <f>VLOOKUP(D:D,美团日报!C:I,7,0)</f>
        <v>13</v>
      </c>
      <c r="O6" s="75">
        <f>VLOOKUP(D:D,饿了么日报!C:F,4,0)</f>
        <v>356.2389380531</v>
      </c>
      <c r="P6" s="16">
        <f>VLOOKUP(D:D,饿了么日报!C:I,7,0)</f>
        <v>11</v>
      </c>
      <c r="Q6" s="87">
        <f t="shared" si="2"/>
        <v>1956.12665421766</v>
      </c>
      <c r="R6" s="88">
        <f t="shared" si="3"/>
        <v>58</v>
      </c>
      <c r="S6" s="89">
        <f t="shared" si="4"/>
        <v>0.170177710767818</v>
      </c>
      <c r="T6" s="90"/>
      <c r="U6" s="90"/>
    </row>
    <row r="7" ht="14.4" spans="1:21">
      <c r="A7" s="27" t="s">
        <v>13</v>
      </c>
      <c r="B7" s="26" t="s">
        <v>56</v>
      </c>
      <c r="C7" s="26" t="s">
        <v>57</v>
      </c>
      <c r="D7" s="16">
        <v>8615</v>
      </c>
      <c r="E7" s="27" t="s">
        <v>58</v>
      </c>
      <c r="F7" s="16" t="s">
        <v>40</v>
      </c>
      <c r="G7" s="26" t="s">
        <v>41</v>
      </c>
      <c r="H7" s="27" t="s">
        <v>59</v>
      </c>
      <c r="I7" s="27">
        <v>68.7</v>
      </c>
      <c r="J7" s="75">
        <f>VLOOKUP(D7,美团日报!$C:$E,3,0)</f>
        <v>6964.3807</v>
      </c>
      <c r="K7" s="75">
        <f>VLOOKUP(D:D,秒达日报!C:F,4,0)</f>
        <v>110.21839733703</v>
      </c>
      <c r="L7" s="16">
        <f>VLOOKUP(D:D,秒达日报!C:I,7,0)</f>
        <v>2</v>
      </c>
      <c r="M7" s="75">
        <f>VLOOKUP(D:D,美团日报!C:F,4,0)</f>
        <v>2157.01857595194</v>
      </c>
      <c r="N7" s="16">
        <f>VLOOKUP(D:D,美团日报!C:I,7,0)</f>
        <v>46</v>
      </c>
      <c r="O7" s="75">
        <f>VLOOKUP(D:D,饿了么日报!C:F,4,0)</f>
        <v>485.63416416337</v>
      </c>
      <c r="P7" s="16">
        <f>VLOOKUP(D:D,饿了么日报!C:I,7,0)</f>
        <v>12</v>
      </c>
      <c r="Q7" s="87">
        <f t="shared" si="2"/>
        <v>2752.87113745234</v>
      </c>
      <c r="R7" s="88">
        <f t="shared" si="3"/>
        <v>60</v>
      </c>
      <c r="S7" s="89">
        <f t="shared" si="4"/>
        <v>0.395278669566748</v>
      </c>
      <c r="T7" s="90"/>
      <c r="U7" s="90"/>
    </row>
    <row r="8" ht="14.4" spans="1:21">
      <c r="A8" s="27" t="s">
        <v>13</v>
      </c>
      <c r="B8" s="26" t="s">
        <v>56</v>
      </c>
      <c r="C8" s="26" t="s">
        <v>60</v>
      </c>
      <c r="D8" s="16">
        <v>8603</v>
      </c>
      <c r="E8" s="27" t="s">
        <v>61</v>
      </c>
      <c r="F8" s="16" t="s">
        <v>40</v>
      </c>
      <c r="G8" s="26" t="s">
        <v>41</v>
      </c>
      <c r="H8" s="27" t="s">
        <v>62</v>
      </c>
      <c r="I8" s="27">
        <v>265</v>
      </c>
      <c r="J8" s="75">
        <f>VLOOKUP(D8,美团日报!$C:$E,3,0)</f>
        <v>9352.1572</v>
      </c>
      <c r="K8" s="75">
        <f>VLOOKUP(D:D,秒达日报!C:F,4,0)</f>
        <v>303.51790208655</v>
      </c>
      <c r="L8" s="16">
        <f>VLOOKUP(D:D,秒达日报!C:I,7,0)</f>
        <v>9</v>
      </c>
      <c r="M8" s="75">
        <f>VLOOKUP(D:D,美团日报!C:F,4,0)</f>
        <v>1630.2468133473</v>
      </c>
      <c r="N8" s="16">
        <f>VLOOKUP(D:D,美团日报!C:I,7,0)</f>
        <v>36</v>
      </c>
      <c r="O8" s="75">
        <f>VLOOKUP(D:D,饿了么日报!C:F,4,0)</f>
        <v>931.18251197537</v>
      </c>
      <c r="P8" s="16">
        <f>VLOOKUP(D:D,饿了么日报!C:I,7,0)</f>
        <v>22</v>
      </c>
      <c r="Q8" s="87">
        <f t="shared" si="2"/>
        <v>2864.94722740922</v>
      </c>
      <c r="R8" s="88">
        <f t="shared" si="3"/>
        <v>67</v>
      </c>
      <c r="S8" s="89">
        <f t="shared" si="4"/>
        <v>0.306340790273416</v>
      </c>
      <c r="T8" s="90"/>
      <c r="U8" s="90"/>
    </row>
    <row r="9" ht="14.4" spans="1:21">
      <c r="A9" s="27" t="s">
        <v>13</v>
      </c>
      <c r="B9" s="26" t="s">
        <v>63</v>
      </c>
      <c r="C9" s="26" t="s">
        <v>64</v>
      </c>
      <c r="D9" s="16">
        <v>8604</v>
      </c>
      <c r="E9" s="27" t="s">
        <v>65</v>
      </c>
      <c r="F9" s="16" t="s">
        <v>46</v>
      </c>
      <c r="G9" s="26" t="s">
        <v>66</v>
      </c>
      <c r="H9" s="27" t="s">
        <v>67</v>
      </c>
      <c r="I9" s="27">
        <v>84.19</v>
      </c>
      <c r="J9" s="75">
        <f>VLOOKUP(D9,美团日报!$C:$E,3,0)</f>
        <v>7815.4465</v>
      </c>
      <c r="K9" s="75">
        <f>VLOOKUP(D:D,秒达日报!C:F,4,0)</f>
        <v>152.55175773321</v>
      </c>
      <c r="L9" s="16">
        <f>VLOOKUP(D:D,秒达日报!C:I,7,0)</f>
        <v>4</v>
      </c>
      <c r="M9" s="75">
        <f>VLOOKUP(D:D,美团日报!C:F,4,0)</f>
        <v>1036.814159292</v>
      </c>
      <c r="N9" s="16">
        <f>VLOOKUP(D:D,美团日报!C:I,7,0)</f>
        <v>27</v>
      </c>
      <c r="O9" s="75">
        <f>VLOOKUP(D:D,饿了么日报!C:F,4,0)</f>
        <v>666.40391329052</v>
      </c>
      <c r="P9" s="16">
        <f>VLOOKUP(D:D,饿了么日报!C:I,7,0)</f>
        <v>20</v>
      </c>
      <c r="Q9" s="87">
        <f t="shared" si="2"/>
        <v>1855.76983031573</v>
      </c>
      <c r="R9" s="88">
        <f t="shared" si="3"/>
        <v>51</v>
      </c>
      <c r="S9" s="89">
        <f t="shared" si="4"/>
        <v>0.23744898392123</v>
      </c>
      <c r="T9" s="90"/>
      <c r="U9" s="90"/>
    </row>
    <row r="10" ht="14.4" spans="1:21">
      <c r="A10" s="27" t="s">
        <v>13</v>
      </c>
      <c r="B10" s="26" t="s">
        <v>48</v>
      </c>
      <c r="C10" s="26" t="s">
        <v>38</v>
      </c>
      <c r="D10" s="16">
        <v>8606</v>
      </c>
      <c r="E10" s="27" t="s">
        <v>68</v>
      </c>
      <c r="F10" s="16" t="s">
        <v>46</v>
      </c>
      <c r="G10" s="26" t="s">
        <v>66</v>
      </c>
      <c r="H10" s="27" t="s">
        <v>69</v>
      </c>
      <c r="I10" s="27">
        <v>67</v>
      </c>
      <c r="J10" s="75">
        <f>VLOOKUP(D10,美团日报!$C:$E,3,0)</f>
        <v>10089.4799</v>
      </c>
      <c r="K10" s="75">
        <f>VLOOKUP(D:D,秒达日报!C:F,4,0)</f>
        <v>50.0000000000001</v>
      </c>
      <c r="L10" s="16">
        <f>VLOOKUP(D:D,秒达日报!C:I,7,0)</f>
        <v>1</v>
      </c>
      <c r="M10" s="75">
        <f>VLOOKUP(D:D,美团日报!C:F,4,0)</f>
        <v>748.62953641304</v>
      </c>
      <c r="N10" s="16">
        <f>VLOOKUP(D:D,美团日报!C:I,7,0)</f>
        <v>17</v>
      </c>
      <c r="O10" s="75">
        <f>VLOOKUP(D:D,饿了么日报!C:F,4,0)</f>
        <v>666.95274823415</v>
      </c>
      <c r="P10" s="16">
        <f>VLOOKUP(D:D,饿了么日报!C:I,7,0)</f>
        <v>16</v>
      </c>
      <c r="Q10" s="87">
        <f t="shared" si="2"/>
        <v>1465.58228464719</v>
      </c>
      <c r="R10" s="88">
        <f t="shared" si="3"/>
        <v>34</v>
      </c>
      <c r="S10" s="89">
        <f t="shared" si="4"/>
        <v>0.145258457241903</v>
      </c>
      <c r="T10" s="90"/>
      <c r="U10" s="90"/>
    </row>
    <row r="11" ht="14.4" spans="1:21">
      <c r="A11" s="27" t="s">
        <v>13</v>
      </c>
      <c r="B11" s="26" t="s">
        <v>43</v>
      </c>
      <c r="C11" s="26" t="s">
        <v>70</v>
      </c>
      <c r="D11" s="16">
        <v>8617</v>
      </c>
      <c r="E11" s="27" t="s">
        <v>71</v>
      </c>
      <c r="F11" s="16" t="s">
        <v>46</v>
      </c>
      <c r="G11" s="26" t="s">
        <v>66</v>
      </c>
      <c r="H11" s="27" t="s">
        <v>72</v>
      </c>
      <c r="I11" s="27">
        <v>90</v>
      </c>
      <c r="J11" s="75">
        <f>VLOOKUP(D11,美团日报!$C:$E,3,0)</f>
        <v>7394.9216</v>
      </c>
      <c r="K11" s="75">
        <f>VLOOKUP(D:D,秒达日报!C:F,4,0)</f>
        <v>212.93805309735</v>
      </c>
      <c r="L11" s="16">
        <f>VLOOKUP(D:D,秒达日报!C:I,7,0)</f>
        <v>5</v>
      </c>
      <c r="M11" s="75">
        <f>VLOOKUP(D:D,美团日报!C:F,4,0)</f>
        <v>877.99033855642</v>
      </c>
      <c r="N11" s="16">
        <f>VLOOKUP(D:D,美团日报!C:I,7,0)</f>
        <v>21</v>
      </c>
      <c r="O11" s="75">
        <f>VLOOKUP(D:D,饿了么日报!C:F,4,0)</f>
        <v>171.41592920352</v>
      </c>
      <c r="P11" s="16">
        <f>VLOOKUP(D:D,饿了么日报!C:I,7,0)</f>
        <v>5</v>
      </c>
      <c r="Q11" s="87">
        <f t="shared" si="2"/>
        <v>1262.34432085729</v>
      </c>
      <c r="R11" s="88">
        <f t="shared" si="3"/>
        <v>31</v>
      </c>
      <c r="S11" s="89">
        <f t="shared" si="4"/>
        <v>0.170704219617053</v>
      </c>
      <c r="T11" s="90"/>
      <c r="U11" s="90"/>
    </row>
    <row r="12" ht="14.4" spans="1:21">
      <c r="A12" s="27" t="s">
        <v>13</v>
      </c>
      <c r="B12" s="26" t="s">
        <v>56</v>
      </c>
      <c r="C12" s="26" t="s">
        <v>73</v>
      </c>
      <c r="D12" s="16">
        <v>8628</v>
      </c>
      <c r="E12" s="27" t="s">
        <v>74</v>
      </c>
      <c r="F12" s="16" t="s">
        <v>40</v>
      </c>
      <c r="G12" s="26" t="s">
        <v>66</v>
      </c>
      <c r="H12" s="27" t="s">
        <v>75</v>
      </c>
      <c r="I12" s="27">
        <v>114.48</v>
      </c>
      <c r="J12" s="75">
        <f>VLOOKUP(D12,美团日报!$C:$E,3,0)</f>
        <v>11368.4489</v>
      </c>
      <c r="K12" s="75">
        <f>VLOOKUP(D:D,秒达日报!C:F,4,0)</f>
        <v>237.21100917432</v>
      </c>
      <c r="L12" s="16">
        <f>VLOOKUP(D:D,秒达日报!C:I,7,0)</f>
        <v>7</v>
      </c>
      <c r="M12" s="75">
        <f>VLOOKUP(D:D,美团日报!C:F,4,0)</f>
        <v>4603.77940245178</v>
      </c>
      <c r="N12" s="16">
        <f>VLOOKUP(D:D,美团日报!C:I,7,0)</f>
        <v>111</v>
      </c>
      <c r="O12" s="75">
        <f>VLOOKUP(D:D,饿了么日报!C:F,4,0)</f>
        <v>1204.92960948273</v>
      </c>
      <c r="P12" s="16">
        <f>VLOOKUP(D:D,饿了么日报!C:I,7,0)</f>
        <v>35</v>
      </c>
      <c r="Q12" s="87">
        <f t="shared" si="2"/>
        <v>6045.92002110883</v>
      </c>
      <c r="R12" s="88">
        <f t="shared" si="3"/>
        <v>153</v>
      </c>
      <c r="S12" s="89">
        <f t="shared" si="4"/>
        <v>0.53181573619149</v>
      </c>
      <c r="T12" s="90"/>
      <c r="U12" s="90"/>
    </row>
    <row r="13" ht="14.4" spans="1:21">
      <c r="A13" s="27" t="s">
        <v>13</v>
      </c>
      <c r="B13" s="26" t="s">
        <v>56</v>
      </c>
      <c r="C13" s="26" t="s">
        <v>76</v>
      </c>
      <c r="D13" s="16">
        <v>8609</v>
      </c>
      <c r="E13" s="27" t="s">
        <v>77</v>
      </c>
      <c r="F13" s="16" t="s">
        <v>40</v>
      </c>
      <c r="G13" s="26" t="s">
        <v>54</v>
      </c>
      <c r="H13" s="27" t="s">
        <v>78</v>
      </c>
      <c r="I13" s="27">
        <v>82.4</v>
      </c>
      <c r="J13" s="75">
        <f>VLOOKUP(D13,美团日报!$C:$E,3,0)</f>
        <v>5644.3092</v>
      </c>
      <c r="K13" s="75">
        <f>VLOOKUP(D:D,秒达日报!C:F,4,0)</f>
        <v>71.1504424778701</v>
      </c>
      <c r="L13" s="16">
        <f>VLOOKUP(D:D,秒达日报!C:I,7,0)</f>
        <v>3</v>
      </c>
      <c r="M13" s="75">
        <f>VLOOKUP(D:D,美团日报!C:F,4,0)</f>
        <v>129.10936104567</v>
      </c>
      <c r="N13" s="16">
        <f>VLOOKUP(D:D,美团日报!C:I,7,0)</f>
        <v>4</v>
      </c>
      <c r="O13" s="75">
        <f>VLOOKUP(D:D,饿了么日报!C:F,4,0)</f>
        <v>352.7528618982</v>
      </c>
      <c r="P13" s="16">
        <f>VLOOKUP(D:D,饿了么日报!C:I,7,0)</f>
        <v>11</v>
      </c>
      <c r="Q13" s="87">
        <f t="shared" si="2"/>
        <v>553.01266542174</v>
      </c>
      <c r="R13" s="88">
        <f t="shared" si="3"/>
        <v>18</v>
      </c>
      <c r="S13" s="89">
        <f t="shared" si="4"/>
        <v>0.0979770324102266</v>
      </c>
      <c r="T13" s="90"/>
      <c r="U13" s="90"/>
    </row>
    <row r="14" ht="14.4" spans="1:21">
      <c r="A14" s="27" t="s">
        <v>13</v>
      </c>
      <c r="B14" s="26" t="s">
        <v>56</v>
      </c>
      <c r="C14" s="26" t="s">
        <v>49</v>
      </c>
      <c r="D14" s="16">
        <v>8621</v>
      </c>
      <c r="E14" s="27" t="s">
        <v>79</v>
      </c>
      <c r="F14" s="16" t="s">
        <v>40</v>
      </c>
      <c r="G14" s="26" t="s">
        <v>41</v>
      </c>
      <c r="H14" s="27" t="s">
        <v>80</v>
      </c>
      <c r="I14" s="27">
        <v>81</v>
      </c>
      <c r="J14" s="75">
        <f>VLOOKUP(D14,美团日报!$C:$E,3,0)</f>
        <v>5489.37</v>
      </c>
      <c r="K14" s="75">
        <f>VLOOKUP(D:D,秒达日报!C:F,4,0)</f>
        <v>323.09182430786</v>
      </c>
      <c r="L14" s="16">
        <f>VLOOKUP(D:D,秒达日报!C:I,7,0)</f>
        <v>9</v>
      </c>
      <c r="M14" s="75">
        <f>VLOOKUP(D:D,美团日报!C:F,4,0)</f>
        <v>693.08679061457</v>
      </c>
      <c r="N14" s="16">
        <f>VLOOKUP(D:D,美团日报!C:I,7,0)</f>
        <v>19</v>
      </c>
      <c r="O14" s="75">
        <f>VLOOKUP(D:D,饿了么日报!C:F,4,0)</f>
        <v>646.20786717541</v>
      </c>
      <c r="P14" s="16">
        <f>VLOOKUP(D:D,饿了么日报!C:I,7,0)</f>
        <v>22</v>
      </c>
      <c r="Q14" s="87">
        <f t="shared" si="2"/>
        <v>1662.38648209784</v>
      </c>
      <c r="R14" s="88">
        <f t="shared" si="3"/>
        <v>50</v>
      </c>
      <c r="S14" s="89">
        <f t="shared" si="4"/>
        <v>0.302837389736498</v>
      </c>
      <c r="T14" s="90"/>
      <c r="U14" s="90"/>
    </row>
    <row r="15" ht="14.4" spans="1:21">
      <c r="A15" s="27" t="s">
        <v>13</v>
      </c>
      <c r="B15" s="26" t="s">
        <v>48</v>
      </c>
      <c r="C15" s="26" t="s">
        <v>38</v>
      </c>
      <c r="D15" s="16">
        <v>8634</v>
      </c>
      <c r="E15" s="27" t="s">
        <v>81</v>
      </c>
      <c r="F15" s="16" t="s">
        <v>46</v>
      </c>
      <c r="G15" s="26" t="s">
        <v>54</v>
      </c>
      <c r="H15" s="27" t="s">
        <v>82</v>
      </c>
      <c r="I15" s="27">
        <v>120</v>
      </c>
      <c r="J15" s="75">
        <f>VLOOKUP(D15,美团日报!$C:$E,3,0)</f>
        <v>11827.5082</v>
      </c>
      <c r="K15" s="75">
        <f>VLOOKUP(D:D,秒达日报!C:F,4,0)</f>
        <v>212.76106194691</v>
      </c>
      <c r="L15" s="16">
        <f>VLOOKUP(D:D,秒达日报!C:I,7,0)</f>
        <v>7</v>
      </c>
      <c r="M15" s="75">
        <f>VLOOKUP(D:D,美团日报!C:F,4,0)</f>
        <v>494.86725663719</v>
      </c>
      <c r="N15" s="16">
        <f>VLOOKUP(D:D,美团日报!C:I,7,0)</f>
        <v>11</v>
      </c>
      <c r="O15" s="75">
        <f>VLOOKUP(D:D,饿了么日报!C:F,4,0)</f>
        <v>574.93407485589</v>
      </c>
      <c r="P15" s="16">
        <f>VLOOKUP(D:D,饿了么日报!C:I,7,0)</f>
        <v>9</v>
      </c>
      <c r="Q15" s="87">
        <f t="shared" si="2"/>
        <v>1282.56239343999</v>
      </c>
      <c r="R15" s="88">
        <f t="shared" si="3"/>
        <v>27</v>
      </c>
      <c r="S15" s="89">
        <f t="shared" si="4"/>
        <v>0.108438935044661</v>
      </c>
      <c r="T15" s="91"/>
      <c r="U15" s="91"/>
    </row>
    <row r="16" ht="14.4" spans="1:21">
      <c r="A16" s="27" t="s">
        <v>13</v>
      </c>
      <c r="B16" s="26" t="s">
        <v>43</v>
      </c>
      <c r="C16" s="26" t="s">
        <v>83</v>
      </c>
      <c r="D16" s="16">
        <v>8623</v>
      </c>
      <c r="E16" s="27" t="s">
        <v>84</v>
      </c>
      <c r="F16" s="16" t="s">
        <v>46</v>
      </c>
      <c r="G16" s="26" t="s">
        <v>66</v>
      </c>
      <c r="H16" s="27" t="s">
        <v>85</v>
      </c>
      <c r="I16" s="27">
        <v>142</v>
      </c>
      <c r="J16" s="75">
        <f>VLOOKUP(D16,美团日报!$C:$E,3,0)</f>
        <v>6866.9293</v>
      </c>
      <c r="K16" s="75">
        <f>VLOOKUP(D:D,秒达日报!C:F,4,0)</f>
        <v>100.81415929203</v>
      </c>
      <c r="L16" s="16">
        <f>VLOOKUP(D:D,秒达日报!C:I,7,0)</f>
        <v>3</v>
      </c>
      <c r="M16" s="75">
        <f>VLOOKUP(D:D,美团日报!C:F,4,0)</f>
        <v>1122.33579605424</v>
      </c>
      <c r="N16" s="16">
        <f>VLOOKUP(D:D,美团日报!C:I,7,0)</f>
        <v>30</v>
      </c>
      <c r="O16" s="75">
        <f>VLOOKUP(D:D,饿了么日报!C:F,4,0)</f>
        <v>710.1061946903</v>
      </c>
      <c r="P16" s="16">
        <f>VLOOKUP(D:D,饿了么日报!C:I,7,0)</f>
        <v>14</v>
      </c>
      <c r="Q16" s="87">
        <f t="shared" si="2"/>
        <v>1933.25615003657</v>
      </c>
      <c r="R16" s="88">
        <f t="shared" si="3"/>
        <v>47</v>
      </c>
      <c r="S16" s="89">
        <f t="shared" si="4"/>
        <v>0.281531389879982</v>
      </c>
      <c r="T16" s="90"/>
      <c r="U16" s="90"/>
    </row>
    <row r="17" ht="14.4" spans="1:21">
      <c r="A17" s="27" t="s">
        <v>13</v>
      </c>
      <c r="B17" s="26" t="s">
        <v>48</v>
      </c>
      <c r="C17" s="26" t="s">
        <v>86</v>
      </c>
      <c r="D17" s="16">
        <v>8653</v>
      </c>
      <c r="E17" s="27" t="s">
        <v>87</v>
      </c>
      <c r="F17" s="16" t="s">
        <v>40</v>
      </c>
      <c r="G17" s="26" t="s">
        <v>66</v>
      </c>
      <c r="H17" s="27" t="s">
        <v>88</v>
      </c>
      <c r="I17" s="27">
        <v>87</v>
      </c>
      <c r="J17" s="75">
        <f>VLOOKUP(D17,美团日报!$C:$E,3,0)</f>
        <v>3342.9164</v>
      </c>
      <c r="K17" s="75">
        <f>VLOOKUP(D:D,秒达日报!C:F,4,0)</f>
        <v>0</v>
      </c>
      <c r="L17" s="16">
        <f>VLOOKUP(D:D,秒达日报!C:I,7,0)</f>
        <v>0</v>
      </c>
      <c r="M17" s="75">
        <f>VLOOKUP(D:D,美团日报!C:F,4,0)</f>
        <v>222.65405537063</v>
      </c>
      <c r="N17" s="16">
        <f>VLOOKUP(D:D,美团日报!C:I,7,0)</f>
        <v>7</v>
      </c>
      <c r="O17" s="75">
        <f>VLOOKUP(D:D,饿了么日报!C:F,4,0)</f>
        <v>632.08914508403</v>
      </c>
      <c r="P17" s="16">
        <f>VLOOKUP(D:D,饿了么日报!C:I,7,0)</f>
        <v>16</v>
      </c>
      <c r="Q17" s="87">
        <f t="shared" si="2"/>
        <v>854.74320045466</v>
      </c>
      <c r="R17" s="88">
        <f t="shared" si="3"/>
        <v>23</v>
      </c>
      <c r="S17" s="89">
        <f t="shared" si="4"/>
        <v>0.255687877942344</v>
      </c>
      <c r="T17" s="90"/>
      <c r="U17" s="90"/>
    </row>
    <row r="18" ht="14.4" spans="1:21">
      <c r="A18" s="27" t="s">
        <v>13</v>
      </c>
      <c r="B18" s="26" t="s">
        <v>63</v>
      </c>
      <c r="C18" s="26" t="s">
        <v>89</v>
      </c>
      <c r="D18" s="16">
        <v>8622</v>
      </c>
      <c r="E18" s="27" t="s">
        <v>90</v>
      </c>
      <c r="F18" s="16" t="s">
        <v>40</v>
      </c>
      <c r="G18" s="26" t="s">
        <v>91</v>
      </c>
      <c r="H18" s="27" t="s">
        <v>92</v>
      </c>
      <c r="I18" s="27">
        <v>90</v>
      </c>
      <c r="J18" s="75">
        <f>VLOOKUP(D18,美团日报!$C:$E,3,0)</f>
        <v>10514.0517</v>
      </c>
      <c r="K18" s="75">
        <f>VLOOKUP(D:D,秒达日报!C:F,4,0)</f>
        <v>134.77876106194</v>
      </c>
      <c r="L18" s="16">
        <f>VLOOKUP(D:D,秒达日报!C:I,7,0)</f>
        <v>3</v>
      </c>
      <c r="M18" s="75">
        <f>VLOOKUP(D:D,美团日报!C:F,4,0)</f>
        <v>2118.07907769735</v>
      </c>
      <c r="N18" s="16">
        <f>VLOOKUP(D:D,美团日报!C:I,7,0)</f>
        <v>56</v>
      </c>
      <c r="O18" s="75">
        <f>VLOOKUP(D:D,饿了么日报!C:F,4,0)</f>
        <v>1289.76106194689</v>
      </c>
      <c r="P18" s="16">
        <f>VLOOKUP(D:D,饿了么日报!C:I,7,0)</f>
        <v>33</v>
      </c>
      <c r="Q18" s="87">
        <f t="shared" si="2"/>
        <v>3542.61890070618</v>
      </c>
      <c r="R18" s="88">
        <f t="shared" si="3"/>
        <v>92</v>
      </c>
      <c r="S18" s="89">
        <f t="shared" si="4"/>
        <v>0.336941362073213</v>
      </c>
      <c r="T18" s="90"/>
      <c r="U18" s="90"/>
    </row>
    <row r="19" ht="14.4" spans="1:21">
      <c r="A19" s="27" t="s">
        <v>13</v>
      </c>
      <c r="B19" s="26" t="s">
        <v>48</v>
      </c>
      <c r="C19" s="26" t="s">
        <v>76</v>
      </c>
      <c r="D19" s="16">
        <v>8614</v>
      </c>
      <c r="E19" s="27" t="s">
        <v>93</v>
      </c>
      <c r="F19" s="16" t="s">
        <v>40</v>
      </c>
      <c r="G19" s="26" t="s">
        <v>41</v>
      </c>
      <c r="H19" s="27" t="s">
        <v>94</v>
      </c>
      <c r="I19" s="27">
        <v>85</v>
      </c>
      <c r="J19" s="75">
        <f>VLOOKUP(D19,美团日报!$C:$E,3,0)</f>
        <v>8560.2456</v>
      </c>
      <c r="K19" s="75">
        <f>VLOOKUP(D:D,秒达日报!C:F,4,0)</f>
        <v>1676.32654055352</v>
      </c>
      <c r="L19" s="16">
        <f>VLOOKUP(D:D,秒达日报!C:I,7,0)</f>
        <v>71</v>
      </c>
      <c r="M19" s="75">
        <f>VLOOKUP(D:D,美团日报!C:F,4,0)</f>
        <v>57.5221238938</v>
      </c>
      <c r="N19" s="16">
        <f>VLOOKUP(D:D,美团日报!C:I,7,0)</f>
        <v>1</v>
      </c>
      <c r="O19" s="75">
        <f>VLOOKUP(D:D,饿了么日报!C:F,4,0)</f>
        <v>153.5132743363</v>
      </c>
      <c r="P19" s="16">
        <f>VLOOKUP(D:D,饿了么日报!C:I,7,0)</f>
        <v>3</v>
      </c>
      <c r="Q19" s="87">
        <f t="shared" si="2"/>
        <v>1887.36193878362</v>
      </c>
      <c r="R19" s="88">
        <f t="shared" si="3"/>
        <v>75</v>
      </c>
      <c r="S19" s="89">
        <f t="shared" si="4"/>
        <v>0.220479881883718</v>
      </c>
      <c r="T19" s="90"/>
      <c r="U19" s="90"/>
    </row>
    <row r="20" ht="14.4" spans="1:21">
      <c r="A20" s="27" t="s">
        <v>13</v>
      </c>
      <c r="B20" s="26" t="s">
        <v>56</v>
      </c>
      <c r="C20" s="26" t="s">
        <v>83</v>
      </c>
      <c r="D20" s="16">
        <v>8625</v>
      </c>
      <c r="E20" s="27" t="s">
        <v>95</v>
      </c>
      <c r="F20" s="16" t="s">
        <v>40</v>
      </c>
      <c r="G20" s="26" t="s">
        <v>41</v>
      </c>
      <c r="H20" s="27" t="s">
        <v>96</v>
      </c>
      <c r="I20" s="27">
        <v>100</v>
      </c>
      <c r="J20" s="75">
        <f>VLOOKUP(D20,美团日报!$C:$E,3,0)</f>
        <v>7384.6683</v>
      </c>
      <c r="K20" s="75">
        <f>VLOOKUP(D:D,秒达日报!C:F,4,0)</f>
        <v>134.36145165219</v>
      </c>
      <c r="L20" s="16">
        <f>VLOOKUP(D:D,秒达日报!C:I,7,0)</f>
        <v>4</v>
      </c>
      <c r="M20" s="75">
        <f>VLOOKUP(D:D,美团日报!C:F,4,0)</f>
        <v>2227.17057725087</v>
      </c>
      <c r="N20" s="16">
        <f>VLOOKUP(D:D,美团日报!C:I,7,0)</f>
        <v>57</v>
      </c>
      <c r="O20" s="75">
        <f>VLOOKUP(D:D,饿了么日报!C:F,4,0)</f>
        <v>1663.8099050092</v>
      </c>
      <c r="P20" s="16">
        <f>VLOOKUP(D:D,饿了么日报!C:I,7,0)</f>
        <v>48</v>
      </c>
      <c r="Q20" s="87">
        <f t="shared" si="2"/>
        <v>4025.34193391226</v>
      </c>
      <c r="R20" s="88">
        <f t="shared" si="3"/>
        <v>109</v>
      </c>
      <c r="S20" s="89">
        <f t="shared" si="4"/>
        <v>0.545094480941312</v>
      </c>
      <c r="T20" s="90"/>
      <c r="U20" s="90"/>
    </row>
    <row r="21" ht="14.4" spans="1:21">
      <c r="A21" s="27" t="s">
        <v>13</v>
      </c>
      <c r="B21" s="26" t="s">
        <v>48</v>
      </c>
      <c r="C21" s="26" t="s">
        <v>52</v>
      </c>
      <c r="D21" s="16">
        <v>8655</v>
      </c>
      <c r="E21" s="27" t="s">
        <v>97</v>
      </c>
      <c r="F21" s="16" t="s">
        <v>46</v>
      </c>
      <c r="G21" s="26" t="s">
        <v>54</v>
      </c>
      <c r="H21" s="27" t="s">
        <v>98</v>
      </c>
      <c r="I21" s="27">
        <v>106.15</v>
      </c>
      <c r="J21" s="75">
        <f>VLOOKUP(D21,美团日报!$C:$E,3,0)</f>
        <v>10609.3829</v>
      </c>
      <c r="K21" s="75">
        <f>VLOOKUP(D:D,秒达日报!C:F,4,0)</f>
        <v>514.29325322721</v>
      </c>
      <c r="L21" s="16">
        <f>VLOOKUP(D:D,秒达日报!C:I,7,0)</f>
        <v>11</v>
      </c>
      <c r="M21" s="75">
        <f>VLOOKUP(D:D,美团日报!C:F,4,0)</f>
        <v>363.02589916376</v>
      </c>
      <c r="N21" s="16">
        <f>VLOOKUP(D:D,美团日报!C:I,7,0)</f>
        <v>6</v>
      </c>
      <c r="O21" s="75">
        <f>VLOOKUP(D:D,饿了么日报!C:F,4,0)</f>
        <v>472.69911504426</v>
      </c>
      <c r="P21" s="16">
        <f>VLOOKUP(D:D,饿了么日报!C:I,7,0)</f>
        <v>12</v>
      </c>
      <c r="Q21" s="87">
        <f t="shared" si="2"/>
        <v>1350.01826743523</v>
      </c>
      <c r="R21" s="88">
        <f t="shared" si="3"/>
        <v>29</v>
      </c>
      <c r="S21" s="89">
        <f t="shared" si="4"/>
        <v>0.127247576994816</v>
      </c>
      <c r="T21" s="90"/>
      <c r="U21" s="90"/>
    </row>
    <row r="22" ht="14.4" spans="1:21">
      <c r="A22" s="27" t="s">
        <v>13</v>
      </c>
      <c r="B22" s="26" t="s">
        <v>56</v>
      </c>
      <c r="C22" s="26" t="s">
        <v>99</v>
      </c>
      <c r="D22" s="16">
        <v>8651</v>
      </c>
      <c r="E22" s="27" t="s">
        <v>100</v>
      </c>
      <c r="F22" s="16" t="s">
        <v>40</v>
      </c>
      <c r="G22" s="26" t="s">
        <v>66</v>
      </c>
      <c r="H22" s="27" t="s">
        <v>101</v>
      </c>
      <c r="I22" s="27">
        <v>95</v>
      </c>
      <c r="J22" s="75">
        <f>VLOOKUP(D22,美团日报!$C:$E,3,0)</f>
        <v>10740.3633</v>
      </c>
      <c r="K22" s="75">
        <f>VLOOKUP(D:D,秒达日报!C:F,4,0)</f>
        <v>151.238938053089</v>
      </c>
      <c r="L22" s="16">
        <f>VLOOKUP(D:D,秒达日报!C:I,7,0)</f>
        <v>4</v>
      </c>
      <c r="M22" s="75">
        <f>VLOOKUP(D:D,美团日报!C:F,4,0)</f>
        <v>2329.57822521708</v>
      </c>
      <c r="N22" s="16">
        <f>VLOOKUP(D:D,美团日报!C:I,7,0)</f>
        <v>60</v>
      </c>
      <c r="O22" s="75">
        <f>VLOOKUP(D:D,饿了么日报!C:F,4,0)</f>
        <v>2039.50661687079</v>
      </c>
      <c r="P22" s="16">
        <f>VLOOKUP(D:D,饿了么日报!C:I,7,0)</f>
        <v>51</v>
      </c>
      <c r="Q22" s="87">
        <f t="shared" si="2"/>
        <v>4520.32378014096</v>
      </c>
      <c r="R22" s="88">
        <f t="shared" si="3"/>
        <v>115</v>
      </c>
      <c r="S22" s="89">
        <f t="shared" si="4"/>
        <v>0.420872521150282</v>
      </c>
      <c r="T22" s="90"/>
      <c r="U22" s="90"/>
    </row>
    <row r="23" ht="14.4" spans="1:21">
      <c r="A23" s="27" t="s">
        <v>13</v>
      </c>
      <c r="B23" s="26" t="s">
        <v>63</v>
      </c>
      <c r="C23" s="26" t="s">
        <v>57</v>
      </c>
      <c r="D23" s="16">
        <v>8647</v>
      </c>
      <c r="E23" s="27" t="s">
        <v>102</v>
      </c>
      <c r="F23" s="16" t="s">
        <v>40</v>
      </c>
      <c r="G23" s="26" t="s">
        <v>66</v>
      </c>
      <c r="H23" s="27" t="s">
        <v>103</v>
      </c>
      <c r="I23" s="27">
        <v>140</v>
      </c>
      <c r="J23" s="75">
        <f>VLOOKUP(D23,美团日报!$C:$E,3,0)</f>
        <v>5690.7758</v>
      </c>
      <c r="K23" s="75">
        <f>VLOOKUP(D:D,秒达日报!C:F,4,0)</f>
        <v>41.0176991150399</v>
      </c>
      <c r="L23" s="16">
        <f>VLOOKUP(D:D,秒达日报!C:I,7,0)</f>
        <v>1</v>
      </c>
      <c r="M23" s="75">
        <f>VLOOKUP(D:D,美团日报!C:F,4,0)</f>
        <v>562.45433141182</v>
      </c>
      <c r="N23" s="16">
        <f>VLOOKUP(D:D,美团日报!C:I,7,0)</f>
        <v>14</v>
      </c>
      <c r="O23" s="75">
        <f>VLOOKUP(D:D,饿了么日报!C:F,4,0)</f>
        <v>391.9869286352</v>
      </c>
      <c r="P23" s="16">
        <f>VLOOKUP(D:D,饿了么日报!C:I,7,0)</f>
        <v>11</v>
      </c>
      <c r="Q23" s="87">
        <f t="shared" si="2"/>
        <v>995.45895916206</v>
      </c>
      <c r="R23" s="88">
        <f t="shared" si="3"/>
        <v>26</v>
      </c>
      <c r="S23" s="89">
        <f t="shared" si="4"/>
        <v>0.174925000412432</v>
      </c>
      <c r="T23" s="90"/>
      <c r="U23" s="90"/>
    </row>
    <row r="24" ht="14.4" spans="1:21">
      <c r="A24" s="27" t="s">
        <v>13</v>
      </c>
      <c r="B24" s="26" t="s">
        <v>56</v>
      </c>
      <c r="C24" s="26" t="e">
        <v>#N/A</v>
      </c>
      <c r="D24" s="16">
        <v>8631</v>
      </c>
      <c r="E24" s="27" t="s">
        <v>104</v>
      </c>
      <c r="F24" s="16" t="e">
        <v>#N/A</v>
      </c>
      <c r="G24" s="26" t="e">
        <v>#N/A</v>
      </c>
      <c r="H24" s="27" t="s">
        <v>105</v>
      </c>
      <c r="I24" s="27">
        <v>106</v>
      </c>
      <c r="J24" s="75">
        <f>VLOOKUP(D24,美团日报!$C:$E,3,0)</f>
        <v>0</v>
      </c>
      <c r="K24" s="75">
        <f>VLOOKUP(D:D,秒达日报!C:F,4,0)</f>
        <v>0</v>
      </c>
      <c r="L24" s="16">
        <f>VLOOKUP(D:D,秒达日报!C:I,7,0)</f>
        <v>0</v>
      </c>
      <c r="M24" s="75">
        <f>VLOOKUP(D:D,美团日报!C:F,4,0)</f>
        <v>0</v>
      </c>
      <c r="N24" s="16">
        <f>VLOOKUP(D:D,美团日报!C:I,7,0)</f>
        <v>0</v>
      </c>
      <c r="O24" s="75">
        <f>VLOOKUP(D:D,饿了么日报!C:F,4,0)</f>
        <v>0</v>
      </c>
      <c r="P24" s="16">
        <f>VLOOKUP(D:D,饿了么日报!C:I,7,0)</f>
        <v>0</v>
      </c>
      <c r="Q24" s="87">
        <f t="shared" si="2"/>
        <v>0</v>
      </c>
      <c r="R24" s="88">
        <f t="shared" si="3"/>
        <v>0</v>
      </c>
      <c r="S24" s="89" t="e">
        <f t="shared" si="4"/>
        <v>#DIV/0!</v>
      </c>
      <c r="T24" s="90"/>
      <c r="U24" s="90"/>
    </row>
    <row r="25" ht="14.4" spans="1:21">
      <c r="A25" s="27" t="s">
        <v>13</v>
      </c>
      <c r="B25" s="26" t="e">
        <v>#N/A</v>
      </c>
      <c r="C25" s="26" t="s">
        <v>60</v>
      </c>
      <c r="D25" s="16">
        <v>8656</v>
      </c>
      <c r="E25" s="27" t="s">
        <v>106</v>
      </c>
      <c r="F25" s="16" t="s">
        <v>40</v>
      </c>
      <c r="G25" s="26" t="s">
        <v>41</v>
      </c>
      <c r="H25" s="27" t="s">
        <v>107</v>
      </c>
      <c r="I25" s="27">
        <v>78.35</v>
      </c>
      <c r="J25" s="75">
        <f>VLOOKUP(D25,美团日报!$C:$E,3,0)</f>
        <v>5771.653</v>
      </c>
      <c r="K25" s="75">
        <f>VLOOKUP(D:D,秒达日报!C:F,4,0)</f>
        <v>142.61061946901</v>
      </c>
      <c r="L25" s="16">
        <f>VLOOKUP(D:D,秒达日报!C:I,7,0)</f>
        <v>3</v>
      </c>
      <c r="M25" s="75">
        <f>VLOOKUP(D:D,美团日报!C:F,4,0)</f>
        <v>500.69026548668</v>
      </c>
      <c r="N25" s="16">
        <f>VLOOKUP(D:D,美团日报!C:I,7,0)</f>
        <v>9</v>
      </c>
      <c r="O25" s="75">
        <f>VLOOKUP(D:D,饿了么日报!C:F,4,0)</f>
        <v>1009.19776731336</v>
      </c>
      <c r="P25" s="16">
        <f>VLOOKUP(D:D,饿了么日报!C:I,7,0)</f>
        <v>23</v>
      </c>
      <c r="Q25" s="87">
        <f t="shared" si="2"/>
        <v>1652.49865226905</v>
      </c>
      <c r="R25" s="88">
        <f t="shared" si="3"/>
        <v>35</v>
      </c>
      <c r="S25" s="89">
        <f t="shared" si="4"/>
        <v>0.286312890305264</v>
      </c>
      <c r="T25" s="90"/>
      <c r="U25" s="90"/>
    </row>
    <row r="26" ht="14.4" spans="1:21">
      <c r="A26" s="27" t="s">
        <v>13</v>
      </c>
      <c r="B26" s="26" t="s">
        <v>63</v>
      </c>
      <c r="C26" s="26" t="s">
        <v>108</v>
      </c>
      <c r="D26" s="16">
        <v>8645</v>
      </c>
      <c r="E26" s="27" t="s">
        <v>109</v>
      </c>
      <c r="F26" s="16" t="s">
        <v>40</v>
      </c>
      <c r="G26" s="26" t="s">
        <v>54</v>
      </c>
      <c r="H26" s="27" t="s">
        <v>110</v>
      </c>
      <c r="I26" s="27">
        <v>135.9</v>
      </c>
      <c r="J26" s="75">
        <f>VLOOKUP(D26,美团日报!$C:$E,3,0)</f>
        <v>3778.4918</v>
      </c>
      <c r="K26" s="75">
        <f>VLOOKUP(D:D,秒达日报!C:F,4,0)</f>
        <v>89.81083055938</v>
      </c>
      <c r="L26" s="16">
        <f>VLOOKUP(D:D,秒达日报!C:I,7,0)</f>
        <v>2</v>
      </c>
      <c r="M26" s="75">
        <f>VLOOKUP(D:D,美团日报!C:F,4,0)</f>
        <v>294.74466184942</v>
      </c>
      <c r="N26" s="16">
        <f>VLOOKUP(D:D,美团日报!C:I,7,0)</f>
        <v>7</v>
      </c>
      <c r="O26" s="75">
        <f>VLOOKUP(D:D,饿了么日报!C:F,4,0)</f>
        <v>660.53148493944</v>
      </c>
      <c r="P26" s="16">
        <f>VLOOKUP(D:D,饿了么日报!C:I,7,0)</f>
        <v>21</v>
      </c>
      <c r="Q26" s="87">
        <f t="shared" si="2"/>
        <v>1045.08697734824</v>
      </c>
      <c r="R26" s="88">
        <f t="shared" si="3"/>
        <v>30</v>
      </c>
      <c r="S26" s="89">
        <f t="shared" si="4"/>
        <v>0.276588393641145</v>
      </c>
      <c r="T26" s="90"/>
      <c r="U26" s="90"/>
    </row>
    <row r="27" ht="14.4" spans="1:21">
      <c r="A27" s="27" t="s">
        <v>13</v>
      </c>
      <c r="B27" s="26" t="s">
        <v>63</v>
      </c>
      <c r="C27" s="26" t="s">
        <v>111</v>
      </c>
      <c r="D27" s="16">
        <v>8607</v>
      </c>
      <c r="E27" s="27" t="s">
        <v>112</v>
      </c>
      <c r="F27" s="16" t="s">
        <v>40</v>
      </c>
      <c r="G27" s="26" t="s">
        <v>54</v>
      </c>
      <c r="H27" s="27" t="s">
        <v>113</v>
      </c>
      <c r="I27" s="27">
        <v>75.89</v>
      </c>
      <c r="J27" s="75">
        <f>VLOOKUP(D27,美团日报!$C:$E,3,0)</f>
        <v>8816.8897</v>
      </c>
      <c r="K27" s="75">
        <f>VLOOKUP(D:D,秒达日报!C:F,4,0)</f>
        <v>98.3185840707895</v>
      </c>
      <c r="L27" s="16">
        <f>VLOOKUP(D:D,秒达日报!C:I,7,0)</f>
        <v>3</v>
      </c>
      <c r="M27" s="75">
        <f>VLOOKUP(D:D,美团日报!C:F,4,0)</f>
        <v>2462.67987334556</v>
      </c>
      <c r="N27" s="16">
        <f>VLOOKUP(D:D,美团日报!C:I,7,0)</f>
        <v>56</v>
      </c>
      <c r="O27" s="75">
        <f>VLOOKUP(D:D,饿了么日报!C:F,4,0)</f>
        <v>1610.12797759192</v>
      </c>
      <c r="P27" s="16">
        <f>VLOOKUP(D:D,饿了么日报!C:I,7,0)</f>
        <v>47</v>
      </c>
      <c r="Q27" s="87">
        <f t="shared" si="2"/>
        <v>4171.12643500827</v>
      </c>
      <c r="R27" s="88">
        <f t="shared" si="3"/>
        <v>106</v>
      </c>
      <c r="S27" s="89">
        <f t="shared" si="4"/>
        <v>0.473083658402608</v>
      </c>
      <c r="T27" s="90"/>
      <c r="U27" s="90"/>
    </row>
    <row r="28" ht="14.4" spans="1:21">
      <c r="A28" s="27" t="s">
        <v>13</v>
      </c>
      <c r="B28" s="26" t="s">
        <v>48</v>
      </c>
      <c r="C28" s="26" t="s">
        <v>111</v>
      </c>
      <c r="D28" s="16">
        <v>8658</v>
      </c>
      <c r="E28" s="27" t="s">
        <v>114</v>
      </c>
      <c r="F28" s="16" t="s">
        <v>46</v>
      </c>
      <c r="G28" s="26" t="s">
        <v>66</v>
      </c>
      <c r="H28" s="27" t="s">
        <v>115</v>
      </c>
      <c r="I28" s="27">
        <v>130</v>
      </c>
      <c r="J28" s="75">
        <f>VLOOKUP(D28,美团日报!$C:$E,3,0)</f>
        <v>8410.1373</v>
      </c>
      <c r="K28" s="75">
        <f>VLOOKUP(D:D,秒达日报!C:F,4,0)</f>
        <v>429.89380530974</v>
      </c>
      <c r="L28" s="16">
        <f>VLOOKUP(D:D,秒达日报!C:I,7,0)</f>
        <v>13</v>
      </c>
      <c r="M28" s="75">
        <f>VLOOKUP(D:D,美团日报!C:F,4,0)</f>
        <v>806.6017699114</v>
      </c>
      <c r="N28" s="16">
        <f>VLOOKUP(D:D,美团日报!C:I,7,0)</f>
        <v>21</v>
      </c>
      <c r="O28" s="75">
        <f>VLOOKUP(D:D,饿了么日报!C:F,4,0)</f>
        <v>854.02760412439</v>
      </c>
      <c r="P28" s="16">
        <f>VLOOKUP(D:D,饿了么日报!C:I,7,0)</f>
        <v>15</v>
      </c>
      <c r="Q28" s="87">
        <f t="shared" si="2"/>
        <v>2090.52317934553</v>
      </c>
      <c r="R28" s="88">
        <f t="shared" si="3"/>
        <v>49</v>
      </c>
      <c r="S28" s="89">
        <f t="shared" si="4"/>
        <v>0.248571825259682</v>
      </c>
      <c r="T28" s="90"/>
      <c r="U28" s="90"/>
    </row>
    <row r="29" ht="14.4" spans="1:21">
      <c r="A29" s="27" t="s">
        <v>13</v>
      </c>
      <c r="B29" s="26" t="s">
        <v>48</v>
      </c>
      <c r="C29" s="26" t="s">
        <v>70</v>
      </c>
      <c r="D29" s="16">
        <v>8637</v>
      </c>
      <c r="E29" s="27" t="s">
        <v>116</v>
      </c>
      <c r="F29" s="16" t="s">
        <v>40</v>
      </c>
      <c r="G29" s="26" t="s">
        <v>66</v>
      </c>
      <c r="H29" s="27" t="s">
        <v>117</v>
      </c>
      <c r="I29" s="27">
        <v>90</v>
      </c>
      <c r="J29" s="75">
        <f>VLOOKUP(D29,美团日报!$C:$E,3,0)</f>
        <v>8921.8529</v>
      </c>
      <c r="K29" s="75">
        <f>VLOOKUP(D:D,秒达日报!C:F,4,0)</f>
        <v>122.84955752215</v>
      </c>
      <c r="L29" s="16">
        <f>VLOOKUP(D:D,秒达日报!C:I,7,0)</f>
        <v>4</v>
      </c>
      <c r="M29" s="75">
        <f>VLOOKUP(D:D,美团日报!C:F,4,0)</f>
        <v>1443.44645611743</v>
      </c>
      <c r="N29" s="16">
        <f>VLOOKUP(D:D,美团日报!C:I,7,0)</f>
        <v>31</v>
      </c>
      <c r="O29" s="75">
        <f>VLOOKUP(D:D,饿了么日报!C:F,4,0)</f>
        <v>870.23195583334</v>
      </c>
      <c r="P29" s="16">
        <f>VLOOKUP(D:D,饿了么日报!C:I,7,0)</f>
        <v>21</v>
      </c>
      <c r="Q29" s="87">
        <f t="shared" si="2"/>
        <v>2436.52796947292</v>
      </c>
      <c r="R29" s="88">
        <f t="shared" si="3"/>
        <v>56</v>
      </c>
      <c r="S29" s="89">
        <f t="shared" si="4"/>
        <v>0.273096631023015</v>
      </c>
      <c r="T29" s="90"/>
      <c r="U29" s="90"/>
    </row>
    <row r="30" ht="14.4" spans="1:21">
      <c r="A30" s="27" t="s">
        <v>13</v>
      </c>
      <c r="B30" s="26" t="s">
        <v>56</v>
      </c>
      <c r="C30" s="26" t="s">
        <v>118</v>
      </c>
      <c r="D30" s="16">
        <v>8630</v>
      </c>
      <c r="E30" s="27" t="s">
        <v>119</v>
      </c>
      <c r="F30" s="16" t="s">
        <v>40</v>
      </c>
      <c r="G30" s="26" t="s">
        <v>41</v>
      </c>
      <c r="H30" s="27" t="s">
        <v>120</v>
      </c>
      <c r="I30" s="27">
        <v>84</v>
      </c>
      <c r="J30" s="75">
        <f>VLOOKUP(D30,美团日报!$C:$E,3,0)</f>
        <v>6367.5363</v>
      </c>
      <c r="K30" s="75">
        <f>VLOOKUP(D:D,秒达日报!C:F,4,0)</f>
        <v>345.47535925951</v>
      </c>
      <c r="L30" s="16">
        <f>VLOOKUP(D:D,秒达日报!C:I,7,0)</f>
        <v>7</v>
      </c>
      <c r="M30" s="75">
        <f>VLOOKUP(D:D,美团日报!C:F,4,0)</f>
        <v>1081.31525533809</v>
      </c>
      <c r="N30" s="16">
        <f>VLOOKUP(D:D,美团日报!C:I,7,0)</f>
        <v>24</v>
      </c>
      <c r="O30" s="75">
        <f>VLOOKUP(D:D,饿了么日报!C:F,4,0)</f>
        <v>1163.83683526826</v>
      </c>
      <c r="P30" s="16">
        <f>VLOOKUP(D:D,饿了么日报!C:I,7,0)</f>
        <v>35</v>
      </c>
      <c r="Q30" s="87">
        <f t="shared" si="2"/>
        <v>2590.62744986586</v>
      </c>
      <c r="R30" s="88">
        <f t="shared" si="3"/>
        <v>66</v>
      </c>
      <c r="S30" s="89">
        <f t="shared" si="4"/>
        <v>0.40684926285632</v>
      </c>
      <c r="T30" s="90"/>
      <c r="U30" s="90"/>
    </row>
    <row r="31" ht="14.4" spans="1:21">
      <c r="A31" s="27" t="s">
        <v>13</v>
      </c>
      <c r="B31" s="26" t="s">
        <v>56</v>
      </c>
      <c r="C31" s="26" t="e">
        <v>#N/A</v>
      </c>
      <c r="D31" s="16">
        <v>8672</v>
      </c>
      <c r="E31" s="27" t="s">
        <v>121</v>
      </c>
      <c r="F31" s="16" t="e">
        <v>#N/A</v>
      </c>
      <c r="G31" s="26" t="e">
        <v>#N/A</v>
      </c>
      <c r="H31" s="27" t="s">
        <v>122</v>
      </c>
      <c r="I31" s="27">
        <v>116</v>
      </c>
      <c r="J31" s="75">
        <f>VLOOKUP(D31,美团日报!$C:$E,3,0)</f>
        <v>0</v>
      </c>
      <c r="K31" s="75">
        <f>VLOOKUP(D:D,秒达日报!C:F,4,0)</f>
        <v>0</v>
      </c>
      <c r="L31" s="16">
        <f>VLOOKUP(D:D,秒达日报!C:I,7,0)</f>
        <v>0</v>
      </c>
      <c r="M31" s="75">
        <f>VLOOKUP(D:D,美团日报!C:F,4,0)</f>
        <v>0</v>
      </c>
      <c r="N31" s="16">
        <f>VLOOKUP(D:D,美团日报!C:I,7,0)</f>
        <v>0</v>
      </c>
      <c r="O31" s="75">
        <f>VLOOKUP(D:D,饿了么日报!C:F,4,0)</f>
        <v>0</v>
      </c>
      <c r="P31" s="16">
        <f>VLOOKUP(D:D,饿了么日报!C:I,7,0)</f>
        <v>0</v>
      </c>
      <c r="Q31" s="87">
        <f t="shared" si="2"/>
        <v>0</v>
      </c>
      <c r="R31" s="88">
        <f t="shared" si="3"/>
        <v>0</v>
      </c>
      <c r="S31" s="89" t="e">
        <f t="shared" si="4"/>
        <v>#DIV/0!</v>
      </c>
      <c r="T31" s="90"/>
      <c r="U31" s="90"/>
    </row>
    <row r="32" ht="14.4" spans="1:21">
      <c r="A32" s="27" t="s">
        <v>13</v>
      </c>
      <c r="B32" s="26" t="e">
        <v>#N/A</v>
      </c>
      <c r="C32" s="26" t="s">
        <v>86</v>
      </c>
      <c r="D32" s="16">
        <v>8626</v>
      </c>
      <c r="E32" s="27" t="s">
        <v>123</v>
      </c>
      <c r="F32" s="16" t="s">
        <v>40</v>
      </c>
      <c r="G32" s="26" t="s">
        <v>66</v>
      </c>
      <c r="H32" s="27" t="s">
        <v>124</v>
      </c>
      <c r="I32" s="27">
        <v>86.04</v>
      </c>
      <c r="J32" s="75">
        <f>VLOOKUP(D32,美团日报!$C:$E,3,0)</f>
        <v>5891.4408</v>
      </c>
      <c r="K32" s="75">
        <f>VLOOKUP(D:D,秒达日报!C:F,4,0)</f>
        <v>46.21238938052</v>
      </c>
      <c r="L32" s="16">
        <f>VLOOKUP(D:D,秒达日报!C:I,7,0)</f>
        <v>2</v>
      </c>
      <c r="M32" s="75">
        <f>VLOOKUP(D:D,美团日报!C:F,4,0)</f>
        <v>546.99115044244</v>
      </c>
      <c r="N32" s="16">
        <f>VLOOKUP(D:D,美团日报!C:I,7,0)</f>
        <v>11</v>
      </c>
      <c r="O32" s="75">
        <f>VLOOKUP(D:D,饿了么日报!C:F,4,0)</f>
        <v>535.73875943811</v>
      </c>
      <c r="P32" s="16">
        <f>VLOOKUP(D:D,饿了么日报!C:I,7,0)</f>
        <v>15</v>
      </c>
      <c r="Q32" s="87">
        <f t="shared" si="2"/>
        <v>1128.94229926107</v>
      </c>
      <c r="R32" s="88">
        <f t="shared" si="3"/>
        <v>28</v>
      </c>
      <c r="S32" s="89">
        <f t="shared" si="4"/>
        <v>0.1916241438361</v>
      </c>
      <c r="T32" s="90"/>
      <c r="U32" s="90"/>
    </row>
    <row r="33" ht="14.4" spans="1:21">
      <c r="A33" s="27" t="s">
        <v>13</v>
      </c>
      <c r="B33" s="26" t="s">
        <v>63</v>
      </c>
      <c r="C33" s="26" t="e">
        <v>#N/A</v>
      </c>
      <c r="D33" s="16">
        <v>8640</v>
      </c>
      <c r="E33" s="27" t="s">
        <v>125</v>
      </c>
      <c r="F33" s="16" t="e">
        <v>#N/A</v>
      </c>
      <c r="G33" s="26" t="e">
        <v>#N/A</v>
      </c>
      <c r="H33" s="27" t="s">
        <v>126</v>
      </c>
      <c r="I33" s="27">
        <v>46</v>
      </c>
      <c r="J33" s="75">
        <f>VLOOKUP(D33,美团日报!$C:$E,3,0)</f>
        <v>0</v>
      </c>
      <c r="K33" s="75">
        <f>VLOOKUP(D:D,秒达日报!C:F,4,0)</f>
        <v>0</v>
      </c>
      <c r="L33" s="16">
        <f>VLOOKUP(D:D,秒达日报!C:I,7,0)</f>
        <v>0</v>
      </c>
      <c r="M33" s="75">
        <f>VLOOKUP(D:D,美团日报!C:F,4,0)</f>
        <v>0</v>
      </c>
      <c r="N33" s="16">
        <f>VLOOKUP(D:D,美团日报!C:I,7,0)</f>
        <v>0</v>
      </c>
      <c r="O33" s="75">
        <f>VLOOKUP(D:D,饿了么日报!C:F,4,0)</f>
        <v>0</v>
      </c>
      <c r="P33" s="16">
        <f>VLOOKUP(D:D,饿了么日报!C:I,7,0)</f>
        <v>0</v>
      </c>
      <c r="Q33" s="87">
        <f t="shared" si="2"/>
        <v>0</v>
      </c>
      <c r="R33" s="88">
        <f t="shared" si="3"/>
        <v>0</v>
      </c>
      <c r="S33" s="89" t="e">
        <f t="shared" si="4"/>
        <v>#DIV/0!</v>
      </c>
      <c r="T33" s="90"/>
      <c r="U33" s="90"/>
    </row>
    <row r="34" ht="14.4" spans="1:21">
      <c r="A34" s="27" t="s">
        <v>13</v>
      </c>
      <c r="B34" s="26" t="e">
        <v>#N/A</v>
      </c>
      <c r="C34" s="26" t="s">
        <v>60</v>
      </c>
      <c r="D34" s="16">
        <v>8638</v>
      </c>
      <c r="E34" s="27" t="s">
        <v>127</v>
      </c>
      <c r="F34" s="16" t="s">
        <v>40</v>
      </c>
      <c r="G34" s="26" t="s">
        <v>66</v>
      </c>
      <c r="H34" s="27" t="s">
        <v>128</v>
      </c>
      <c r="I34" s="27">
        <v>113.68</v>
      </c>
      <c r="J34" s="75">
        <f>VLOOKUP(D34,美团日报!$C:$E,3,0)</f>
        <v>7565.1295</v>
      </c>
      <c r="K34" s="75">
        <f>VLOOKUP(D:D,秒达日报!C:F,4,0)</f>
        <v>278.08419257932</v>
      </c>
      <c r="L34" s="16">
        <f>VLOOKUP(D:D,秒达日报!C:I,7,0)</f>
        <v>8</v>
      </c>
      <c r="M34" s="75">
        <f>VLOOKUP(D:D,美团日报!C:F,4,0)</f>
        <v>2876.96094828257</v>
      </c>
      <c r="N34" s="16">
        <f>VLOOKUP(D:D,美团日报!C:I,7,0)</f>
        <v>73</v>
      </c>
      <c r="O34" s="75">
        <f>VLOOKUP(D:D,饿了么日报!C:F,4,0)</f>
        <v>1248.39059835975</v>
      </c>
      <c r="P34" s="16">
        <f>VLOOKUP(D:D,饿了么日报!C:I,7,0)</f>
        <v>41</v>
      </c>
      <c r="Q34" s="87">
        <f t="shared" si="2"/>
        <v>4403.43573922164</v>
      </c>
      <c r="R34" s="88">
        <f t="shared" si="3"/>
        <v>122</v>
      </c>
      <c r="S34" s="89">
        <f t="shared" si="4"/>
        <v>0.5820701072231</v>
      </c>
      <c r="T34" s="90"/>
      <c r="U34" s="90"/>
    </row>
    <row r="35" ht="14.4" spans="1:21">
      <c r="A35" s="27" t="s">
        <v>13</v>
      </c>
      <c r="B35" s="26" t="s">
        <v>63</v>
      </c>
      <c r="C35" s="26" t="s">
        <v>108</v>
      </c>
      <c r="D35" s="16">
        <v>8610</v>
      </c>
      <c r="E35" s="27" t="s">
        <v>129</v>
      </c>
      <c r="F35" s="16" t="s">
        <v>40</v>
      </c>
      <c r="G35" s="26" t="s">
        <v>66</v>
      </c>
      <c r="H35" s="27" t="s">
        <v>130</v>
      </c>
      <c r="I35" s="27">
        <v>88</v>
      </c>
      <c r="J35" s="75">
        <f>VLOOKUP(D35,美团日报!$C:$E,3,0)</f>
        <v>10042.8102</v>
      </c>
      <c r="K35" s="75">
        <f>VLOOKUP(D:D,秒达日报!C:F,4,0)</f>
        <v>25.22123893805</v>
      </c>
      <c r="L35" s="16">
        <f>VLOOKUP(D:D,秒达日报!C:I,7,0)</f>
        <v>1</v>
      </c>
      <c r="M35" s="75">
        <f>VLOOKUP(D:D,美团日报!C:F,4,0)</f>
        <v>976.24583908414</v>
      </c>
      <c r="N35" s="16">
        <f>VLOOKUP(D:D,美团日报!C:I,7,0)</f>
        <v>21</v>
      </c>
      <c r="O35" s="75">
        <f>VLOOKUP(D:D,饿了么日报!C:F,4,0)</f>
        <v>709.10481448407</v>
      </c>
      <c r="P35" s="16">
        <f>VLOOKUP(D:D,饿了么日报!C:I,7,0)</f>
        <v>21</v>
      </c>
      <c r="Q35" s="87">
        <f t="shared" si="2"/>
        <v>1710.57189250626</v>
      </c>
      <c r="R35" s="88">
        <f t="shared" si="3"/>
        <v>43</v>
      </c>
      <c r="S35" s="89">
        <f t="shared" si="4"/>
        <v>0.170328011626294</v>
      </c>
      <c r="T35" s="90"/>
      <c r="U35" s="90"/>
    </row>
    <row r="36" ht="14.4" spans="1:21">
      <c r="A36" s="27" t="s">
        <v>13</v>
      </c>
      <c r="B36" s="26" t="s">
        <v>63</v>
      </c>
      <c r="C36" s="26" t="s">
        <v>131</v>
      </c>
      <c r="D36" s="16">
        <v>8633</v>
      </c>
      <c r="E36" s="27" t="s">
        <v>132</v>
      </c>
      <c r="F36" s="16" t="s">
        <v>40</v>
      </c>
      <c r="G36" s="26" t="s">
        <v>133</v>
      </c>
      <c r="H36" s="27" t="s">
        <v>134</v>
      </c>
      <c r="I36" s="27">
        <v>98.14</v>
      </c>
      <c r="J36" s="75">
        <f>VLOOKUP(D36,美团日报!$C:$E,3,0)</f>
        <v>7633.1084</v>
      </c>
      <c r="K36" s="75">
        <f>VLOOKUP(D:D,秒达日报!C:F,4,0)</f>
        <v>195.1035154664</v>
      </c>
      <c r="L36" s="16">
        <f>VLOOKUP(D:D,秒达日报!C:I,7,0)</f>
        <v>6</v>
      </c>
      <c r="M36" s="75">
        <f>VLOOKUP(D:D,美团日报!C:F,4,0)</f>
        <v>1221.26413087593</v>
      </c>
      <c r="N36" s="16">
        <f>VLOOKUP(D:D,美团日报!C:I,7,0)</f>
        <v>31</v>
      </c>
      <c r="O36" s="75">
        <f>VLOOKUP(D:D,饿了么日报!C:F,4,0)</f>
        <v>1078.7079646017</v>
      </c>
      <c r="P36" s="16">
        <f>VLOOKUP(D:D,饿了么日报!C:I,7,0)</f>
        <v>31</v>
      </c>
      <c r="Q36" s="87">
        <f t="shared" si="2"/>
        <v>2495.07561094403</v>
      </c>
      <c r="R36" s="88">
        <f t="shared" si="3"/>
        <v>68</v>
      </c>
      <c r="S36" s="89">
        <f t="shared" si="4"/>
        <v>0.32687543268009</v>
      </c>
      <c r="T36" s="90"/>
      <c r="U36" s="90"/>
    </row>
    <row r="37" ht="14.4" spans="1:21">
      <c r="A37" s="27" t="s">
        <v>13</v>
      </c>
      <c r="B37" s="26" t="s">
        <v>43</v>
      </c>
      <c r="C37" s="26" t="s">
        <v>70</v>
      </c>
      <c r="D37" s="16">
        <v>8612</v>
      </c>
      <c r="E37" s="27" t="s">
        <v>135</v>
      </c>
      <c r="F37" s="16" t="s">
        <v>40</v>
      </c>
      <c r="G37" s="26" t="s">
        <v>41</v>
      </c>
      <c r="H37" s="27" t="s">
        <v>136</v>
      </c>
      <c r="I37" s="27">
        <v>95</v>
      </c>
      <c r="J37" s="75">
        <f>VLOOKUP(D37,美团日报!$C:$E,3,0)</f>
        <v>4427.5418</v>
      </c>
      <c r="K37" s="75">
        <f>VLOOKUP(D:D,秒达日报!C:F,4,0)</f>
        <v>228.7610619469</v>
      </c>
      <c r="L37" s="16">
        <f>VLOOKUP(D:D,秒达日报!C:I,7,0)</f>
        <v>4</v>
      </c>
      <c r="M37" s="75">
        <f>VLOOKUP(D:D,美团日报!C:F,4,0)</f>
        <v>683.38053097334</v>
      </c>
      <c r="N37" s="16">
        <f>VLOOKUP(D:D,美团日报!C:I,7,0)</f>
        <v>19</v>
      </c>
      <c r="O37" s="75">
        <f>VLOOKUP(D:D,饿了么日报!C:F,4,0)</f>
        <v>862.26678574322</v>
      </c>
      <c r="P37" s="16">
        <f>VLOOKUP(D:D,饿了么日报!C:I,7,0)</f>
        <v>23</v>
      </c>
      <c r="Q37" s="87">
        <f t="shared" si="2"/>
        <v>1774.40837866346</v>
      </c>
      <c r="R37" s="88">
        <f t="shared" si="3"/>
        <v>46</v>
      </c>
      <c r="S37" s="89">
        <f t="shared" si="4"/>
        <v>0.400766036508895</v>
      </c>
      <c r="T37" s="90"/>
      <c r="U37" s="90"/>
    </row>
    <row r="38" ht="14.4" spans="1:21">
      <c r="A38" s="27" t="s">
        <v>13</v>
      </c>
      <c r="B38" s="26" t="s">
        <v>56</v>
      </c>
      <c r="C38" s="26" t="s">
        <v>44</v>
      </c>
      <c r="D38" s="16">
        <v>8674</v>
      </c>
      <c r="E38" s="27" t="s">
        <v>137</v>
      </c>
      <c r="F38" s="16" t="s">
        <v>40</v>
      </c>
      <c r="G38" s="26" t="s">
        <v>66</v>
      </c>
      <c r="H38" s="27" t="s">
        <v>138</v>
      </c>
      <c r="I38" s="27">
        <v>83.72</v>
      </c>
      <c r="J38" s="75">
        <f>VLOOKUP(D38,美团日报!$C:$E,3,0)</f>
        <v>4618.6337</v>
      </c>
      <c r="K38" s="75">
        <f>VLOOKUP(D:D,秒达日报!C:F,4,0)</f>
        <v>62.69911504424</v>
      </c>
      <c r="L38" s="16">
        <f>VLOOKUP(D:D,秒达日报!C:I,7,0)</f>
        <v>2</v>
      </c>
      <c r="M38" s="75">
        <f>VLOOKUP(D:D,美团日报!C:F,4,0)</f>
        <v>364.93464317607</v>
      </c>
      <c r="N38" s="16">
        <f>VLOOKUP(D:D,美团日报!C:I,7,0)</f>
        <v>7</v>
      </c>
      <c r="O38" s="75">
        <f>VLOOKUP(D:D,饿了么日报!C:F,4,0)</f>
        <v>951.79434927331</v>
      </c>
      <c r="P38" s="16">
        <f>VLOOKUP(D:D,饿了么日报!C:I,7,0)</f>
        <v>26</v>
      </c>
      <c r="Q38" s="87">
        <f t="shared" si="2"/>
        <v>1379.42810749362</v>
      </c>
      <c r="R38" s="88">
        <f t="shared" si="3"/>
        <v>35</v>
      </c>
      <c r="S38" s="89">
        <f t="shared" si="4"/>
        <v>0.298665838664283</v>
      </c>
      <c r="T38" s="90"/>
      <c r="U38" s="90"/>
    </row>
    <row r="39" ht="14.4" spans="1:21">
      <c r="A39" s="27" t="s">
        <v>13</v>
      </c>
      <c r="B39" s="26" t="s">
        <v>48</v>
      </c>
      <c r="C39" s="26" t="s">
        <v>44</v>
      </c>
      <c r="D39" s="16">
        <v>8654</v>
      </c>
      <c r="E39" s="27" t="s">
        <v>139</v>
      </c>
      <c r="F39" s="16" t="s">
        <v>40</v>
      </c>
      <c r="G39" s="26" t="s">
        <v>54</v>
      </c>
      <c r="H39" s="27" t="s">
        <v>140</v>
      </c>
      <c r="I39" s="27">
        <v>106.85</v>
      </c>
      <c r="J39" s="75">
        <f>VLOOKUP(D39,美团日报!$C:$E,3,0)</f>
        <v>7688.6698</v>
      </c>
      <c r="K39" s="75">
        <f>VLOOKUP(D:D,秒达日报!C:F,4,0)</f>
        <v>302.75221238932</v>
      </c>
      <c r="L39" s="16">
        <f>VLOOKUP(D:D,秒达日报!C:I,7,0)</f>
        <v>16</v>
      </c>
      <c r="M39" s="75">
        <f>VLOOKUP(D:D,美团日报!C:F,4,0)</f>
        <v>3417.88233336028</v>
      </c>
      <c r="N39" s="16">
        <f>VLOOKUP(D:D,美团日报!C:I,7,0)</f>
        <v>70</v>
      </c>
      <c r="O39" s="75">
        <f>VLOOKUP(D:D,饿了么日报!C:F,4,0)</f>
        <v>1298.75903223179</v>
      </c>
      <c r="P39" s="16">
        <f>VLOOKUP(D:D,饿了么日报!C:I,7,0)</f>
        <v>42</v>
      </c>
      <c r="Q39" s="87">
        <f t="shared" si="2"/>
        <v>5019.39357798139</v>
      </c>
      <c r="R39" s="88">
        <f t="shared" si="3"/>
        <v>128</v>
      </c>
      <c r="S39" s="89">
        <f t="shared" si="4"/>
        <v>0.652829905373409</v>
      </c>
      <c r="T39" s="90"/>
      <c r="U39" s="90"/>
    </row>
    <row r="40" ht="14.4" spans="1:21">
      <c r="A40" s="27" t="s">
        <v>13</v>
      </c>
      <c r="B40" s="26" t="s">
        <v>48</v>
      </c>
      <c r="C40" s="26" t="s">
        <v>108</v>
      </c>
      <c r="D40" s="16">
        <v>8601</v>
      </c>
      <c r="E40" s="27" t="s">
        <v>141</v>
      </c>
      <c r="F40" s="16" t="s">
        <v>40</v>
      </c>
      <c r="G40" s="26" t="s">
        <v>66</v>
      </c>
      <c r="H40" s="27" t="s">
        <v>142</v>
      </c>
      <c r="I40" s="27">
        <v>83</v>
      </c>
      <c r="J40" s="75">
        <f>VLOOKUP(D40,美团日报!$C:$E,3,0)</f>
        <v>4284.3379</v>
      </c>
      <c r="K40" s="75">
        <f>VLOOKUP(D:D,秒达日报!C:F,4,0)</f>
        <v>406.54867256637</v>
      </c>
      <c r="L40" s="16">
        <f>VLOOKUP(D:D,秒达日报!C:I,7,0)</f>
        <v>8</v>
      </c>
      <c r="M40" s="75">
        <f>VLOOKUP(D:D,美团日报!C:F,4,0)</f>
        <v>314.31517414951</v>
      </c>
      <c r="N40" s="16">
        <f>VLOOKUP(D:D,美团日报!C:I,7,0)</f>
        <v>7</v>
      </c>
      <c r="O40" s="75">
        <f>VLOOKUP(D:D,饿了么日报!C:F,4,0)</f>
        <v>374.0340992125</v>
      </c>
      <c r="P40" s="16">
        <f>VLOOKUP(D:D,饿了么日报!C:I,7,0)</f>
        <v>9</v>
      </c>
      <c r="Q40" s="87">
        <f t="shared" si="2"/>
        <v>1094.89794592838</v>
      </c>
      <c r="R40" s="88">
        <f t="shared" si="3"/>
        <v>24</v>
      </c>
      <c r="S40" s="89">
        <f t="shared" si="4"/>
        <v>0.255558261622731</v>
      </c>
      <c r="T40" s="90"/>
      <c r="U40" s="90"/>
    </row>
    <row r="41" ht="14.4" spans="1:21">
      <c r="A41" s="27" t="s">
        <v>13</v>
      </c>
      <c r="B41" s="26" t="s">
        <v>63</v>
      </c>
      <c r="C41" s="26" t="s">
        <v>143</v>
      </c>
      <c r="D41" s="16">
        <v>8629</v>
      </c>
      <c r="E41" s="27" t="s">
        <v>144</v>
      </c>
      <c r="F41" s="16" t="s">
        <v>46</v>
      </c>
      <c r="G41" s="26" t="s">
        <v>54</v>
      </c>
      <c r="H41" s="27" t="s">
        <v>145</v>
      </c>
      <c r="I41" s="27">
        <v>150</v>
      </c>
      <c r="J41" s="75">
        <f>VLOOKUP(D41,美团日报!$C:$E,3,0)</f>
        <v>17782.2976</v>
      </c>
      <c r="K41" s="75">
        <f>VLOOKUP(D:D,秒达日报!C:F,4,0)</f>
        <v>778.2972663797</v>
      </c>
      <c r="L41" s="16">
        <f>VLOOKUP(D:D,秒达日报!C:I,7,0)</f>
        <v>24</v>
      </c>
      <c r="M41" s="75">
        <f>VLOOKUP(D:D,美团日报!C:F,4,0)</f>
        <v>207.12105220423</v>
      </c>
      <c r="N41" s="16">
        <f>VLOOKUP(D:D,美团日报!C:I,7,0)</f>
        <v>5</v>
      </c>
      <c r="O41" s="75">
        <f>VLOOKUP(D:D,饿了么日报!C:F,4,0)</f>
        <v>470.82869205164</v>
      </c>
      <c r="P41" s="16">
        <f>VLOOKUP(D:D,饿了么日报!C:I,7,0)</f>
        <v>12</v>
      </c>
      <c r="Q41" s="87">
        <f t="shared" si="2"/>
        <v>1456.24701063557</v>
      </c>
      <c r="R41" s="88">
        <f t="shared" si="3"/>
        <v>41</v>
      </c>
      <c r="S41" s="89">
        <f t="shared" si="4"/>
        <v>0.0818930738531544</v>
      </c>
      <c r="T41" s="90"/>
      <c r="U41" s="90"/>
    </row>
    <row r="42" ht="14.4" spans="1:21">
      <c r="A42" s="27" t="s">
        <v>13</v>
      </c>
      <c r="B42" s="26" t="s">
        <v>43</v>
      </c>
      <c r="C42" s="26" t="e">
        <v>#N/A</v>
      </c>
      <c r="D42" s="16">
        <v>8676</v>
      </c>
      <c r="E42" s="27" t="s">
        <v>146</v>
      </c>
      <c r="F42" s="16" t="e">
        <v>#N/A</v>
      </c>
      <c r="G42" s="26" t="e">
        <v>#N/A</v>
      </c>
      <c r="H42" s="27" t="s">
        <v>147</v>
      </c>
      <c r="I42" s="27">
        <v>100</v>
      </c>
      <c r="J42" s="75">
        <f>VLOOKUP(D42,美团日报!$C:$E,3,0)</f>
        <v>0</v>
      </c>
      <c r="K42" s="75">
        <f>VLOOKUP(D:D,秒达日报!C:F,4,0)</f>
        <v>0</v>
      </c>
      <c r="L42" s="16">
        <f>VLOOKUP(D:D,秒达日报!C:I,7,0)</f>
        <v>0</v>
      </c>
      <c r="M42" s="75">
        <f>VLOOKUP(D:D,美团日报!C:F,4,0)</f>
        <v>0</v>
      </c>
      <c r="N42" s="16">
        <f>VLOOKUP(D:D,美团日报!C:I,7,0)</f>
        <v>0</v>
      </c>
      <c r="O42" s="75">
        <f>VLOOKUP(D:D,饿了么日报!C:F,4,0)</f>
        <v>0</v>
      </c>
      <c r="P42" s="16">
        <f>VLOOKUP(D:D,饿了么日报!C:I,7,0)</f>
        <v>0</v>
      </c>
      <c r="Q42" s="87">
        <f t="shared" si="2"/>
        <v>0</v>
      </c>
      <c r="R42" s="88">
        <f t="shared" si="3"/>
        <v>0</v>
      </c>
      <c r="S42" s="89" t="e">
        <f t="shared" si="4"/>
        <v>#DIV/0!</v>
      </c>
      <c r="T42" s="90"/>
      <c r="U42" s="90"/>
    </row>
    <row r="43" ht="14.4" spans="1:21">
      <c r="A43" s="27" t="s">
        <v>13</v>
      </c>
      <c r="B43" s="26" t="e">
        <v>#N/A</v>
      </c>
      <c r="C43" s="26" t="s">
        <v>99</v>
      </c>
      <c r="D43" s="16">
        <v>8602</v>
      </c>
      <c r="E43" s="27" t="s">
        <v>148</v>
      </c>
      <c r="F43" s="16" t="s">
        <v>40</v>
      </c>
      <c r="G43" s="26" t="s">
        <v>66</v>
      </c>
      <c r="H43" s="27" t="s">
        <v>149</v>
      </c>
      <c r="I43" s="27">
        <v>117</v>
      </c>
      <c r="J43" s="75">
        <f>VLOOKUP(D43,美团日报!$C:$E,3,0)</f>
        <v>7365.873</v>
      </c>
      <c r="K43" s="75">
        <f>VLOOKUP(D:D,秒达日报!C:F,4,0)</f>
        <v>357.17699115041</v>
      </c>
      <c r="L43" s="16">
        <f>VLOOKUP(D:D,秒达日报!C:I,7,0)</f>
        <v>7</v>
      </c>
      <c r="M43" s="75">
        <f>VLOOKUP(D:D,美团日报!C:F,4,0)</f>
        <v>1682.73491921727</v>
      </c>
      <c r="N43" s="16">
        <f>VLOOKUP(D:D,美团日报!C:I,7,0)</f>
        <v>38</v>
      </c>
      <c r="O43" s="75">
        <f>VLOOKUP(D:D,饿了么日报!C:F,4,0)</f>
        <v>1224.94998782164</v>
      </c>
      <c r="P43" s="16">
        <f>VLOOKUP(D:D,饿了么日报!C:I,7,0)</f>
        <v>37</v>
      </c>
      <c r="Q43" s="87">
        <f t="shared" si="2"/>
        <v>3264.86189818932</v>
      </c>
      <c r="R43" s="88">
        <f t="shared" si="3"/>
        <v>82</v>
      </c>
      <c r="S43" s="89">
        <f t="shared" si="4"/>
        <v>0.443241676606333</v>
      </c>
      <c r="T43" s="90"/>
      <c r="U43" s="90"/>
    </row>
    <row r="44" ht="14.4" spans="1:21">
      <c r="A44" s="27" t="s">
        <v>13</v>
      </c>
      <c r="B44" s="26" t="s">
        <v>63</v>
      </c>
      <c r="C44" s="26" t="s">
        <v>118</v>
      </c>
      <c r="D44" s="16">
        <v>8661</v>
      </c>
      <c r="E44" s="27" t="s">
        <v>150</v>
      </c>
      <c r="F44" s="16" t="s">
        <v>40</v>
      </c>
      <c r="G44" s="26" t="s">
        <v>66</v>
      </c>
      <c r="H44" s="27" t="s">
        <v>151</v>
      </c>
      <c r="I44" s="27">
        <v>150</v>
      </c>
      <c r="J44" s="75">
        <f>VLOOKUP(D44,美团日报!$C:$E,3,0)</f>
        <v>10607.3592</v>
      </c>
      <c r="K44" s="75">
        <f>VLOOKUP(D:D,秒达日报!C:F,4,0)</f>
        <v>97.9999999999695</v>
      </c>
      <c r="L44" s="16">
        <f>VLOOKUP(D:D,秒达日报!C:I,7,0)</f>
        <v>5</v>
      </c>
      <c r="M44" s="75">
        <f>VLOOKUP(D:D,美团日报!C:F,4,0)</f>
        <v>3469.16586831188</v>
      </c>
      <c r="N44" s="16">
        <f>VLOOKUP(D:D,美团日报!C:I,7,0)</f>
        <v>87</v>
      </c>
      <c r="O44" s="75">
        <f>VLOOKUP(D:D,饿了么日报!C:F,4,0)</f>
        <v>2269.81821872189</v>
      </c>
      <c r="P44" s="16">
        <f>VLOOKUP(D:D,饿了么日报!C:I,7,0)</f>
        <v>64</v>
      </c>
      <c r="Q44" s="87">
        <f t="shared" si="2"/>
        <v>5836.98408703374</v>
      </c>
      <c r="R44" s="88">
        <f t="shared" si="3"/>
        <v>156</v>
      </c>
      <c r="S44" s="89">
        <f t="shared" si="4"/>
        <v>0.550276838653087</v>
      </c>
      <c r="T44" s="90"/>
      <c r="U44" s="90"/>
    </row>
    <row r="45" ht="14.4" spans="1:21">
      <c r="A45" s="27" t="s">
        <v>13</v>
      </c>
      <c r="B45" s="26" t="s">
        <v>56</v>
      </c>
      <c r="C45" s="26" t="s">
        <v>152</v>
      </c>
      <c r="D45" s="16">
        <v>8665</v>
      </c>
      <c r="E45" s="27" t="s">
        <v>153</v>
      </c>
      <c r="F45" s="16" t="s">
        <v>46</v>
      </c>
      <c r="G45" s="26" t="s">
        <v>66</v>
      </c>
      <c r="H45" s="27" t="s">
        <v>154</v>
      </c>
      <c r="I45" s="27">
        <v>150</v>
      </c>
      <c r="J45" s="75">
        <f>VLOOKUP(D45,美团日报!$C:$E,3,0)</f>
        <v>6267.4401</v>
      </c>
      <c r="K45" s="75">
        <f>VLOOKUP(D:D,秒达日报!C:F,4,0)</f>
        <v>151.9347243647</v>
      </c>
      <c r="L45" s="16">
        <f>VLOOKUP(D:D,秒达日报!C:I,7,0)</f>
        <v>3</v>
      </c>
      <c r="M45" s="75">
        <f>VLOOKUP(D:D,美团日报!C:F,4,0)</f>
        <v>1772.41844605009</v>
      </c>
      <c r="N45" s="16">
        <f>VLOOKUP(D:D,美团日报!C:I,7,0)</f>
        <v>42</v>
      </c>
      <c r="O45" s="75">
        <f>VLOOKUP(D:D,饿了么日报!C:F,4,0)</f>
        <v>982.58407079638</v>
      </c>
      <c r="P45" s="16">
        <f>VLOOKUP(D:D,饿了么日报!C:I,7,0)</f>
        <v>31</v>
      </c>
      <c r="Q45" s="87">
        <f t="shared" si="2"/>
        <v>2906.93724121117</v>
      </c>
      <c r="R45" s="88">
        <f t="shared" si="3"/>
        <v>76</v>
      </c>
      <c r="S45" s="89">
        <f t="shared" si="4"/>
        <v>0.463815719788239</v>
      </c>
      <c r="T45" s="90"/>
      <c r="U45" s="90"/>
    </row>
    <row r="46" ht="14.4" spans="1:21">
      <c r="A46" s="27" t="s">
        <v>13</v>
      </c>
      <c r="B46" s="26" t="s">
        <v>63</v>
      </c>
      <c r="C46" s="26" t="s">
        <v>108</v>
      </c>
      <c r="D46" s="16">
        <v>8642</v>
      </c>
      <c r="E46" s="27" t="s">
        <v>155</v>
      </c>
      <c r="F46" s="16" t="s">
        <v>40</v>
      </c>
      <c r="G46" s="26" t="s">
        <v>54</v>
      </c>
      <c r="H46" s="27" t="s">
        <v>156</v>
      </c>
      <c r="I46" s="27">
        <v>105</v>
      </c>
      <c r="J46" s="75">
        <f>VLOOKUP(D46,美团日报!$C:$E,3,0)</f>
        <v>7054.7823</v>
      </c>
      <c r="K46" s="75">
        <f>VLOOKUP(D:D,秒达日报!C:F,4,0)</f>
        <v>125.02581797515</v>
      </c>
      <c r="L46" s="16">
        <f>VLOOKUP(D:D,秒达日报!C:I,7,0)</f>
        <v>3</v>
      </c>
      <c r="M46" s="75">
        <f>VLOOKUP(D:D,美团日报!C:F,4,0)</f>
        <v>274.77876106195</v>
      </c>
      <c r="N46" s="16">
        <f>VLOOKUP(D:D,美团日报!C:I,7,0)</f>
        <v>6</v>
      </c>
      <c r="O46" s="75">
        <f>VLOOKUP(D:D,饿了么日报!C:F,4,0)</f>
        <v>204.49557522124</v>
      </c>
      <c r="P46" s="16">
        <f>VLOOKUP(D:D,饿了么日报!C:I,7,0)</f>
        <v>6</v>
      </c>
      <c r="Q46" s="87">
        <f t="shared" si="2"/>
        <v>604.30015425834</v>
      </c>
      <c r="R46" s="88">
        <f t="shared" si="3"/>
        <v>15</v>
      </c>
      <c r="S46" s="89">
        <f t="shared" si="4"/>
        <v>0.0856582284981834</v>
      </c>
      <c r="T46" s="90"/>
      <c r="U46" s="90"/>
    </row>
    <row r="47" ht="14.4" spans="1:21">
      <c r="A47" s="27" t="s">
        <v>13</v>
      </c>
      <c r="B47" s="26" t="s">
        <v>63</v>
      </c>
      <c r="C47" s="26" t="s">
        <v>70</v>
      </c>
      <c r="D47" s="16">
        <v>8644</v>
      </c>
      <c r="E47" s="27" t="s">
        <v>157</v>
      </c>
      <c r="F47" s="16" t="s">
        <v>40</v>
      </c>
      <c r="G47" s="26" t="s">
        <v>66</v>
      </c>
      <c r="H47" s="27" t="s">
        <v>158</v>
      </c>
      <c r="I47" s="27">
        <v>129</v>
      </c>
      <c r="J47" s="75">
        <f>VLOOKUP(D47,美团日报!$C:$E,3,0)</f>
        <v>5018.9736</v>
      </c>
      <c r="K47" s="75">
        <f>VLOOKUP(D:D,秒达日报!C:F,4,0)</f>
        <v>0</v>
      </c>
      <c r="L47" s="16">
        <f>VLOOKUP(D:D,秒达日报!C:I,7,0)</f>
        <v>0</v>
      </c>
      <c r="M47" s="75">
        <f>VLOOKUP(D:D,美团日报!C:F,4,0)</f>
        <v>618.31135828528</v>
      </c>
      <c r="N47" s="16">
        <f>VLOOKUP(D:D,美团日报!C:I,7,0)</f>
        <v>13</v>
      </c>
      <c r="O47" s="75">
        <f>VLOOKUP(D:D,饿了么日报!C:F,4,0)</f>
        <v>453.52212389381</v>
      </c>
      <c r="P47" s="16">
        <f>VLOOKUP(D:D,饿了么日报!C:I,7,0)</f>
        <v>12</v>
      </c>
      <c r="Q47" s="87">
        <f t="shared" si="2"/>
        <v>1071.83348217909</v>
      </c>
      <c r="R47" s="88">
        <f t="shared" si="3"/>
        <v>25</v>
      </c>
      <c r="S47" s="89">
        <f t="shared" si="4"/>
        <v>0.213556310035002</v>
      </c>
      <c r="T47" s="90"/>
      <c r="U47" s="90"/>
    </row>
    <row r="48" ht="14.4" spans="1:21">
      <c r="A48" s="27" t="s">
        <v>13</v>
      </c>
      <c r="B48" s="26" t="s">
        <v>56</v>
      </c>
      <c r="C48" s="26" t="s">
        <v>118</v>
      </c>
      <c r="D48" s="16">
        <v>8671</v>
      </c>
      <c r="E48" s="27" t="s">
        <v>159</v>
      </c>
      <c r="F48" s="16" t="s">
        <v>40</v>
      </c>
      <c r="G48" s="26" t="s">
        <v>66</v>
      </c>
      <c r="H48" s="27" t="s">
        <v>160</v>
      </c>
      <c r="I48" s="27">
        <v>79.16</v>
      </c>
      <c r="J48" s="75">
        <f>VLOOKUP(D48,美团日报!$C:$E,3,0)</f>
        <v>8623.7971</v>
      </c>
      <c r="K48" s="75">
        <f>VLOOKUP(D:D,秒达日报!C:F,4,0)</f>
        <v>308.74750345049</v>
      </c>
      <c r="L48" s="16">
        <f>VLOOKUP(D:D,秒达日报!C:I,7,0)</f>
        <v>7</v>
      </c>
      <c r="M48" s="75">
        <f>VLOOKUP(D:D,美团日报!C:F,4,0)</f>
        <v>3672.51311195902</v>
      </c>
      <c r="N48" s="16">
        <f>VLOOKUP(D:D,美团日报!C:I,7,0)</f>
        <v>77</v>
      </c>
      <c r="O48" s="75">
        <f>VLOOKUP(D:D,饿了么日报!C:F,4,0)</f>
        <v>1718.99561581548</v>
      </c>
      <c r="P48" s="16">
        <f>VLOOKUP(D:D,饿了么日报!C:I,7,0)</f>
        <v>45</v>
      </c>
      <c r="Q48" s="87">
        <f t="shared" si="2"/>
        <v>5700.25623122499</v>
      </c>
      <c r="R48" s="88">
        <f t="shared" si="3"/>
        <v>129</v>
      </c>
      <c r="S48" s="89">
        <f t="shared" si="4"/>
        <v>0.660991459461052</v>
      </c>
      <c r="T48" s="90"/>
      <c r="U48" s="90"/>
    </row>
    <row r="49" ht="14.4" spans="1:21">
      <c r="A49" s="27" t="s">
        <v>13</v>
      </c>
      <c r="B49" s="26" t="s">
        <v>56</v>
      </c>
      <c r="C49" s="26" t="s">
        <v>161</v>
      </c>
      <c r="D49" s="16">
        <v>8657</v>
      </c>
      <c r="E49" s="27" t="s">
        <v>162</v>
      </c>
      <c r="F49" s="16" t="s">
        <v>40</v>
      </c>
      <c r="G49" s="26" t="s">
        <v>41</v>
      </c>
      <c r="H49" s="27" t="s">
        <v>163</v>
      </c>
      <c r="I49" s="27">
        <v>129</v>
      </c>
      <c r="J49" s="75">
        <f>VLOOKUP(D49,美团日报!$C:$E,3,0)</f>
        <v>7426.7198</v>
      </c>
      <c r="K49" s="75">
        <f>VLOOKUP(D:D,秒达日报!C:F,4,0)</f>
        <v>28.9380530973301</v>
      </c>
      <c r="L49" s="16">
        <f>VLOOKUP(D:D,秒达日报!C:I,7,0)</f>
        <v>2</v>
      </c>
      <c r="M49" s="75">
        <f>VLOOKUP(D:D,美团日报!C:F,4,0)</f>
        <v>821.42242429158</v>
      </c>
      <c r="N49" s="16">
        <f>VLOOKUP(D:D,美团日报!C:I,7,0)</f>
        <v>20</v>
      </c>
      <c r="O49" s="75">
        <f>VLOOKUP(D:D,饿了么日报!C:F,4,0)</f>
        <v>292.58001136635</v>
      </c>
      <c r="P49" s="16">
        <f>VLOOKUP(D:D,饿了么日报!C:I,7,0)</f>
        <v>9</v>
      </c>
      <c r="Q49" s="87">
        <f t="shared" si="2"/>
        <v>1142.94048875526</v>
      </c>
      <c r="R49" s="88">
        <f t="shared" si="3"/>
        <v>31</v>
      </c>
      <c r="S49" s="89">
        <f t="shared" si="4"/>
        <v>0.153895733181594</v>
      </c>
      <c r="T49" s="90"/>
      <c r="U49" s="90"/>
    </row>
    <row r="50" ht="14.4" spans="1:21">
      <c r="A50" s="27" t="s">
        <v>13</v>
      </c>
      <c r="B50" s="26" t="s">
        <v>43</v>
      </c>
      <c r="C50" s="26" t="e">
        <v>#N/A</v>
      </c>
      <c r="D50" s="16">
        <v>8660</v>
      </c>
      <c r="E50" s="27" t="s">
        <v>164</v>
      </c>
      <c r="F50" s="16" t="e">
        <v>#N/A</v>
      </c>
      <c r="G50" s="26" t="e">
        <v>#N/A</v>
      </c>
      <c r="H50" s="27" t="s">
        <v>165</v>
      </c>
      <c r="I50" s="27">
        <v>116</v>
      </c>
      <c r="J50" s="75">
        <f>VLOOKUP(D50,美团日报!$C:$E,3,0)</f>
        <v>0</v>
      </c>
      <c r="K50" s="75">
        <f>VLOOKUP(D:D,秒达日报!C:F,4,0)</f>
        <v>0</v>
      </c>
      <c r="L50" s="16">
        <f>VLOOKUP(D:D,秒达日报!C:I,7,0)</f>
        <v>0</v>
      </c>
      <c r="M50" s="75">
        <f>VLOOKUP(D:D,美团日报!C:F,4,0)</f>
        <v>0</v>
      </c>
      <c r="N50" s="16">
        <f>VLOOKUP(D:D,美团日报!C:I,7,0)</f>
        <v>0</v>
      </c>
      <c r="O50" s="75">
        <f>VLOOKUP(D:D,饿了么日报!C:F,4,0)</f>
        <v>0</v>
      </c>
      <c r="P50" s="16">
        <f>VLOOKUP(D:D,饿了么日报!C:I,7,0)</f>
        <v>0</v>
      </c>
      <c r="Q50" s="87">
        <f t="shared" si="2"/>
        <v>0</v>
      </c>
      <c r="R50" s="88">
        <f t="shared" si="3"/>
        <v>0</v>
      </c>
      <c r="S50" s="89" t="e">
        <f t="shared" si="4"/>
        <v>#DIV/0!</v>
      </c>
      <c r="T50" s="90"/>
      <c r="U50" s="90"/>
    </row>
    <row r="51" ht="14.4" spans="1:21">
      <c r="A51" s="27" t="s">
        <v>13</v>
      </c>
      <c r="B51" s="26" t="e">
        <v>#N/A</v>
      </c>
      <c r="C51" s="26" t="s">
        <v>64</v>
      </c>
      <c r="D51" s="16">
        <v>8668</v>
      </c>
      <c r="E51" s="27" t="s">
        <v>166</v>
      </c>
      <c r="F51" s="16" t="s">
        <v>46</v>
      </c>
      <c r="G51" s="26" t="s">
        <v>54</v>
      </c>
      <c r="H51" s="27" t="s">
        <v>167</v>
      </c>
      <c r="I51" s="27">
        <v>86.65</v>
      </c>
      <c r="J51" s="75">
        <f>VLOOKUP(D51,美团日报!$C:$E,3,0)</f>
        <v>4905.8484</v>
      </c>
      <c r="K51" s="75">
        <f>VLOOKUP(D:D,秒达日报!C:F,4,0)</f>
        <v>74.6902654867299</v>
      </c>
      <c r="L51" s="16">
        <f>VLOOKUP(D:D,秒达日报!C:I,7,0)</f>
        <v>1</v>
      </c>
      <c r="M51" s="75">
        <f>VLOOKUP(D:D,美团日报!C:F,4,0)</f>
        <v>682.80668994066</v>
      </c>
      <c r="N51" s="16">
        <f>VLOOKUP(D:D,美团日报!C:I,7,0)</f>
        <v>15</v>
      </c>
      <c r="O51" s="75">
        <f>VLOOKUP(D:D,饿了么日报!C:F,4,0)</f>
        <v>796.9263051068</v>
      </c>
      <c r="P51" s="16">
        <f>VLOOKUP(D:D,饿了么日报!C:I,7,0)</f>
        <v>21</v>
      </c>
      <c r="Q51" s="87">
        <f t="shared" si="2"/>
        <v>1554.42326053419</v>
      </c>
      <c r="R51" s="88">
        <f t="shared" si="3"/>
        <v>37</v>
      </c>
      <c r="S51" s="89">
        <f t="shared" si="4"/>
        <v>0.316851058938998</v>
      </c>
      <c r="T51" s="90"/>
      <c r="U51" s="90"/>
    </row>
    <row r="52" ht="14.4" spans="1:21">
      <c r="A52" s="27" t="s">
        <v>13</v>
      </c>
      <c r="B52" s="26" t="s">
        <v>48</v>
      </c>
      <c r="C52" s="26" t="s">
        <v>168</v>
      </c>
      <c r="D52" s="16">
        <v>8680</v>
      </c>
      <c r="E52" s="27" t="s">
        <v>169</v>
      </c>
      <c r="F52" s="16" t="s">
        <v>46</v>
      </c>
      <c r="G52" s="26" t="s">
        <v>66</v>
      </c>
      <c r="H52" s="27" t="s">
        <v>170</v>
      </c>
      <c r="I52" s="27">
        <v>123.47</v>
      </c>
      <c r="J52" s="75">
        <f>VLOOKUP(D52,美团日报!$C:$E,3,0)</f>
        <v>6415.0378</v>
      </c>
      <c r="K52" s="75">
        <f>VLOOKUP(D:D,秒达日报!C:F,4,0)</f>
        <v>250.61946902651</v>
      </c>
      <c r="L52" s="16">
        <f>VLOOKUP(D:D,秒达日报!C:I,7,0)</f>
        <v>7</v>
      </c>
      <c r="M52" s="75">
        <f>VLOOKUP(D:D,美团日报!C:F,4,0)</f>
        <v>279.04278639279</v>
      </c>
      <c r="N52" s="16">
        <f>VLOOKUP(D:D,美团日报!C:I,7,0)</f>
        <v>9</v>
      </c>
      <c r="O52" s="75">
        <f>VLOOKUP(D:D,饿了么日报!C:F,4,0)</f>
        <v>332.89380530971</v>
      </c>
      <c r="P52" s="16">
        <f>VLOOKUP(D:D,饿了么日报!C:I,7,0)</f>
        <v>9</v>
      </c>
      <c r="Q52" s="87">
        <f t="shared" si="2"/>
        <v>862.55606072901</v>
      </c>
      <c r="R52" s="88">
        <f t="shared" si="3"/>
        <v>25</v>
      </c>
      <c r="S52" s="89">
        <f t="shared" si="4"/>
        <v>0.134458453343644</v>
      </c>
      <c r="T52" s="90"/>
      <c r="U52" s="90"/>
    </row>
    <row r="53" ht="14.4" spans="1:21">
      <c r="A53" s="27" t="s">
        <v>13</v>
      </c>
      <c r="B53" s="26" t="s">
        <v>63</v>
      </c>
      <c r="C53" s="26" t="s">
        <v>52</v>
      </c>
      <c r="D53" s="16">
        <v>8681</v>
      </c>
      <c r="E53" s="27" t="s">
        <v>171</v>
      </c>
      <c r="F53" s="16" t="s">
        <v>40</v>
      </c>
      <c r="G53" s="26" t="s">
        <v>41</v>
      </c>
      <c r="H53" s="27" t="s">
        <v>172</v>
      </c>
      <c r="I53" s="27">
        <v>90</v>
      </c>
      <c r="J53" s="75">
        <f>VLOOKUP(D53,美团日报!$C:$E,3,0)</f>
        <v>10859.0732</v>
      </c>
      <c r="K53" s="75">
        <f>VLOOKUP(D:D,秒达日报!C:F,4,0)</f>
        <v>1628.07964601767</v>
      </c>
      <c r="L53" s="16">
        <f>VLOOKUP(D:D,秒达日报!C:I,7,0)</f>
        <v>53</v>
      </c>
      <c r="M53" s="75">
        <f>VLOOKUP(D:D,美团日报!C:F,4,0)</f>
        <v>2102.26987091002</v>
      </c>
      <c r="N53" s="16">
        <f>VLOOKUP(D:D,美团日报!C:I,7,0)</f>
        <v>54</v>
      </c>
      <c r="O53" s="75">
        <f>VLOOKUP(D:D,饿了么日报!C:F,4,0)</f>
        <v>693.92587480706</v>
      </c>
      <c r="P53" s="16">
        <f>VLOOKUP(D:D,饿了么日报!C:I,7,0)</f>
        <v>28</v>
      </c>
      <c r="Q53" s="87">
        <f t="shared" si="2"/>
        <v>4424.27539173475</v>
      </c>
      <c r="R53" s="88">
        <f t="shared" si="3"/>
        <v>135</v>
      </c>
      <c r="S53" s="89">
        <f t="shared" si="4"/>
        <v>0.407426610931654</v>
      </c>
      <c r="T53" s="90"/>
      <c r="U53" s="90"/>
    </row>
    <row r="54" ht="14.4" spans="1:21">
      <c r="A54" s="27" t="s">
        <v>13</v>
      </c>
      <c r="B54" s="26" t="s">
        <v>56</v>
      </c>
      <c r="C54" s="26" t="e">
        <v>#N/A</v>
      </c>
      <c r="D54" s="16">
        <v>8663</v>
      </c>
      <c r="E54" s="27" t="s">
        <v>173</v>
      </c>
      <c r="F54" s="16" t="e">
        <v>#N/A</v>
      </c>
      <c r="G54" s="26" t="e">
        <v>#N/A</v>
      </c>
      <c r="H54" s="27" t="s">
        <v>174</v>
      </c>
      <c r="I54" s="27">
        <v>160</v>
      </c>
      <c r="J54" s="75">
        <f>VLOOKUP(D54,美团日报!$C:$E,3,0)</f>
        <v>0</v>
      </c>
      <c r="K54" s="75">
        <f>VLOOKUP(D:D,秒达日报!C:F,4,0)</f>
        <v>0</v>
      </c>
      <c r="L54" s="16">
        <f>VLOOKUP(D:D,秒达日报!C:I,7,0)</f>
        <v>0</v>
      </c>
      <c r="M54" s="75">
        <f>VLOOKUP(D:D,美团日报!C:F,4,0)</f>
        <v>0</v>
      </c>
      <c r="N54" s="16">
        <f>VLOOKUP(D:D,美团日报!C:I,7,0)</f>
        <v>0</v>
      </c>
      <c r="O54" s="75">
        <f>VLOOKUP(D:D,饿了么日报!C:F,4,0)</f>
        <v>0</v>
      </c>
      <c r="P54" s="16">
        <f>VLOOKUP(D:D,饿了么日报!C:I,7,0)</f>
        <v>0</v>
      </c>
      <c r="Q54" s="87">
        <f t="shared" si="2"/>
        <v>0</v>
      </c>
      <c r="R54" s="88">
        <f t="shared" si="3"/>
        <v>0</v>
      </c>
      <c r="S54" s="89" t="e">
        <f t="shared" si="4"/>
        <v>#DIV/0!</v>
      </c>
      <c r="T54" s="90"/>
      <c r="U54" s="90"/>
    </row>
    <row r="55" ht="14.4" spans="1:21">
      <c r="A55" s="27" t="s">
        <v>13</v>
      </c>
      <c r="B55" s="26" t="e">
        <v>#N/A</v>
      </c>
      <c r="C55" s="26" t="s">
        <v>168</v>
      </c>
      <c r="D55" s="16">
        <v>8664</v>
      </c>
      <c r="E55" s="27" t="s">
        <v>175</v>
      </c>
      <c r="F55" s="16" t="s">
        <v>46</v>
      </c>
      <c r="G55" s="26" t="s">
        <v>54</v>
      </c>
      <c r="H55" s="27" t="s">
        <v>176</v>
      </c>
      <c r="I55" s="27">
        <v>104</v>
      </c>
      <c r="J55" s="75">
        <f>VLOOKUP(D55,美团日报!$C:$E,3,0)</f>
        <v>13719.6431</v>
      </c>
      <c r="K55" s="75">
        <f>VLOOKUP(D:D,秒达日报!C:F,4,0)</f>
        <v>199.02654867254</v>
      </c>
      <c r="L55" s="16">
        <f>VLOOKUP(D:D,秒达日报!C:I,7,0)</f>
        <v>10</v>
      </c>
      <c r="M55" s="75">
        <f>VLOOKUP(D:D,美团日报!C:F,4,0)</f>
        <v>155.22123893803</v>
      </c>
      <c r="N55" s="16">
        <f>VLOOKUP(D:D,美团日报!C:I,7,0)</f>
        <v>3</v>
      </c>
      <c r="O55" s="75">
        <f>VLOOKUP(D:D,饿了么日报!C:F,4,0)</f>
        <v>182.54867256637</v>
      </c>
      <c r="P55" s="16">
        <f>VLOOKUP(D:D,饿了么日报!C:I,7,0)</f>
        <v>4</v>
      </c>
      <c r="Q55" s="87">
        <f t="shared" si="2"/>
        <v>536.79646017694</v>
      </c>
      <c r="R55" s="88">
        <f t="shared" si="3"/>
        <v>17</v>
      </c>
      <c r="S55" s="89">
        <f t="shared" si="4"/>
        <v>0.0391261242194369</v>
      </c>
      <c r="T55" s="90"/>
      <c r="U55" s="90"/>
    </row>
    <row r="56" ht="14.4" spans="1:21">
      <c r="A56" s="27" t="s">
        <v>13</v>
      </c>
      <c r="B56" s="26" t="s">
        <v>63</v>
      </c>
      <c r="C56" s="26" t="s">
        <v>76</v>
      </c>
      <c r="D56" s="16">
        <v>8652</v>
      </c>
      <c r="E56" s="27" t="s">
        <v>177</v>
      </c>
      <c r="F56" s="16" t="s">
        <v>40</v>
      </c>
      <c r="G56" s="26" t="s">
        <v>66</v>
      </c>
      <c r="H56" s="27" t="s">
        <v>178</v>
      </c>
      <c r="I56" s="27">
        <v>120</v>
      </c>
      <c r="J56" s="75">
        <f>VLOOKUP(D56,美团日报!$C:$E,3,0)</f>
        <v>0</v>
      </c>
      <c r="K56" s="75">
        <f>VLOOKUP(D:D,秒达日报!C:F,4,0)</f>
        <v>0</v>
      </c>
      <c r="L56" s="16">
        <f>VLOOKUP(D:D,秒达日报!C:I,7,0)</f>
        <v>0</v>
      </c>
      <c r="M56" s="75">
        <f>VLOOKUP(D:D,美团日报!C:F,4,0)</f>
        <v>0</v>
      </c>
      <c r="N56" s="16">
        <f>VLOOKUP(D:D,美团日报!C:I,7,0)</f>
        <v>0</v>
      </c>
      <c r="O56" s="75">
        <f>VLOOKUP(D:D,饿了么日报!C:F,4,0)</f>
        <v>0</v>
      </c>
      <c r="P56" s="16">
        <f>VLOOKUP(D:D,饿了么日报!C:I,7,0)</f>
        <v>0</v>
      </c>
      <c r="Q56" s="87">
        <f t="shared" si="2"/>
        <v>0</v>
      </c>
      <c r="R56" s="88">
        <f t="shared" si="3"/>
        <v>0</v>
      </c>
      <c r="S56" s="89" t="e">
        <f t="shared" si="4"/>
        <v>#DIV/0!</v>
      </c>
      <c r="T56" s="90"/>
      <c r="U56" s="90"/>
    </row>
    <row r="57" ht="14.4" spans="1:21">
      <c r="A57" s="27" t="s">
        <v>13</v>
      </c>
      <c r="B57" s="26" t="s">
        <v>56</v>
      </c>
      <c r="C57" s="26" t="s">
        <v>131</v>
      </c>
      <c r="D57" s="16">
        <v>8632</v>
      </c>
      <c r="E57" s="27" t="s">
        <v>179</v>
      </c>
      <c r="F57" s="16" t="s">
        <v>40</v>
      </c>
      <c r="G57" s="26" t="s">
        <v>66</v>
      </c>
      <c r="H57" s="27" t="s">
        <v>180</v>
      </c>
      <c r="I57" s="27">
        <v>98</v>
      </c>
      <c r="J57" s="75">
        <f>VLOOKUP(D57,美团日报!$C:$E,3,0)</f>
        <v>8313.4658</v>
      </c>
      <c r="K57" s="75">
        <f>VLOOKUP(D:D,秒达日报!C:F,4,0)</f>
        <v>289.36031501177</v>
      </c>
      <c r="L57" s="16">
        <f>VLOOKUP(D:D,秒达日报!C:I,7,0)</f>
        <v>7</v>
      </c>
      <c r="M57" s="75">
        <f>VLOOKUP(D:D,美团日报!C:F,4,0)</f>
        <v>1081.72087358936</v>
      </c>
      <c r="N57" s="16">
        <f>VLOOKUP(D:D,美团日报!C:I,7,0)</f>
        <v>31</v>
      </c>
      <c r="O57" s="75">
        <f>VLOOKUP(D:D,饿了么日报!C:F,4,0)</f>
        <v>1205.87608995681</v>
      </c>
      <c r="P57" s="16">
        <f>VLOOKUP(D:D,饿了么日报!C:I,7,0)</f>
        <v>34</v>
      </c>
      <c r="Q57" s="87">
        <f t="shared" si="2"/>
        <v>2576.95727855794</v>
      </c>
      <c r="R57" s="88">
        <f t="shared" si="3"/>
        <v>72</v>
      </c>
      <c r="S57" s="89">
        <f t="shared" si="4"/>
        <v>0.309973883402268</v>
      </c>
      <c r="T57" s="90"/>
      <c r="U57" s="90"/>
    </row>
    <row r="58" ht="14.4" spans="1:21">
      <c r="A58" s="27" t="s">
        <v>13</v>
      </c>
      <c r="B58" s="26" t="s">
        <v>43</v>
      </c>
      <c r="C58" s="26" t="s">
        <v>38</v>
      </c>
      <c r="D58" s="16">
        <v>8678</v>
      </c>
      <c r="E58" s="27" t="s">
        <v>181</v>
      </c>
      <c r="F58" s="16" t="s">
        <v>40</v>
      </c>
      <c r="G58" s="26" t="s">
        <v>66</v>
      </c>
      <c r="H58" s="27" t="s">
        <v>182</v>
      </c>
      <c r="I58" s="27">
        <v>75.6</v>
      </c>
      <c r="J58" s="75">
        <f>VLOOKUP(D58,美团日报!$C:$E,3,0)</f>
        <v>6175.2973</v>
      </c>
      <c r="K58" s="75">
        <f>VLOOKUP(D:D,秒达日报!C:F,4,0)</f>
        <v>29.5575221238903</v>
      </c>
      <c r="L58" s="16">
        <f>VLOOKUP(D:D,秒达日报!C:I,7,0)</f>
        <v>1</v>
      </c>
      <c r="M58" s="75">
        <f>VLOOKUP(D:D,美团日报!C:F,4,0)</f>
        <v>1130.10619469026</v>
      </c>
      <c r="N58" s="16">
        <f>VLOOKUP(D:D,美团日报!C:I,7,0)</f>
        <v>32</v>
      </c>
      <c r="O58" s="75">
        <f>VLOOKUP(D:D,饿了么日报!C:F,4,0)</f>
        <v>1242.40884955742</v>
      </c>
      <c r="P58" s="16">
        <f>VLOOKUP(D:D,饿了么日报!C:I,7,0)</f>
        <v>30</v>
      </c>
      <c r="Q58" s="87">
        <f t="shared" si="2"/>
        <v>2402.07256637157</v>
      </c>
      <c r="R58" s="88">
        <f t="shared" si="3"/>
        <v>63</v>
      </c>
      <c r="S58" s="89">
        <f t="shared" si="4"/>
        <v>0.388980878114414</v>
      </c>
      <c r="T58" s="90"/>
      <c r="U58" s="90"/>
    </row>
    <row r="59" ht="14.4" spans="1:21">
      <c r="A59" s="27" t="s">
        <v>13</v>
      </c>
      <c r="B59" s="26" t="s">
        <v>43</v>
      </c>
      <c r="C59" s="26" t="s">
        <v>44</v>
      </c>
      <c r="D59" s="16">
        <v>8684</v>
      </c>
      <c r="E59" s="27" t="s">
        <v>183</v>
      </c>
      <c r="F59" s="16" t="s">
        <v>40</v>
      </c>
      <c r="G59" s="26" t="s">
        <v>66</v>
      </c>
      <c r="H59" s="27" t="s">
        <v>184</v>
      </c>
      <c r="I59" s="27">
        <v>112.55</v>
      </c>
      <c r="J59" s="75">
        <f>VLOOKUP(D59,美团日报!$C:$E,3,0)</f>
        <v>8032.1862</v>
      </c>
      <c r="K59" s="75">
        <f>VLOOKUP(D:D,秒达日报!C:F,4,0)</f>
        <v>105.82300884953</v>
      </c>
      <c r="L59" s="16">
        <f>VLOOKUP(D:D,秒达日报!C:I,7,0)</f>
        <v>3</v>
      </c>
      <c r="M59" s="75">
        <f>VLOOKUP(D:D,美团日报!C:F,4,0)</f>
        <v>3215.03953884861</v>
      </c>
      <c r="N59" s="16">
        <f>VLOOKUP(D:D,美团日报!C:I,7,0)</f>
        <v>77</v>
      </c>
      <c r="O59" s="75">
        <f>VLOOKUP(D:D,饿了么日报!C:F,4,0)</f>
        <v>1847.42794511648</v>
      </c>
      <c r="P59" s="16">
        <f>VLOOKUP(D:D,饿了么日报!C:I,7,0)</f>
        <v>63</v>
      </c>
      <c r="Q59" s="87">
        <f t="shared" si="2"/>
        <v>5168.29049281462</v>
      </c>
      <c r="R59" s="88">
        <f t="shared" si="3"/>
        <v>143</v>
      </c>
      <c r="S59" s="89">
        <f t="shared" si="4"/>
        <v>0.643447545179495</v>
      </c>
      <c r="T59" s="90"/>
      <c r="U59" s="90"/>
    </row>
    <row r="60" ht="14.4" spans="1:21">
      <c r="A60" s="27" t="s">
        <v>13</v>
      </c>
      <c r="B60" s="26" t="s">
        <v>48</v>
      </c>
      <c r="C60" s="26" t="s">
        <v>99</v>
      </c>
      <c r="D60" s="16">
        <v>8687</v>
      </c>
      <c r="E60" s="27" t="s">
        <v>185</v>
      </c>
      <c r="F60" s="16" t="s">
        <v>46</v>
      </c>
      <c r="G60" s="26" t="s">
        <v>66</v>
      </c>
      <c r="H60" s="27" t="s">
        <v>186</v>
      </c>
      <c r="I60" s="27">
        <v>61</v>
      </c>
      <c r="J60" s="75">
        <f>VLOOKUP(D60,美团日报!$C:$E,3,0)</f>
        <v>7746.6434</v>
      </c>
      <c r="K60" s="75">
        <f>VLOOKUP(D:D,秒达日报!C:F,4,0)</f>
        <v>149.20353982296</v>
      </c>
      <c r="L60" s="16">
        <f>VLOOKUP(D:D,秒达日报!C:I,7,0)</f>
        <v>5</v>
      </c>
      <c r="M60" s="75">
        <f>VLOOKUP(D:D,美团日报!C:F,4,0)</f>
        <v>716.63185840706</v>
      </c>
      <c r="N60" s="16">
        <f>VLOOKUP(D:D,美团日报!C:I,7,0)</f>
        <v>20</v>
      </c>
      <c r="O60" s="75">
        <f>VLOOKUP(D:D,饿了么日报!C:F,4,0)</f>
        <v>589.26548672561</v>
      </c>
      <c r="P60" s="16">
        <f>VLOOKUP(D:D,饿了么日报!C:I,7,0)</f>
        <v>15</v>
      </c>
      <c r="Q60" s="87">
        <f t="shared" si="2"/>
        <v>1455.10088495563</v>
      </c>
      <c r="R60" s="88">
        <f t="shared" si="3"/>
        <v>40</v>
      </c>
      <c r="S60" s="89">
        <f t="shared" si="4"/>
        <v>0.187836306619668</v>
      </c>
      <c r="T60" s="90"/>
      <c r="U60" s="90"/>
    </row>
    <row r="61" ht="14.4" spans="1:21">
      <c r="A61" s="27" t="s">
        <v>13</v>
      </c>
      <c r="B61" s="26" t="s">
        <v>63</v>
      </c>
      <c r="C61" s="26" t="s">
        <v>111</v>
      </c>
      <c r="D61" s="16">
        <v>8692</v>
      </c>
      <c r="E61" s="27" t="s">
        <v>187</v>
      </c>
      <c r="F61" s="16" t="s">
        <v>46</v>
      </c>
      <c r="G61" s="26" t="s">
        <v>54</v>
      </c>
      <c r="H61" s="27" t="s">
        <v>188</v>
      </c>
      <c r="I61" s="27">
        <v>104</v>
      </c>
      <c r="J61" s="75">
        <f>VLOOKUP(D61,美团日报!$C:$E,3,0)</f>
        <v>11005.8161</v>
      </c>
      <c r="K61" s="75">
        <f>VLOOKUP(D:D,秒达日报!C:F,4,0)</f>
        <v>173.69026548673</v>
      </c>
      <c r="L61" s="16">
        <f>VLOOKUP(D:D,秒达日报!C:I,7,0)</f>
        <v>5</v>
      </c>
      <c r="M61" s="75">
        <f>VLOOKUP(D:D,美团日报!C:F,4,0)</f>
        <v>476.86287245268</v>
      </c>
      <c r="N61" s="16">
        <f>VLOOKUP(D:D,美团日报!C:I,7,0)</f>
        <v>10</v>
      </c>
      <c r="O61" s="75">
        <f>VLOOKUP(D:D,饿了么日报!C:F,4,0)</f>
        <v>525.78058780543</v>
      </c>
      <c r="P61" s="16">
        <f>VLOOKUP(D:D,饿了么日报!C:I,7,0)</f>
        <v>16</v>
      </c>
      <c r="Q61" s="87">
        <f t="shared" si="2"/>
        <v>1176.33372574484</v>
      </c>
      <c r="R61" s="88">
        <f t="shared" si="3"/>
        <v>31</v>
      </c>
      <c r="S61" s="89">
        <f t="shared" si="4"/>
        <v>0.106882916728441</v>
      </c>
      <c r="T61" s="90"/>
      <c r="U61" s="90"/>
    </row>
    <row r="62" ht="14.4" spans="1:21">
      <c r="A62" s="27" t="s">
        <v>13</v>
      </c>
      <c r="B62" s="26" t="s">
        <v>48</v>
      </c>
      <c r="C62" s="26" t="e">
        <v>#N/A</v>
      </c>
      <c r="D62" s="16">
        <v>8670</v>
      </c>
      <c r="E62" s="27" t="s">
        <v>189</v>
      </c>
      <c r="F62" s="16" t="e">
        <v>#N/A</v>
      </c>
      <c r="G62" s="26" t="e">
        <v>#N/A</v>
      </c>
      <c r="H62" s="27" t="s">
        <v>190</v>
      </c>
      <c r="I62" s="27">
        <v>87.32</v>
      </c>
      <c r="J62" s="75">
        <f>VLOOKUP(D62,美团日报!$C:$E,3,0)</f>
        <v>0</v>
      </c>
      <c r="K62" s="75">
        <f>VLOOKUP(D:D,秒达日报!C:F,4,0)</f>
        <v>0</v>
      </c>
      <c r="L62" s="16">
        <f>VLOOKUP(D:D,秒达日报!C:I,7,0)</f>
        <v>0</v>
      </c>
      <c r="M62" s="75">
        <f>VLOOKUP(D:D,美团日报!C:F,4,0)</f>
        <v>0</v>
      </c>
      <c r="N62" s="16">
        <f>VLOOKUP(D:D,美团日报!C:I,7,0)</f>
        <v>0</v>
      </c>
      <c r="O62" s="75">
        <f>VLOOKUP(D:D,饿了么日报!C:F,4,0)</f>
        <v>0</v>
      </c>
      <c r="P62" s="16">
        <f>VLOOKUP(D:D,饿了么日报!C:I,7,0)</f>
        <v>0</v>
      </c>
      <c r="Q62" s="87">
        <f t="shared" si="2"/>
        <v>0</v>
      </c>
      <c r="R62" s="88">
        <f t="shared" si="3"/>
        <v>0</v>
      </c>
      <c r="S62" s="89" t="e">
        <f t="shared" si="4"/>
        <v>#DIV/0!</v>
      </c>
      <c r="T62" s="90"/>
      <c r="U62" s="90"/>
    </row>
    <row r="63" ht="14.4" spans="1:21">
      <c r="A63" s="27" t="s">
        <v>13</v>
      </c>
      <c r="B63" s="26" t="e">
        <v>#N/A</v>
      </c>
      <c r="C63" s="26" t="s">
        <v>108</v>
      </c>
      <c r="D63" s="16">
        <v>8682</v>
      </c>
      <c r="E63" s="27" t="s">
        <v>191</v>
      </c>
      <c r="F63" s="16" t="s">
        <v>40</v>
      </c>
      <c r="G63" s="26" t="s">
        <v>41</v>
      </c>
      <c r="H63" s="27" t="s">
        <v>192</v>
      </c>
      <c r="I63" s="27">
        <v>140</v>
      </c>
      <c r="J63" s="75">
        <f>VLOOKUP(D63,美团日报!$C:$E,3,0)</f>
        <v>6403.0207</v>
      </c>
      <c r="K63" s="75">
        <f>VLOOKUP(D:D,秒达日报!C:F,4,0)</f>
        <v>323.94950069007</v>
      </c>
      <c r="L63" s="16">
        <f>VLOOKUP(D:D,秒达日报!C:I,7,0)</f>
        <v>3</v>
      </c>
      <c r="M63" s="75">
        <f>VLOOKUP(D:D,美团日报!C:F,4,0)</f>
        <v>527.41251928221</v>
      </c>
      <c r="N63" s="16">
        <f>VLOOKUP(D:D,美团日报!C:I,7,0)</f>
        <v>13</v>
      </c>
      <c r="O63" s="75">
        <f>VLOOKUP(D:D,饿了么日报!C:F,4,0)</f>
        <v>271.93805309735</v>
      </c>
      <c r="P63" s="16">
        <f>VLOOKUP(D:D,饿了么日报!C:I,7,0)</f>
        <v>7</v>
      </c>
      <c r="Q63" s="87">
        <f t="shared" si="2"/>
        <v>1123.30007306963</v>
      </c>
      <c r="R63" s="88">
        <f t="shared" si="3"/>
        <v>23</v>
      </c>
      <c r="S63" s="89">
        <f t="shared" si="4"/>
        <v>0.175432834860214</v>
      </c>
      <c r="T63" s="90"/>
      <c r="U63" s="90"/>
    </row>
    <row r="64" ht="14.4" spans="1:21">
      <c r="A64" s="27" t="s">
        <v>13</v>
      </c>
      <c r="B64" s="26" t="s">
        <v>63</v>
      </c>
      <c r="C64" s="26" t="s">
        <v>161</v>
      </c>
      <c r="D64" s="16">
        <v>8686</v>
      </c>
      <c r="E64" s="27" t="s">
        <v>193</v>
      </c>
      <c r="F64" s="16" t="s">
        <v>46</v>
      </c>
      <c r="G64" s="26" t="s">
        <v>41</v>
      </c>
      <c r="H64" s="27" t="s">
        <v>194</v>
      </c>
      <c r="I64" s="27">
        <v>77</v>
      </c>
      <c r="J64" s="75">
        <f>VLOOKUP(D64,美团日报!$C:$E,3,0)</f>
        <v>4748.7726</v>
      </c>
      <c r="K64" s="75">
        <f>VLOOKUP(D:D,秒达日报!C:F,4,0)</f>
        <v>167.610619469</v>
      </c>
      <c r="L64" s="16">
        <f>VLOOKUP(D:D,秒达日报!C:I,7,0)</f>
        <v>3</v>
      </c>
      <c r="M64" s="75">
        <f>VLOOKUP(D:D,美团日报!C:F,4,0)</f>
        <v>657.14540878457</v>
      </c>
      <c r="N64" s="16">
        <f>VLOOKUP(D:D,美团日报!C:I,7,0)</f>
        <v>17</v>
      </c>
      <c r="O64" s="75">
        <f>VLOOKUP(D:D,饿了么日报!C:F,4,0)</f>
        <v>309.01664366324</v>
      </c>
      <c r="P64" s="16">
        <f>VLOOKUP(D:D,饿了么日报!C:I,7,0)</f>
        <v>10</v>
      </c>
      <c r="Q64" s="87">
        <f t="shared" si="2"/>
        <v>1133.77267191681</v>
      </c>
      <c r="R64" s="88">
        <f t="shared" si="3"/>
        <v>30</v>
      </c>
      <c r="S64" s="89">
        <f t="shared" si="4"/>
        <v>0.238750676736302</v>
      </c>
      <c r="T64" s="90"/>
      <c r="U64" s="90"/>
    </row>
    <row r="65" ht="14.4" spans="1:21">
      <c r="A65" s="27" t="s">
        <v>13</v>
      </c>
      <c r="B65" s="26" t="s">
        <v>43</v>
      </c>
      <c r="C65" s="26" t="s">
        <v>152</v>
      </c>
      <c r="D65" s="16">
        <v>8694</v>
      </c>
      <c r="E65" s="27" t="s">
        <v>195</v>
      </c>
      <c r="F65" s="16" t="s">
        <v>40</v>
      </c>
      <c r="G65" s="26" t="s">
        <v>41</v>
      </c>
      <c r="H65" s="27" t="s">
        <v>196</v>
      </c>
      <c r="I65" s="27">
        <v>90.2</v>
      </c>
      <c r="J65" s="75">
        <f>VLOOKUP(D65,美团日报!$C:$E,3,0)</f>
        <v>7822.9249</v>
      </c>
      <c r="K65" s="75">
        <f>VLOOKUP(D:D,秒达日报!C:F,4,0)</f>
        <v>359.80108792723</v>
      </c>
      <c r="L65" s="16">
        <f>VLOOKUP(D:D,秒达日报!C:I,7,0)</f>
        <v>7</v>
      </c>
      <c r="M65" s="75">
        <f>VLOOKUP(D:D,美团日报!C:F,4,0)</f>
        <v>2464.45277259068</v>
      </c>
      <c r="N65" s="16">
        <f>VLOOKUP(D:D,美团日报!C:I,7,0)</f>
        <v>59</v>
      </c>
      <c r="O65" s="75">
        <f>VLOOKUP(D:D,饿了么日报!C:F,4,0)</f>
        <v>1360.54095964914</v>
      </c>
      <c r="P65" s="16">
        <f>VLOOKUP(D:D,饿了么日报!C:I,7,0)</f>
        <v>38</v>
      </c>
      <c r="Q65" s="87">
        <f t="shared" si="2"/>
        <v>4184.79482016705</v>
      </c>
      <c r="R65" s="88">
        <f t="shared" si="3"/>
        <v>104</v>
      </c>
      <c r="S65" s="89">
        <f t="shared" si="4"/>
        <v>0.534939919999366</v>
      </c>
      <c r="T65" s="90"/>
      <c r="U65" s="90"/>
    </row>
    <row r="66" ht="14.4" spans="1:21">
      <c r="A66" s="27" t="s">
        <v>13</v>
      </c>
      <c r="B66" s="26" t="s">
        <v>63</v>
      </c>
      <c r="C66" s="26" t="s">
        <v>143</v>
      </c>
      <c r="D66" s="16">
        <v>8646</v>
      </c>
      <c r="E66" s="27" t="s">
        <v>197</v>
      </c>
      <c r="F66" s="16" t="s">
        <v>40</v>
      </c>
      <c r="G66" s="26" t="s">
        <v>54</v>
      </c>
      <c r="H66" s="27" t="s">
        <v>198</v>
      </c>
      <c r="I66" s="27">
        <v>263</v>
      </c>
      <c r="J66" s="75">
        <f>VLOOKUP(D66,美团日报!$C:$E,3,0)</f>
        <v>8105.9535</v>
      </c>
      <c r="K66" s="75">
        <f>VLOOKUP(D:D,秒达日报!C:F,4,0)</f>
        <v>252.75083218318</v>
      </c>
      <c r="L66" s="16">
        <f>VLOOKUP(D:D,秒达日报!C:I,7,0)</f>
        <v>4</v>
      </c>
      <c r="M66" s="75">
        <f>VLOOKUP(D:D,美团日报!C:F,4,0)</f>
        <v>140.97345132744</v>
      </c>
      <c r="N66" s="16">
        <f>VLOOKUP(D:D,美团日报!C:I,7,0)</f>
        <v>3</v>
      </c>
      <c r="O66" s="75">
        <f>VLOOKUP(D:D,饿了么日报!C:F,4,0)</f>
        <v>77.77876106195</v>
      </c>
      <c r="P66" s="16">
        <f>VLOOKUP(D:D,饿了么日报!C:I,7,0)</f>
        <v>3</v>
      </c>
      <c r="Q66" s="87">
        <f t="shared" si="2"/>
        <v>471.50304457257</v>
      </c>
      <c r="R66" s="88">
        <f t="shared" si="3"/>
        <v>10</v>
      </c>
      <c r="S66" s="89">
        <f t="shared" si="4"/>
        <v>0.058167499304378</v>
      </c>
      <c r="T66" s="90"/>
      <c r="U66" s="90"/>
    </row>
    <row r="67" ht="14.4" spans="1:21">
      <c r="A67" s="27" t="s">
        <v>13</v>
      </c>
      <c r="B67" s="26" t="s">
        <v>43</v>
      </c>
      <c r="C67" s="26" t="s">
        <v>52</v>
      </c>
      <c r="D67" s="16">
        <v>8691</v>
      </c>
      <c r="E67" s="27" t="s">
        <v>199</v>
      </c>
      <c r="F67" s="16" t="s">
        <v>40</v>
      </c>
      <c r="G67" s="26" t="s">
        <v>41</v>
      </c>
      <c r="H67" s="27" t="s">
        <v>200</v>
      </c>
      <c r="I67" s="27">
        <v>94.33</v>
      </c>
      <c r="J67" s="75">
        <f>VLOOKUP(D67,美团日报!$C:$E,3,0)</f>
        <v>7912.9107</v>
      </c>
      <c r="K67" s="75">
        <f>VLOOKUP(D:D,秒达日报!C:F,4,0)</f>
        <v>786.53251603465</v>
      </c>
      <c r="L67" s="16">
        <f>VLOOKUP(D:D,秒达日报!C:I,7,0)</f>
        <v>21</v>
      </c>
      <c r="M67" s="75">
        <f>VLOOKUP(D:D,美团日报!C:F,4,0)</f>
        <v>774.93870260612</v>
      </c>
      <c r="N67" s="16">
        <f>VLOOKUP(D:D,美团日报!C:I,7,0)</f>
        <v>21</v>
      </c>
      <c r="O67" s="75">
        <f>VLOOKUP(D:D,饿了么日报!C:F,4,0)</f>
        <v>1025.41657871228</v>
      </c>
      <c r="P67" s="16">
        <f>VLOOKUP(D:D,饿了么日报!C:I,7,0)</f>
        <v>28</v>
      </c>
      <c r="Q67" s="87">
        <f t="shared" si="2"/>
        <v>2586.88779735305</v>
      </c>
      <c r="R67" s="88">
        <f t="shared" si="3"/>
        <v>70</v>
      </c>
      <c r="S67" s="89">
        <f t="shared" si="4"/>
        <v>0.326919877580958</v>
      </c>
      <c r="T67" s="90"/>
      <c r="U67" s="90"/>
    </row>
    <row r="68" ht="14.4" spans="1:21">
      <c r="A68" s="27" t="s">
        <v>13</v>
      </c>
      <c r="B68" s="26" t="s">
        <v>56</v>
      </c>
      <c r="C68" s="26" t="s">
        <v>118</v>
      </c>
      <c r="D68" s="16">
        <v>8695</v>
      </c>
      <c r="E68" s="27" t="s">
        <v>201</v>
      </c>
      <c r="F68" s="16" t="s">
        <v>46</v>
      </c>
      <c r="G68" s="26" t="s">
        <v>41</v>
      </c>
      <c r="H68" s="27" t="s">
        <v>202</v>
      </c>
      <c r="I68" s="27">
        <v>79.24</v>
      </c>
      <c r="J68" s="75">
        <f>VLOOKUP(D68,美团日报!$C:$E,3,0)</f>
        <v>7163.393</v>
      </c>
      <c r="K68" s="75">
        <f>VLOOKUP(D:D,秒达日报!C:F,4,0)</f>
        <v>363.53982300884</v>
      </c>
      <c r="L68" s="16">
        <f>VLOOKUP(D:D,秒达日报!C:I,7,0)</f>
        <v>8</v>
      </c>
      <c r="M68" s="75">
        <f>VLOOKUP(D:D,美团日报!C:F,4,0)</f>
        <v>1333.68255256961</v>
      </c>
      <c r="N68" s="16">
        <f>VLOOKUP(D:D,美团日报!C:I,7,0)</f>
        <v>27</v>
      </c>
      <c r="O68" s="75">
        <f>VLOOKUP(D:D,饿了么日报!C:F,4,0)</f>
        <v>916.50664122748</v>
      </c>
      <c r="P68" s="16">
        <f>VLOOKUP(D:D,饿了么日报!C:I,7,0)</f>
        <v>26</v>
      </c>
      <c r="Q68" s="87">
        <f t="shared" ref="Q68:Q131" si="5">K68+M68+O68</f>
        <v>2613.72901680593</v>
      </c>
      <c r="R68" s="88">
        <f t="shared" ref="R68:R131" si="6">L68+N68+P68</f>
        <v>61</v>
      </c>
      <c r="S68" s="89">
        <f t="shared" ref="S68:S131" si="7">Q68/J68</f>
        <v>0.364873045050848</v>
      </c>
      <c r="T68" s="90"/>
      <c r="U68" s="90"/>
    </row>
    <row r="69" ht="14.4" spans="1:21">
      <c r="A69" s="27" t="s">
        <v>13</v>
      </c>
      <c r="B69" s="26" t="s">
        <v>56</v>
      </c>
      <c r="C69" s="26" t="s">
        <v>161</v>
      </c>
      <c r="D69" s="16">
        <v>8707</v>
      </c>
      <c r="E69" s="27" t="s">
        <v>203</v>
      </c>
      <c r="F69" s="16" t="s">
        <v>46</v>
      </c>
      <c r="G69" s="26" t="s">
        <v>66</v>
      </c>
      <c r="H69" s="27" t="s">
        <v>204</v>
      </c>
      <c r="I69" s="27">
        <v>75</v>
      </c>
      <c r="J69" s="75">
        <f>VLOOKUP(D69,美团日报!$C:$E,3,0)</f>
        <v>7379.6535</v>
      </c>
      <c r="K69" s="75">
        <f>VLOOKUP(D:D,秒达日报!C:F,4,0)</f>
        <v>239.6460176991</v>
      </c>
      <c r="L69" s="16">
        <f>VLOOKUP(D:D,秒达日报!C:I,7,0)</f>
        <v>6</v>
      </c>
      <c r="M69" s="75">
        <f>VLOOKUP(D:D,美团日报!C:F,4,0)</f>
        <v>896.98627912634</v>
      </c>
      <c r="N69" s="16">
        <f>VLOOKUP(D:D,美团日报!C:I,7,0)</f>
        <v>22</v>
      </c>
      <c r="O69" s="75">
        <f>VLOOKUP(D:D,饿了么日报!C:F,4,0)</f>
        <v>755.67256637167</v>
      </c>
      <c r="P69" s="16">
        <f>VLOOKUP(D:D,饿了么日报!C:I,7,0)</f>
        <v>20</v>
      </c>
      <c r="Q69" s="87">
        <f t="shared" si="5"/>
        <v>1892.30486319711</v>
      </c>
      <c r="R69" s="88">
        <f t="shared" si="6"/>
        <v>48</v>
      </c>
      <c r="S69" s="89">
        <f t="shared" si="7"/>
        <v>0.256421912383435</v>
      </c>
      <c r="T69" s="90"/>
      <c r="U69" s="90"/>
    </row>
    <row r="70" ht="14.4" spans="1:21">
      <c r="A70" s="27" t="s">
        <v>13</v>
      </c>
      <c r="B70" s="26" t="s">
        <v>43</v>
      </c>
      <c r="C70" s="26" t="s">
        <v>38</v>
      </c>
      <c r="D70" s="16">
        <v>8685</v>
      </c>
      <c r="E70" s="27" t="s">
        <v>205</v>
      </c>
      <c r="F70" s="16" t="s">
        <v>46</v>
      </c>
      <c r="G70" s="26" t="s">
        <v>41</v>
      </c>
      <c r="H70" s="27" t="s">
        <v>206</v>
      </c>
      <c r="I70" s="27">
        <v>115</v>
      </c>
      <c r="J70" s="75">
        <f>VLOOKUP(D70,美团日报!$C:$E,3,0)</f>
        <v>8375.6268</v>
      </c>
      <c r="K70" s="75">
        <f>VLOOKUP(D:D,秒达日报!C:F,4,0)</f>
        <v>91.9469026548597</v>
      </c>
      <c r="L70" s="16">
        <f>VLOOKUP(D:D,秒达日报!C:I,7,0)</f>
        <v>2</v>
      </c>
      <c r="M70" s="75">
        <f>VLOOKUP(D:D,美团日报!C:F,4,0)</f>
        <v>1595.97710481441</v>
      </c>
      <c r="N70" s="16">
        <f>VLOOKUP(D:D,美团日报!C:I,7,0)</f>
        <v>43</v>
      </c>
      <c r="O70" s="75">
        <f>VLOOKUP(D:D,饿了么日报!C:F,4,0)</f>
        <v>1359.41965576032</v>
      </c>
      <c r="P70" s="16">
        <f>VLOOKUP(D:D,饿了么日报!C:I,7,0)</f>
        <v>39</v>
      </c>
      <c r="Q70" s="87">
        <f t="shared" si="5"/>
        <v>3047.34366322959</v>
      </c>
      <c r="R70" s="88">
        <f t="shared" si="6"/>
        <v>84</v>
      </c>
      <c r="S70" s="89">
        <f t="shared" si="7"/>
        <v>0.363834699897277</v>
      </c>
      <c r="T70" s="90"/>
      <c r="U70" s="90"/>
    </row>
    <row r="71" ht="14.4" spans="1:21">
      <c r="A71" s="27" t="s">
        <v>13</v>
      </c>
      <c r="B71" s="26" t="s">
        <v>43</v>
      </c>
      <c r="C71" s="26" t="s">
        <v>83</v>
      </c>
      <c r="D71" s="16">
        <v>8714</v>
      </c>
      <c r="E71" s="27" t="s">
        <v>207</v>
      </c>
      <c r="F71" s="16" t="s">
        <v>46</v>
      </c>
      <c r="G71" s="26" t="s">
        <v>41</v>
      </c>
      <c r="H71" s="27" t="s">
        <v>208</v>
      </c>
      <c r="I71" s="27">
        <v>71.93</v>
      </c>
      <c r="J71" s="75">
        <f>VLOOKUP(D71,美团日报!$C:$E,3,0)</f>
        <v>16540.2644</v>
      </c>
      <c r="K71" s="75">
        <f>VLOOKUP(D:D,秒达日报!C:F,4,0)</f>
        <v>334.97345132743</v>
      </c>
      <c r="L71" s="16">
        <f>VLOOKUP(D:D,秒达日报!C:I,7,0)</f>
        <v>7</v>
      </c>
      <c r="M71" s="75">
        <f>VLOOKUP(D:D,美团日报!C:F,4,0)</f>
        <v>2401.15079158885</v>
      </c>
      <c r="N71" s="16">
        <f>VLOOKUP(D:D,美团日报!C:I,7,0)</f>
        <v>54</v>
      </c>
      <c r="O71" s="75">
        <f>VLOOKUP(D:D,饿了么日报!C:F,4,0)</f>
        <v>1519.1773646179</v>
      </c>
      <c r="P71" s="16">
        <f>VLOOKUP(D:D,饿了么日报!C:I,7,0)</f>
        <v>37</v>
      </c>
      <c r="Q71" s="87">
        <f t="shared" si="5"/>
        <v>4255.30160753418</v>
      </c>
      <c r="R71" s="88">
        <f t="shared" si="6"/>
        <v>98</v>
      </c>
      <c r="S71" s="89">
        <f t="shared" si="7"/>
        <v>0.257269261520038</v>
      </c>
      <c r="T71" s="90"/>
      <c r="U71" s="90"/>
    </row>
    <row r="72" ht="14.4" spans="1:21">
      <c r="A72" s="27" t="s">
        <v>13</v>
      </c>
      <c r="B72" s="26" t="s">
        <v>48</v>
      </c>
      <c r="C72" s="26" t="e">
        <v>#N/A</v>
      </c>
      <c r="D72" s="16">
        <v>8701</v>
      </c>
      <c r="E72" s="27" t="s">
        <v>209</v>
      </c>
      <c r="F72" s="16" t="e">
        <v>#N/A</v>
      </c>
      <c r="G72" s="26" t="e">
        <v>#N/A</v>
      </c>
      <c r="H72" s="27" t="s">
        <v>210</v>
      </c>
      <c r="I72" s="27">
        <v>100</v>
      </c>
      <c r="J72" s="75">
        <f>VLOOKUP(D72,美团日报!$C:$E,3,0)</f>
        <v>0</v>
      </c>
      <c r="K72" s="75">
        <f>VLOOKUP(D:D,秒达日报!C:F,4,0)</f>
        <v>0</v>
      </c>
      <c r="L72" s="16">
        <f>VLOOKUP(D:D,秒达日报!C:I,7,0)</f>
        <v>0</v>
      </c>
      <c r="M72" s="75">
        <f>VLOOKUP(D:D,美团日报!C:F,4,0)</f>
        <v>0</v>
      </c>
      <c r="N72" s="16">
        <f>VLOOKUP(D:D,美团日报!C:I,7,0)</f>
        <v>0</v>
      </c>
      <c r="O72" s="75">
        <f>VLOOKUP(D:D,饿了么日报!C:F,4,0)</f>
        <v>0</v>
      </c>
      <c r="P72" s="16">
        <f>VLOOKUP(D:D,饿了么日报!C:I,7,0)</f>
        <v>0</v>
      </c>
      <c r="Q72" s="87">
        <f t="shared" si="5"/>
        <v>0</v>
      </c>
      <c r="R72" s="88">
        <f t="shared" si="6"/>
        <v>0</v>
      </c>
      <c r="S72" s="89" t="e">
        <f t="shared" si="7"/>
        <v>#DIV/0!</v>
      </c>
      <c r="T72" s="90"/>
      <c r="U72" s="90"/>
    </row>
    <row r="73" ht="14.4" spans="1:21">
      <c r="A73" s="27" t="s">
        <v>13</v>
      </c>
      <c r="B73" s="26" t="e">
        <v>#N/A</v>
      </c>
      <c r="C73" s="26" t="s">
        <v>86</v>
      </c>
      <c r="D73" s="16">
        <v>8713</v>
      </c>
      <c r="E73" s="27" t="s">
        <v>211</v>
      </c>
      <c r="F73" s="16" t="s">
        <v>40</v>
      </c>
      <c r="G73" s="26" t="s">
        <v>54</v>
      </c>
      <c r="H73" s="27" t="s">
        <v>212</v>
      </c>
      <c r="I73" s="27">
        <v>94.17</v>
      </c>
      <c r="J73" s="75">
        <f>VLOOKUP(D73,美团日报!$C:$E,3,0)</f>
        <v>4320.8855</v>
      </c>
      <c r="K73" s="75">
        <f>VLOOKUP(D:D,秒达日报!C:F,4,0)</f>
        <v>516.01566939997</v>
      </c>
      <c r="L73" s="16">
        <f>VLOOKUP(D:D,秒达日报!C:I,7,0)</f>
        <v>20</v>
      </c>
      <c r="M73" s="75">
        <f>VLOOKUP(D:D,美团日报!C:F,4,0)</f>
        <v>62.74336283183</v>
      </c>
      <c r="N73" s="16">
        <f>VLOOKUP(D:D,美团日报!C:I,7,0)</f>
        <v>2</v>
      </c>
      <c r="O73" s="75">
        <f>VLOOKUP(D:D,饿了么日报!C:F,4,0)</f>
        <v>80.87610619467</v>
      </c>
      <c r="P73" s="16">
        <f>VLOOKUP(D:D,饿了么日报!C:I,7,0)</f>
        <v>3</v>
      </c>
      <c r="Q73" s="87">
        <f t="shared" si="5"/>
        <v>659.63513842647</v>
      </c>
      <c r="R73" s="88">
        <f t="shared" si="6"/>
        <v>25</v>
      </c>
      <c r="S73" s="89">
        <f t="shared" si="7"/>
        <v>0.15266202689853</v>
      </c>
      <c r="T73" s="90"/>
      <c r="U73" s="90"/>
    </row>
    <row r="74" ht="14.4" spans="1:21">
      <c r="A74" s="27" t="s">
        <v>13</v>
      </c>
      <c r="B74" s="26" t="s">
        <v>63</v>
      </c>
      <c r="C74" s="26" t="s">
        <v>57</v>
      </c>
      <c r="D74" s="16">
        <v>8700</v>
      </c>
      <c r="E74" s="27" t="s">
        <v>213</v>
      </c>
      <c r="F74" s="16" t="s">
        <v>40</v>
      </c>
      <c r="G74" s="26" t="s">
        <v>41</v>
      </c>
      <c r="H74" s="27" t="s">
        <v>214</v>
      </c>
      <c r="I74" s="27">
        <v>71.73</v>
      </c>
      <c r="J74" s="75">
        <f>VLOOKUP(D74,美团日报!$C:$E,3,0)</f>
        <v>7394.6707</v>
      </c>
      <c r="K74" s="75">
        <f>VLOOKUP(D:D,秒达日报!C:F,4,0)</f>
        <v>65.88495575223</v>
      </c>
      <c r="L74" s="16">
        <f>VLOOKUP(D:D,秒达日报!C:I,7,0)</f>
        <v>2</v>
      </c>
      <c r="M74" s="75">
        <f>VLOOKUP(D:D,美团日报!C:F,4,0)</f>
        <v>432.38856864493</v>
      </c>
      <c r="N74" s="16">
        <f>VLOOKUP(D:D,美团日报!C:I,7,0)</f>
        <v>12</v>
      </c>
      <c r="O74" s="75">
        <f>VLOOKUP(D:D,饿了么日报!C:F,4,0)</f>
        <v>225.50442477877</v>
      </c>
      <c r="P74" s="16">
        <f>VLOOKUP(D:D,饿了么日报!C:I,7,0)</f>
        <v>7</v>
      </c>
      <c r="Q74" s="87">
        <f t="shared" si="5"/>
        <v>723.77794917593</v>
      </c>
      <c r="R74" s="88">
        <f t="shared" si="6"/>
        <v>21</v>
      </c>
      <c r="S74" s="89">
        <f t="shared" si="7"/>
        <v>0.0978783205553602</v>
      </c>
      <c r="T74" s="90"/>
      <c r="U74" s="90"/>
    </row>
    <row r="75" ht="14.4" spans="1:21">
      <c r="A75" s="27" t="s">
        <v>13</v>
      </c>
      <c r="B75" s="26" t="s">
        <v>56</v>
      </c>
      <c r="C75" s="26" t="s">
        <v>131</v>
      </c>
      <c r="D75" s="16">
        <v>8693</v>
      </c>
      <c r="E75" s="27" t="s">
        <v>215</v>
      </c>
      <c r="F75" s="16" t="s">
        <v>40</v>
      </c>
      <c r="G75" s="26" t="s">
        <v>66</v>
      </c>
      <c r="H75" s="27" t="s">
        <v>216</v>
      </c>
      <c r="I75" s="27">
        <v>73</v>
      </c>
      <c r="J75" s="75">
        <f>VLOOKUP(D75,美团日报!$C:$E,3,0)</f>
        <v>4141.2441</v>
      </c>
      <c r="K75" s="75">
        <f>VLOOKUP(D:D,秒达日报!C:F,4,0)</f>
        <v>112.03539823009</v>
      </c>
      <c r="L75" s="16">
        <f>VLOOKUP(D:D,秒达日报!C:I,7,0)</f>
        <v>2</v>
      </c>
      <c r="M75" s="75">
        <f>VLOOKUP(D:D,美团日报!C:F,4,0)</f>
        <v>339.23845092143</v>
      </c>
      <c r="N75" s="16">
        <f>VLOOKUP(D:D,美团日报!C:I,7,0)</f>
        <v>10</v>
      </c>
      <c r="O75" s="75">
        <f>VLOOKUP(D:D,饿了么日报!C:F,4,0)</f>
        <v>450.28318584069</v>
      </c>
      <c r="P75" s="16">
        <f>VLOOKUP(D:D,饿了么日报!C:I,7,0)</f>
        <v>12</v>
      </c>
      <c r="Q75" s="87">
        <f t="shared" si="5"/>
        <v>901.55703499221</v>
      </c>
      <c r="R75" s="88">
        <f t="shared" si="6"/>
        <v>24</v>
      </c>
      <c r="S75" s="89">
        <f t="shared" si="7"/>
        <v>0.217701978734412</v>
      </c>
      <c r="T75" s="90"/>
      <c r="U75" s="90"/>
    </row>
    <row r="76" ht="14.4" spans="1:21">
      <c r="A76" s="27" t="s">
        <v>13</v>
      </c>
      <c r="B76" s="26" t="s">
        <v>43</v>
      </c>
      <c r="C76" s="26" t="s">
        <v>118</v>
      </c>
      <c r="D76" s="16">
        <v>8709</v>
      </c>
      <c r="E76" s="27" t="s">
        <v>217</v>
      </c>
      <c r="F76" s="16" t="s">
        <v>40</v>
      </c>
      <c r="G76" s="26" t="s">
        <v>54</v>
      </c>
      <c r="H76" s="27" t="s">
        <v>218</v>
      </c>
      <c r="I76" s="27">
        <v>110</v>
      </c>
      <c r="J76" s="75">
        <f>VLOOKUP(D76,美团日报!$C:$E,3,0)</f>
        <v>7086.9007</v>
      </c>
      <c r="K76" s="75">
        <f>VLOOKUP(D:D,秒达日报!C:F,4,0)</f>
        <v>115.81415929203</v>
      </c>
      <c r="L76" s="16">
        <f>VLOOKUP(D:D,秒达日报!C:I,7,0)</f>
        <v>6</v>
      </c>
      <c r="M76" s="75">
        <f>VLOOKUP(D:D,美团日报!C:F,4,0)</f>
        <v>977.90452220498</v>
      </c>
      <c r="N76" s="16">
        <f>VLOOKUP(D:D,美团日报!C:I,7,0)</f>
        <v>25</v>
      </c>
      <c r="O76" s="75">
        <f>VLOOKUP(D:D,饿了么日报!C:F,4,0)</f>
        <v>507.77015507017</v>
      </c>
      <c r="P76" s="16">
        <f>VLOOKUP(D:D,饿了么日报!C:I,7,0)</f>
        <v>8</v>
      </c>
      <c r="Q76" s="87">
        <f t="shared" si="5"/>
        <v>1601.48883656718</v>
      </c>
      <c r="R76" s="88">
        <f t="shared" si="6"/>
        <v>39</v>
      </c>
      <c r="S76" s="89">
        <f t="shared" si="7"/>
        <v>0.22597873236282</v>
      </c>
      <c r="T76" s="90"/>
      <c r="U76" s="90"/>
    </row>
    <row r="77" ht="14.4" spans="1:21">
      <c r="A77" s="27" t="s">
        <v>13</v>
      </c>
      <c r="B77" s="26" t="s">
        <v>56</v>
      </c>
      <c r="C77" s="26" t="s">
        <v>83</v>
      </c>
      <c r="D77" s="16">
        <v>8677</v>
      </c>
      <c r="E77" s="27" t="s">
        <v>219</v>
      </c>
      <c r="F77" s="16" t="s">
        <v>40</v>
      </c>
      <c r="G77" s="26" t="s">
        <v>54</v>
      </c>
      <c r="H77" s="27" t="s">
        <v>220</v>
      </c>
      <c r="I77" s="27">
        <v>107</v>
      </c>
      <c r="J77" s="75">
        <f>VLOOKUP(D77,美团日报!$C:$E,3,0)</f>
        <v>7157.3854</v>
      </c>
      <c r="K77" s="75">
        <f>VLOOKUP(D:D,秒达日报!C:F,4,0)</f>
        <v>150.90265486724</v>
      </c>
      <c r="L77" s="16">
        <f>VLOOKUP(D:D,秒达日报!C:I,7,0)</f>
        <v>4</v>
      </c>
      <c r="M77" s="75">
        <f>VLOOKUP(D:D,美团日报!C:F,4,0)</f>
        <v>1202.33660794023</v>
      </c>
      <c r="N77" s="16">
        <f>VLOOKUP(D:D,美团日报!C:I,7,0)</f>
        <v>29</v>
      </c>
      <c r="O77" s="75">
        <f>VLOOKUP(D:D,饿了么日报!C:F,4,0)</f>
        <v>829.61922546068</v>
      </c>
      <c r="P77" s="16">
        <f>VLOOKUP(D:D,饿了么日报!C:I,7,0)</f>
        <v>25</v>
      </c>
      <c r="Q77" s="87">
        <f t="shared" si="5"/>
        <v>2182.85848826815</v>
      </c>
      <c r="R77" s="88">
        <f t="shared" si="6"/>
        <v>58</v>
      </c>
      <c r="S77" s="89">
        <f t="shared" si="7"/>
        <v>0.304979872715552</v>
      </c>
      <c r="T77" s="90"/>
      <c r="U77" s="90"/>
    </row>
    <row r="78" ht="14.4" spans="1:21">
      <c r="A78" s="27" t="s">
        <v>13</v>
      </c>
      <c r="B78" s="26" t="s">
        <v>48</v>
      </c>
      <c r="C78" s="26" t="s">
        <v>83</v>
      </c>
      <c r="D78" s="16">
        <v>8704</v>
      </c>
      <c r="E78" s="27" t="s">
        <v>221</v>
      </c>
      <c r="F78" s="16" t="s">
        <v>40</v>
      </c>
      <c r="G78" s="26" t="s">
        <v>66</v>
      </c>
      <c r="H78" s="27" t="s">
        <v>222</v>
      </c>
      <c r="I78" s="27">
        <v>89.74</v>
      </c>
      <c r="J78" s="75">
        <f>VLOOKUP(D78,美团日报!$C:$E,3,0)</f>
        <v>6066.3782</v>
      </c>
      <c r="K78" s="75">
        <f>VLOOKUP(D:D,秒达日报!C:F,4,0)</f>
        <v>219.94690265483</v>
      </c>
      <c r="L78" s="16">
        <f>VLOOKUP(D:D,秒达日报!C:I,7,0)</f>
        <v>9</v>
      </c>
      <c r="M78" s="75">
        <f>VLOOKUP(D:D,美团日报!C:F,4,0)</f>
        <v>219.38053097341</v>
      </c>
      <c r="N78" s="16">
        <f>VLOOKUP(D:D,美团日报!C:I,7,0)</f>
        <v>5</v>
      </c>
      <c r="O78" s="75">
        <f>VLOOKUP(D:D,饿了么日报!C:F,4,0)</f>
        <v>675.57887472597</v>
      </c>
      <c r="P78" s="16">
        <f>VLOOKUP(D:D,饿了么日报!C:I,7,0)</f>
        <v>19</v>
      </c>
      <c r="Q78" s="87">
        <f t="shared" si="5"/>
        <v>1114.90630835421</v>
      </c>
      <c r="R78" s="88">
        <f t="shared" si="6"/>
        <v>33</v>
      </c>
      <c r="S78" s="89">
        <f t="shared" si="7"/>
        <v>0.183784503965514</v>
      </c>
      <c r="T78" s="90"/>
      <c r="U78" s="90"/>
    </row>
    <row r="79" ht="14.4" spans="1:21">
      <c r="A79" s="27" t="s">
        <v>13</v>
      </c>
      <c r="B79" s="26" t="s">
        <v>48</v>
      </c>
      <c r="C79" s="26" t="s">
        <v>143</v>
      </c>
      <c r="D79" s="16">
        <v>8740</v>
      </c>
      <c r="E79" s="27" t="s">
        <v>223</v>
      </c>
      <c r="F79" s="16" t="s">
        <v>40</v>
      </c>
      <c r="G79" s="26" t="s">
        <v>41</v>
      </c>
      <c r="H79" s="27" t="s">
        <v>224</v>
      </c>
      <c r="I79" s="27">
        <v>115.35</v>
      </c>
      <c r="J79" s="75">
        <f>VLOOKUP(D79,美团日报!$C:$E,3,0)</f>
        <v>8226.2309</v>
      </c>
      <c r="K79" s="75">
        <f>VLOOKUP(D:D,秒达日报!C:F,4,0)</f>
        <v>186.76106194689</v>
      </c>
      <c r="L79" s="16">
        <f>VLOOKUP(D:D,秒达日报!C:I,7,0)</f>
        <v>1</v>
      </c>
      <c r="M79" s="75">
        <f>VLOOKUP(D:D,美团日报!C:F,4,0)</f>
        <v>415.89835187129</v>
      </c>
      <c r="N79" s="16">
        <f>VLOOKUP(D:D,美团日报!C:I,7,0)</f>
        <v>9</v>
      </c>
      <c r="O79" s="75">
        <f>VLOOKUP(D:D,饿了么日报!C:F,4,0)</f>
        <v>582.93342534707</v>
      </c>
      <c r="P79" s="16">
        <f>VLOOKUP(D:D,饿了么日报!C:I,7,0)</f>
        <v>14</v>
      </c>
      <c r="Q79" s="87">
        <f t="shared" si="5"/>
        <v>1185.59283916525</v>
      </c>
      <c r="R79" s="88">
        <f t="shared" si="6"/>
        <v>24</v>
      </c>
      <c r="S79" s="89">
        <f t="shared" si="7"/>
        <v>0.144123457459145</v>
      </c>
      <c r="T79" s="90"/>
      <c r="U79" s="90"/>
    </row>
    <row r="80" ht="14.4" spans="1:21">
      <c r="A80" s="27" t="s">
        <v>13</v>
      </c>
      <c r="B80" s="26" t="s">
        <v>43</v>
      </c>
      <c r="C80" s="26" t="s">
        <v>49</v>
      </c>
      <c r="D80" s="16">
        <v>8659</v>
      </c>
      <c r="E80" s="27" t="s">
        <v>225</v>
      </c>
      <c r="F80" s="16" t="s">
        <v>40</v>
      </c>
      <c r="G80" s="26" t="s">
        <v>41</v>
      </c>
      <c r="H80" s="27" t="s">
        <v>226</v>
      </c>
      <c r="I80" s="27">
        <v>125</v>
      </c>
      <c r="J80" s="75">
        <f>VLOOKUP(D80,美团日报!$C:$E,3,0)</f>
        <v>5515.2495</v>
      </c>
      <c r="K80" s="75">
        <f>VLOOKUP(D:D,秒达日报!C:F,4,0)</f>
        <v>450.9056588455</v>
      </c>
      <c r="L80" s="16">
        <f>VLOOKUP(D:D,秒达日报!C:I,7,0)</f>
        <v>15</v>
      </c>
      <c r="M80" s="75">
        <f>VLOOKUP(D:D,美团日报!C:F,4,0)</f>
        <v>337.25663716812</v>
      </c>
      <c r="N80" s="16">
        <f>VLOOKUP(D:D,美团日报!C:I,7,0)</f>
        <v>7</v>
      </c>
      <c r="O80" s="75">
        <f>VLOOKUP(D:D,饿了么日报!C:F,4,0)</f>
        <v>361.44783632381</v>
      </c>
      <c r="P80" s="16">
        <f>VLOOKUP(D:D,饿了么日报!C:I,7,0)</f>
        <v>11</v>
      </c>
      <c r="Q80" s="87">
        <f t="shared" si="5"/>
        <v>1149.61013233743</v>
      </c>
      <c r="R80" s="88">
        <f t="shared" si="6"/>
        <v>33</v>
      </c>
      <c r="S80" s="89">
        <f t="shared" si="7"/>
        <v>0.208442089943062</v>
      </c>
      <c r="T80" s="90"/>
      <c r="U80" s="90"/>
    </row>
    <row r="81" ht="14.4" spans="1:21">
      <c r="A81" s="27" t="s">
        <v>13</v>
      </c>
      <c r="B81" s="26" t="s">
        <v>48</v>
      </c>
      <c r="C81" s="26" t="s">
        <v>57</v>
      </c>
      <c r="D81" s="16">
        <v>8697</v>
      </c>
      <c r="E81" s="27" t="s">
        <v>227</v>
      </c>
      <c r="F81" s="16" t="s">
        <v>40</v>
      </c>
      <c r="G81" s="26" t="s">
        <v>41</v>
      </c>
      <c r="H81" s="27" t="s">
        <v>228</v>
      </c>
      <c r="I81" s="27">
        <v>71.6</v>
      </c>
      <c r="J81" s="75">
        <f>VLOOKUP(D81,美团日报!$C:$E,3,0)</f>
        <v>7516.7383</v>
      </c>
      <c r="K81" s="75">
        <f>VLOOKUP(D:D,秒达日报!C:F,4,0)</f>
        <v>185.69643582041</v>
      </c>
      <c r="L81" s="16">
        <f>VLOOKUP(D:D,秒达日报!C:I,7,0)</f>
        <v>5</v>
      </c>
      <c r="M81" s="75">
        <f>VLOOKUP(D:D,美团日报!C:F,4,0)</f>
        <v>1160.17845254517</v>
      </c>
      <c r="N81" s="16">
        <f>VLOOKUP(D:D,美团日报!C:I,7,0)</f>
        <v>31</v>
      </c>
      <c r="O81" s="75">
        <f>VLOOKUP(D:D,饿了么日报!C:F,4,0)</f>
        <v>1236.11959080949</v>
      </c>
      <c r="P81" s="16">
        <f>VLOOKUP(D:D,饿了么日报!C:I,7,0)</f>
        <v>36</v>
      </c>
      <c r="Q81" s="87">
        <f t="shared" si="5"/>
        <v>2581.99447917507</v>
      </c>
      <c r="R81" s="88">
        <f t="shared" si="6"/>
        <v>72</v>
      </c>
      <c r="S81" s="89">
        <f t="shared" si="7"/>
        <v>0.343499317938882</v>
      </c>
      <c r="T81" s="90"/>
      <c r="U81" s="90"/>
    </row>
    <row r="82" ht="14.4" spans="1:21">
      <c r="A82" s="27" t="s">
        <v>13</v>
      </c>
      <c r="B82" s="26" t="s">
        <v>56</v>
      </c>
      <c r="C82" s="26" t="s">
        <v>131</v>
      </c>
      <c r="D82" s="16">
        <v>8710</v>
      </c>
      <c r="E82" s="27" t="s">
        <v>229</v>
      </c>
      <c r="F82" s="16" t="s">
        <v>40</v>
      </c>
      <c r="G82" s="26" t="s">
        <v>54</v>
      </c>
      <c r="H82" s="27" t="s">
        <v>230</v>
      </c>
      <c r="I82" s="27">
        <v>91.84</v>
      </c>
      <c r="J82" s="75">
        <f>VLOOKUP(D82,美团日报!$C:$E,3,0)</f>
        <v>5498.149</v>
      </c>
      <c r="K82" s="75">
        <f>VLOOKUP(D:D,秒达日报!C:F,4,0)</f>
        <v>492.2123893805</v>
      </c>
      <c r="L82" s="16">
        <f>VLOOKUP(D:D,秒达日报!C:I,7,0)</f>
        <v>13</v>
      </c>
      <c r="M82" s="75">
        <f>VLOOKUP(D:D,美团日报!C:F,4,0)</f>
        <v>196.86108630348</v>
      </c>
      <c r="N82" s="16">
        <f>VLOOKUP(D:D,美团日报!C:I,7,0)</f>
        <v>5</v>
      </c>
      <c r="O82" s="75">
        <f>VLOOKUP(D:D,饿了么日报!C:F,4,0)</f>
        <v>442.50442477877</v>
      </c>
      <c r="P82" s="16">
        <f>VLOOKUP(D:D,饿了么日报!C:I,7,0)</f>
        <v>11</v>
      </c>
      <c r="Q82" s="87">
        <f t="shared" si="5"/>
        <v>1131.57790046275</v>
      </c>
      <c r="R82" s="88">
        <f t="shared" si="6"/>
        <v>29</v>
      </c>
      <c r="S82" s="89">
        <f t="shared" si="7"/>
        <v>0.205810701103726</v>
      </c>
      <c r="T82" s="90"/>
      <c r="U82" s="90"/>
    </row>
    <row r="83" ht="14.4" spans="1:21">
      <c r="A83" s="27" t="s">
        <v>13</v>
      </c>
      <c r="B83" s="26" t="s">
        <v>43</v>
      </c>
      <c r="C83" s="26" t="s">
        <v>73</v>
      </c>
      <c r="D83" s="16">
        <v>8683</v>
      </c>
      <c r="E83" s="27" t="s">
        <v>231</v>
      </c>
      <c r="F83" s="16" t="s">
        <v>40</v>
      </c>
      <c r="G83" s="26" t="s">
        <v>41</v>
      </c>
      <c r="H83" s="27" t="s">
        <v>232</v>
      </c>
      <c r="I83" s="27">
        <v>130</v>
      </c>
      <c r="J83" s="75">
        <f>VLOOKUP(D83,美团日报!$C:$E,3,0)</f>
        <v>0</v>
      </c>
      <c r="K83" s="75">
        <f>VLOOKUP(D:D,秒达日报!C:F,4,0)</f>
        <v>0</v>
      </c>
      <c r="L83" s="16">
        <f>VLOOKUP(D:D,秒达日报!C:I,7,0)</f>
        <v>0</v>
      </c>
      <c r="M83" s="75">
        <f>VLOOKUP(D:D,美团日报!C:F,4,0)</f>
        <v>0</v>
      </c>
      <c r="N83" s="16">
        <f>VLOOKUP(D:D,美团日报!C:I,7,0)</f>
        <v>0</v>
      </c>
      <c r="O83" s="75">
        <f>VLOOKUP(D:D,饿了么日报!C:F,4,0)</f>
        <v>0</v>
      </c>
      <c r="P83" s="16">
        <f>VLOOKUP(D:D,饿了么日报!C:I,7,0)</f>
        <v>0</v>
      </c>
      <c r="Q83" s="87">
        <f t="shared" si="5"/>
        <v>0</v>
      </c>
      <c r="R83" s="88">
        <f t="shared" si="6"/>
        <v>0</v>
      </c>
      <c r="S83" s="89" t="e">
        <f t="shared" si="7"/>
        <v>#DIV/0!</v>
      </c>
      <c r="T83" s="91"/>
      <c r="U83" s="91"/>
    </row>
    <row r="84" ht="14.4" spans="1:21">
      <c r="A84" s="27" t="s">
        <v>13</v>
      </c>
      <c r="B84" s="26" t="s">
        <v>56</v>
      </c>
      <c r="C84" s="26" t="s">
        <v>143</v>
      </c>
      <c r="D84" s="16">
        <v>8711</v>
      </c>
      <c r="E84" s="27" t="s">
        <v>233</v>
      </c>
      <c r="F84" s="16" t="s">
        <v>40</v>
      </c>
      <c r="G84" s="26" t="s">
        <v>54</v>
      </c>
      <c r="H84" s="27" t="s">
        <v>234</v>
      </c>
      <c r="I84" s="27">
        <v>80</v>
      </c>
      <c r="J84" s="75">
        <f>VLOOKUP(D84,美团日报!$C:$E,3,0)</f>
        <v>7312.6012</v>
      </c>
      <c r="K84" s="75">
        <f>VLOOKUP(D:D,秒达日报!C:F,4,0)</f>
        <v>225.20418933175</v>
      </c>
      <c r="L84" s="16">
        <f>VLOOKUP(D:D,秒达日报!C:I,7,0)</f>
        <v>11</v>
      </c>
      <c r="M84" s="75">
        <f>VLOOKUP(D:D,美团日报!C:F,4,0)</f>
        <v>1070.59218965649</v>
      </c>
      <c r="N84" s="16">
        <f>VLOOKUP(D:D,美团日报!C:I,7,0)</f>
        <v>28</v>
      </c>
      <c r="O84" s="75">
        <f>VLOOKUP(D:D,饿了么日报!C:F,4,0)</f>
        <v>444.87310221643</v>
      </c>
      <c r="P84" s="16">
        <f>VLOOKUP(D:D,饿了么日报!C:I,7,0)</f>
        <v>12</v>
      </c>
      <c r="Q84" s="87">
        <f t="shared" si="5"/>
        <v>1740.66948120467</v>
      </c>
      <c r="R84" s="88">
        <f t="shared" si="6"/>
        <v>51</v>
      </c>
      <c r="S84" s="89">
        <f t="shared" si="7"/>
        <v>0.238036976664975</v>
      </c>
      <c r="T84" s="90"/>
      <c r="U84" s="90"/>
    </row>
    <row r="85" ht="14.4" spans="1:21">
      <c r="A85" s="27" t="s">
        <v>13</v>
      </c>
      <c r="B85" s="26" t="s">
        <v>43</v>
      </c>
      <c r="C85" s="26" t="e">
        <v>#N/A</v>
      </c>
      <c r="D85" s="16">
        <v>8718</v>
      </c>
      <c r="E85" s="27" t="s">
        <v>235</v>
      </c>
      <c r="F85" s="16" t="e">
        <v>#N/A</v>
      </c>
      <c r="G85" s="26" t="e">
        <v>#N/A</v>
      </c>
      <c r="H85" s="27" t="s">
        <v>236</v>
      </c>
      <c r="I85" s="27">
        <v>146.17</v>
      </c>
      <c r="J85" s="75">
        <f>VLOOKUP(D85,美团日报!$C:$E,3,0)</f>
        <v>0</v>
      </c>
      <c r="K85" s="75">
        <f>VLOOKUP(D:D,秒达日报!C:F,4,0)</f>
        <v>0</v>
      </c>
      <c r="L85" s="16">
        <f>VLOOKUP(D:D,秒达日报!C:I,7,0)</f>
        <v>0</v>
      </c>
      <c r="M85" s="75">
        <f>VLOOKUP(D:D,美团日报!C:F,4,0)</f>
        <v>0</v>
      </c>
      <c r="N85" s="16">
        <f>VLOOKUP(D:D,美团日报!C:I,7,0)</f>
        <v>0</v>
      </c>
      <c r="O85" s="75">
        <f>VLOOKUP(D:D,饿了么日报!C:F,4,0)</f>
        <v>0</v>
      </c>
      <c r="P85" s="16">
        <f>VLOOKUP(D:D,饿了么日报!C:I,7,0)</f>
        <v>0</v>
      </c>
      <c r="Q85" s="87">
        <f t="shared" si="5"/>
        <v>0</v>
      </c>
      <c r="R85" s="88">
        <f t="shared" si="6"/>
        <v>0</v>
      </c>
      <c r="S85" s="89" t="e">
        <f t="shared" si="7"/>
        <v>#DIV/0!</v>
      </c>
      <c r="T85" s="90"/>
      <c r="U85" s="90"/>
    </row>
    <row r="86" ht="14.4" spans="1:21">
      <c r="A86" s="27" t="s">
        <v>13</v>
      </c>
      <c r="B86" s="26" t="e">
        <v>#N/A</v>
      </c>
      <c r="C86" s="26" t="s">
        <v>86</v>
      </c>
      <c r="D86" s="16">
        <v>8690</v>
      </c>
      <c r="E86" s="27" t="s">
        <v>237</v>
      </c>
      <c r="F86" s="16" t="s">
        <v>40</v>
      </c>
      <c r="G86" s="26" t="s">
        <v>41</v>
      </c>
      <c r="H86" s="27" t="s">
        <v>238</v>
      </c>
      <c r="I86" s="27">
        <v>140.59</v>
      </c>
      <c r="J86" s="75">
        <f>VLOOKUP(D86,美团日报!$C:$E,3,0)</f>
        <v>6031.1086</v>
      </c>
      <c r="K86" s="75">
        <f>VLOOKUP(D:D,秒达日报!C:F,4,0)</f>
        <v>88.0733944954101</v>
      </c>
      <c r="L86" s="16">
        <f>VLOOKUP(D:D,秒达日报!C:I,7,0)</f>
        <v>1</v>
      </c>
      <c r="M86" s="75">
        <f>VLOOKUP(D:D,美团日报!C:F,4,0)</f>
        <v>404.87293983916</v>
      </c>
      <c r="N86" s="16">
        <f>VLOOKUP(D:D,美团日报!C:I,7,0)</f>
        <v>11</v>
      </c>
      <c r="O86" s="75">
        <f>VLOOKUP(D:D,饿了么日报!C:F,4,0)</f>
        <v>1013.38605179832</v>
      </c>
      <c r="P86" s="16">
        <f>VLOOKUP(D:D,饿了么日报!C:I,7,0)</f>
        <v>24</v>
      </c>
      <c r="Q86" s="87">
        <f t="shared" si="5"/>
        <v>1506.33238613289</v>
      </c>
      <c r="R86" s="88">
        <f t="shared" si="6"/>
        <v>36</v>
      </c>
      <c r="S86" s="89">
        <f t="shared" si="7"/>
        <v>0.249760448043149</v>
      </c>
      <c r="T86" s="90"/>
      <c r="U86" s="90"/>
    </row>
    <row r="87" ht="14.4" spans="1:21">
      <c r="A87" s="27" t="s">
        <v>13</v>
      </c>
      <c r="B87" s="26" t="s">
        <v>63</v>
      </c>
      <c r="C87" s="26" t="s">
        <v>89</v>
      </c>
      <c r="D87" s="16">
        <v>8719</v>
      </c>
      <c r="E87" s="27" t="s">
        <v>239</v>
      </c>
      <c r="F87" s="16" t="s">
        <v>40</v>
      </c>
      <c r="G87" s="26" t="s">
        <v>54</v>
      </c>
      <c r="H87" s="27" t="s">
        <v>240</v>
      </c>
      <c r="I87" s="27">
        <v>81.14</v>
      </c>
      <c r="J87" s="75">
        <f>VLOOKUP(D87,美团日报!$C:$E,3,0)</f>
        <v>4779.7659</v>
      </c>
      <c r="K87" s="75">
        <f>VLOOKUP(D:D,秒达日报!C:F,4,0)</f>
        <v>70.44247787609</v>
      </c>
      <c r="L87" s="16">
        <f>VLOOKUP(D:D,秒达日报!C:I,7,0)</f>
        <v>4</v>
      </c>
      <c r="M87" s="75">
        <f>VLOOKUP(D:D,美团日报!C:F,4,0)</f>
        <v>196.68750507426</v>
      </c>
      <c r="N87" s="16">
        <f>VLOOKUP(D:D,美团日报!C:I,7,0)</f>
        <v>6</v>
      </c>
      <c r="O87" s="75">
        <f>VLOOKUP(D:D,饿了么日报!C:F,4,0)</f>
        <v>105.48591377769</v>
      </c>
      <c r="P87" s="16">
        <f>VLOOKUP(D:D,饿了么日报!C:I,7,0)</f>
        <v>5</v>
      </c>
      <c r="Q87" s="87">
        <f t="shared" si="5"/>
        <v>372.61589672804</v>
      </c>
      <c r="R87" s="88">
        <f t="shared" si="6"/>
        <v>15</v>
      </c>
      <c r="S87" s="89">
        <f t="shared" si="7"/>
        <v>0.0779569344030092</v>
      </c>
      <c r="T87" s="90"/>
      <c r="U87" s="90"/>
    </row>
    <row r="88" ht="14.4" spans="1:21">
      <c r="A88" s="27" t="s">
        <v>13</v>
      </c>
      <c r="B88" s="26" t="s">
        <v>48</v>
      </c>
      <c r="C88" s="26" t="s">
        <v>86</v>
      </c>
      <c r="D88" s="16">
        <v>8723</v>
      </c>
      <c r="E88" s="27" t="s">
        <v>241</v>
      </c>
      <c r="F88" s="16" t="s">
        <v>40</v>
      </c>
      <c r="G88" s="26" t="s">
        <v>54</v>
      </c>
      <c r="H88" s="27" t="s">
        <v>242</v>
      </c>
      <c r="I88" s="27">
        <v>89</v>
      </c>
      <c r="J88" s="75">
        <f>VLOOKUP(D88,美团日报!$C:$E,3,0)</f>
        <v>10718.1217</v>
      </c>
      <c r="K88" s="75">
        <f>VLOOKUP(D:D,秒达日报!C:F,4,0)</f>
        <v>134.3192335796</v>
      </c>
      <c r="L88" s="16">
        <f>VLOOKUP(D:D,秒达日报!C:I,7,0)</f>
        <v>4</v>
      </c>
      <c r="M88" s="75">
        <f>VLOOKUP(D:D,美团日报!C:F,4,0)</f>
        <v>1019.45936510499</v>
      </c>
      <c r="N88" s="16">
        <f>VLOOKUP(D:D,美团日报!C:I,7,0)</f>
        <v>22</v>
      </c>
      <c r="O88" s="75">
        <f>VLOOKUP(D:D,饿了么日报!C:F,4,0)</f>
        <v>456.36453681897</v>
      </c>
      <c r="P88" s="16">
        <f>VLOOKUP(D:D,饿了么日报!C:I,7,0)</f>
        <v>12</v>
      </c>
      <c r="Q88" s="87">
        <f t="shared" si="5"/>
        <v>1610.14313550356</v>
      </c>
      <c r="R88" s="88">
        <f t="shared" si="6"/>
        <v>38</v>
      </c>
      <c r="S88" s="89">
        <f t="shared" si="7"/>
        <v>0.150226241180258</v>
      </c>
      <c r="T88" s="91"/>
      <c r="U88" s="91"/>
    </row>
    <row r="89" ht="14.4" spans="1:21">
      <c r="A89" s="27" t="s">
        <v>13</v>
      </c>
      <c r="B89" s="26" t="s">
        <v>63</v>
      </c>
      <c r="C89" s="26" t="s">
        <v>83</v>
      </c>
      <c r="D89" s="16">
        <v>8725</v>
      </c>
      <c r="E89" s="27" t="s">
        <v>243</v>
      </c>
      <c r="F89" s="16" t="s">
        <v>40</v>
      </c>
      <c r="G89" s="26" t="s">
        <v>41</v>
      </c>
      <c r="H89" s="27" t="s">
        <v>244</v>
      </c>
      <c r="I89" s="27">
        <v>108.8</v>
      </c>
      <c r="J89" s="75">
        <f>VLOOKUP(D89,美团日报!$C:$E,3,0)</f>
        <v>4422.7003</v>
      </c>
      <c r="K89" s="75">
        <f>VLOOKUP(D:D,秒达日报!C:F,4,0)</f>
        <v>0</v>
      </c>
      <c r="L89" s="16">
        <f>VLOOKUP(D:D,秒达日报!C:I,7,0)</f>
        <v>0</v>
      </c>
      <c r="M89" s="75">
        <f>VLOOKUP(D:D,美团日报!C:F,4,0)</f>
        <v>1148.32589104486</v>
      </c>
      <c r="N89" s="16">
        <f>VLOOKUP(D:D,美团日报!C:I,7,0)</f>
        <v>25</v>
      </c>
      <c r="O89" s="75">
        <f>VLOOKUP(D:D,饿了么日报!C:F,4,0)</f>
        <v>361.22562312248</v>
      </c>
      <c r="P89" s="16">
        <f>VLOOKUP(D:D,饿了么日报!C:I,7,0)</f>
        <v>11</v>
      </c>
      <c r="Q89" s="87">
        <f t="shared" si="5"/>
        <v>1509.55151416734</v>
      </c>
      <c r="R89" s="88">
        <f t="shared" si="6"/>
        <v>36</v>
      </c>
      <c r="S89" s="89">
        <f t="shared" si="7"/>
        <v>0.341318970712833</v>
      </c>
      <c r="T89" s="90"/>
      <c r="U89" s="90"/>
    </row>
    <row r="90" ht="14.4" spans="1:21">
      <c r="A90" s="27" t="s">
        <v>13</v>
      </c>
      <c r="B90" s="26" t="s">
        <v>48</v>
      </c>
      <c r="C90" s="26" t="s">
        <v>99</v>
      </c>
      <c r="D90" s="16">
        <v>8726</v>
      </c>
      <c r="E90" s="27" t="s">
        <v>245</v>
      </c>
      <c r="F90" s="16" t="s">
        <v>40</v>
      </c>
      <c r="G90" s="26" t="s">
        <v>66</v>
      </c>
      <c r="H90" s="27" t="s">
        <v>246</v>
      </c>
      <c r="I90" s="27">
        <v>70</v>
      </c>
      <c r="J90" s="75">
        <f>VLOOKUP(D90,美团日报!$C:$E,3,0)</f>
        <v>7684.8455</v>
      </c>
      <c r="K90" s="75">
        <f>VLOOKUP(D:D,秒达日报!C:F,4,0)</f>
        <v>114.68458228465</v>
      </c>
      <c r="L90" s="16">
        <f>VLOOKUP(D:D,秒达日报!C:I,7,0)</f>
        <v>3</v>
      </c>
      <c r="M90" s="75">
        <f>VLOOKUP(D:D,美团日报!C:F,4,0)</f>
        <v>1149.62003734666</v>
      </c>
      <c r="N90" s="16">
        <f>VLOOKUP(D:D,美团日报!C:I,7,0)</f>
        <v>25</v>
      </c>
      <c r="O90" s="75">
        <f>VLOOKUP(D:D,饿了么日报!C:F,4,0)</f>
        <v>911.28318584076</v>
      </c>
      <c r="P90" s="16">
        <f>VLOOKUP(D:D,饿了么日报!C:I,7,0)</f>
        <v>25</v>
      </c>
      <c r="Q90" s="87">
        <f t="shared" si="5"/>
        <v>2175.58780547207</v>
      </c>
      <c r="R90" s="88">
        <f t="shared" si="6"/>
        <v>53</v>
      </c>
      <c r="S90" s="89">
        <f t="shared" si="7"/>
        <v>0.283101046790345</v>
      </c>
      <c r="T90" s="90"/>
      <c r="U90" s="90"/>
    </row>
    <row r="91" ht="14.4" spans="1:21">
      <c r="A91" s="27" t="s">
        <v>13</v>
      </c>
      <c r="B91" s="26" t="s">
        <v>63</v>
      </c>
      <c r="C91" s="26" t="s">
        <v>168</v>
      </c>
      <c r="D91" s="16">
        <v>8716</v>
      </c>
      <c r="E91" s="27" t="s">
        <v>247</v>
      </c>
      <c r="F91" s="16" t="s">
        <v>40</v>
      </c>
      <c r="G91" s="26" t="s">
        <v>54</v>
      </c>
      <c r="H91" s="27" t="s">
        <v>248</v>
      </c>
      <c r="I91" s="27">
        <v>68.4</v>
      </c>
      <c r="J91" s="75">
        <f>VLOOKUP(D91,美团日报!$C:$E,3,0)</f>
        <v>16394.6485</v>
      </c>
      <c r="K91" s="75">
        <f>VLOOKUP(D:D,秒达日报!C:F,4,0)</f>
        <v>488.99277421443</v>
      </c>
      <c r="L91" s="16">
        <f>VLOOKUP(D:D,秒达日报!C:I,7,0)</f>
        <v>14</v>
      </c>
      <c r="M91" s="75">
        <f>VLOOKUP(D:D,美团日报!C:F,4,0)</f>
        <v>3847.0672647559</v>
      </c>
      <c r="N91" s="16">
        <f>VLOOKUP(D:D,美团日报!C:I,7,0)</f>
        <v>86</v>
      </c>
      <c r="O91" s="75">
        <f>VLOOKUP(D:D,饿了么日报!C:F,4,0)</f>
        <v>1366.75481042459</v>
      </c>
      <c r="P91" s="16">
        <f>VLOOKUP(D:D,饿了么日报!C:I,7,0)</f>
        <v>46</v>
      </c>
      <c r="Q91" s="87">
        <f t="shared" si="5"/>
        <v>5702.81484939492</v>
      </c>
      <c r="R91" s="88">
        <f t="shared" si="6"/>
        <v>146</v>
      </c>
      <c r="S91" s="89">
        <f t="shared" si="7"/>
        <v>0.347846118774362</v>
      </c>
      <c r="T91" s="90"/>
      <c r="U91" s="90"/>
    </row>
    <row r="92" ht="14.4" spans="1:21">
      <c r="A92" s="27" t="s">
        <v>13</v>
      </c>
      <c r="B92" s="26" t="s">
        <v>63</v>
      </c>
      <c r="C92" s="26" t="e">
        <v>#N/A</v>
      </c>
      <c r="D92" s="16">
        <v>8728</v>
      </c>
      <c r="E92" s="27" t="s">
        <v>249</v>
      </c>
      <c r="F92" s="16" t="e">
        <v>#N/A</v>
      </c>
      <c r="G92" s="26" t="e">
        <v>#N/A</v>
      </c>
      <c r="H92" s="27" t="s">
        <v>250</v>
      </c>
      <c r="I92" s="27">
        <v>86</v>
      </c>
      <c r="J92" s="75">
        <f>VLOOKUP(D92,美团日报!$C:$E,3,0)</f>
        <v>0</v>
      </c>
      <c r="K92" s="75">
        <f>VLOOKUP(D:D,秒达日报!C:F,4,0)</f>
        <v>0</v>
      </c>
      <c r="L92" s="16">
        <f>VLOOKUP(D:D,秒达日报!C:I,7,0)</f>
        <v>0</v>
      </c>
      <c r="M92" s="75">
        <f>VLOOKUP(D:D,美团日报!C:F,4,0)</f>
        <v>0</v>
      </c>
      <c r="N92" s="16">
        <f>VLOOKUP(D:D,美团日报!C:I,7,0)</f>
        <v>0</v>
      </c>
      <c r="O92" s="75">
        <f>VLOOKUP(D:D,饿了么日报!C:F,4,0)</f>
        <v>0</v>
      </c>
      <c r="P92" s="16">
        <f>VLOOKUP(D:D,饿了么日报!C:I,7,0)</f>
        <v>0</v>
      </c>
      <c r="Q92" s="87">
        <f t="shared" si="5"/>
        <v>0</v>
      </c>
      <c r="R92" s="88">
        <f t="shared" si="6"/>
        <v>0</v>
      </c>
      <c r="S92" s="89" t="e">
        <f t="shared" si="7"/>
        <v>#DIV/0!</v>
      </c>
      <c r="T92" s="90"/>
      <c r="U92" s="90"/>
    </row>
    <row r="93" ht="14.4" spans="1:21">
      <c r="A93" s="27" t="s">
        <v>13</v>
      </c>
      <c r="B93" s="26" t="e">
        <v>#N/A</v>
      </c>
      <c r="C93" s="26" t="s">
        <v>111</v>
      </c>
      <c r="D93" s="16">
        <v>8724</v>
      </c>
      <c r="E93" s="27" t="s">
        <v>251</v>
      </c>
      <c r="F93" s="16" t="s">
        <v>40</v>
      </c>
      <c r="G93" s="26" t="s">
        <v>54</v>
      </c>
      <c r="H93" s="27" t="s">
        <v>252</v>
      </c>
      <c r="I93" s="27">
        <v>85</v>
      </c>
      <c r="J93" s="75">
        <f>VLOOKUP(D93,美团日报!$C:$E,3,0)</f>
        <v>8032.605</v>
      </c>
      <c r="K93" s="75">
        <f>VLOOKUP(D:D,秒达日报!C:F,4,0)</f>
        <v>195.69911504419</v>
      </c>
      <c r="L93" s="16">
        <f>VLOOKUP(D:D,秒达日报!C:I,7,0)</f>
        <v>10</v>
      </c>
      <c r="M93" s="75">
        <f>VLOOKUP(D:D,美团日报!C:F,4,0)</f>
        <v>201.65056426074</v>
      </c>
      <c r="N93" s="16">
        <f>VLOOKUP(D:D,美团日报!C:I,7,0)</f>
        <v>4</v>
      </c>
      <c r="O93" s="75">
        <f>VLOOKUP(D:D,饿了么日报!C:F,4,0)</f>
        <v>88.47787610616</v>
      </c>
      <c r="P93" s="16">
        <f>VLOOKUP(D:D,饿了么日报!C:I,7,0)</f>
        <v>3</v>
      </c>
      <c r="Q93" s="87">
        <f t="shared" si="5"/>
        <v>485.82755541109</v>
      </c>
      <c r="R93" s="88">
        <f t="shared" si="6"/>
        <v>17</v>
      </c>
      <c r="S93" s="89">
        <f t="shared" si="7"/>
        <v>0.0604819427086344</v>
      </c>
      <c r="T93" s="90"/>
      <c r="U93" s="90"/>
    </row>
    <row r="94" ht="14.4" spans="1:21">
      <c r="A94" s="27" t="s">
        <v>13</v>
      </c>
      <c r="B94" s="26" t="s">
        <v>48</v>
      </c>
      <c r="C94" s="26" t="s">
        <v>161</v>
      </c>
      <c r="D94" s="16">
        <v>8729</v>
      </c>
      <c r="E94" s="27" t="s">
        <v>253</v>
      </c>
      <c r="F94" s="16" t="s">
        <v>40</v>
      </c>
      <c r="G94" s="26" t="s">
        <v>54</v>
      </c>
      <c r="H94" s="27" t="s">
        <v>254</v>
      </c>
      <c r="I94" s="27">
        <v>101.33</v>
      </c>
      <c r="J94" s="75">
        <f>VLOOKUP(D94,美团日报!$C:$E,3,0)</f>
        <v>8116.9096</v>
      </c>
      <c r="K94" s="75">
        <f>VLOOKUP(D:D,秒达日报!C:F,4,0)</f>
        <v>264.86725663716</v>
      </c>
      <c r="L94" s="16">
        <f>VLOOKUP(D:D,秒达日报!C:I,7,0)</f>
        <v>8</v>
      </c>
      <c r="M94" s="75">
        <f>VLOOKUP(D:D,美团日报!C:F,4,0)</f>
        <v>1414.64350085234</v>
      </c>
      <c r="N94" s="16">
        <f>VLOOKUP(D:D,美团日报!C:I,7,0)</f>
        <v>39</v>
      </c>
      <c r="O94" s="75">
        <f>VLOOKUP(D:D,饿了么日报!C:F,4,0)</f>
        <v>1228.49135341398</v>
      </c>
      <c r="P94" s="16">
        <f>VLOOKUP(D:D,饿了么日报!C:I,7,0)</f>
        <v>33</v>
      </c>
      <c r="Q94" s="87">
        <f t="shared" si="5"/>
        <v>2908.00211090348</v>
      </c>
      <c r="R94" s="88">
        <f t="shared" si="6"/>
        <v>80</v>
      </c>
      <c r="S94" s="89">
        <f t="shared" si="7"/>
        <v>0.358264691145936</v>
      </c>
      <c r="T94" s="90"/>
      <c r="U94" s="90"/>
    </row>
    <row r="95" ht="14.4" spans="1:21">
      <c r="A95" s="27" t="s">
        <v>13</v>
      </c>
      <c r="B95" s="26" t="s">
        <v>43</v>
      </c>
      <c r="C95" s="26" t="e">
        <v>#N/A</v>
      </c>
      <c r="D95" s="16">
        <v>8727</v>
      </c>
      <c r="E95" s="27" t="s">
        <v>255</v>
      </c>
      <c r="F95" s="16" t="e">
        <v>#N/A</v>
      </c>
      <c r="G95" s="26" t="e">
        <v>#N/A</v>
      </c>
      <c r="H95" s="27" t="s">
        <v>256</v>
      </c>
      <c r="I95" s="27">
        <v>95</v>
      </c>
      <c r="J95" s="75">
        <f>VLOOKUP(D95,美团日报!$C:$E,3,0)</f>
        <v>0</v>
      </c>
      <c r="K95" s="75">
        <f>VLOOKUP(D:D,秒达日报!C:F,4,0)</f>
        <v>0</v>
      </c>
      <c r="L95" s="16">
        <f>VLOOKUP(D:D,秒达日报!C:I,7,0)</f>
        <v>0</v>
      </c>
      <c r="M95" s="75">
        <f>VLOOKUP(D:D,美团日报!C:F,4,0)</f>
        <v>0</v>
      </c>
      <c r="N95" s="16">
        <f>VLOOKUP(D:D,美团日报!C:I,7,0)</f>
        <v>0</v>
      </c>
      <c r="O95" s="75">
        <f>VLOOKUP(D:D,饿了么日报!C:F,4,0)</f>
        <v>0</v>
      </c>
      <c r="P95" s="16">
        <f>VLOOKUP(D:D,饿了么日报!C:I,7,0)</f>
        <v>0</v>
      </c>
      <c r="Q95" s="87">
        <f t="shared" si="5"/>
        <v>0</v>
      </c>
      <c r="R95" s="88">
        <f t="shared" si="6"/>
        <v>0</v>
      </c>
      <c r="S95" s="89" t="e">
        <f t="shared" si="7"/>
        <v>#DIV/0!</v>
      </c>
      <c r="T95" s="90"/>
      <c r="U95" s="90"/>
    </row>
    <row r="96" ht="14.4" spans="1:21">
      <c r="A96" s="27" t="s">
        <v>13</v>
      </c>
      <c r="B96" s="26" t="e">
        <v>#N/A</v>
      </c>
      <c r="C96" s="26" t="s">
        <v>89</v>
      </c>
      <c r="D96" s="16">
        <v>8722</v>
      </c>
      <c r="E96" s="27" t="s">
        <v>257</v>
      </c>
      <c r="F96" s="16" t="s">
        <v>46</v>
      </c>
      <c r="G96" s="26" t="s">
        <v>54</v>
      </c>
      <c r="H96" s="27" t="s">
        <v>258</v>
      </c>
      <c r="I96" s="27">
        <v>123.18</v>
      </c>
      <c r="J96" s="75">
        <f>VLOOKUP(D96,美团日报!$C:$E,3,0)</f>
        <v>10388.1367</v>
      </c>
      <c r="K96" s="75">
        <f>VLOOKUP(D:D,秒达日报!C:F,4,0)</f>
        <v>102.56637168143</v>
      </c>
      <c r="L96" s="16">
        <f>VLOOKUP(D:D,秒达日报!C:I,7,0)</f>
        <v>3</v>
      </c>
      <c r="M96" s="75">
        <f>VLOOKUP(D:D,美团日报!C:F,4,0)</f>
        <v>36.10619469026</v>
      </c>
      <c r="N96" s="16">
        <f>VLOOKUP(D:D,美团日报!C:I,7,0)</f>
        <v>1</v>
      </c>
      <c r="O96" s="75">
        <f>VLOOKUP(D:D,饿了么日报!C:F,4,0)</f>
        <v>260.63905983599</v>
      </c>
      <c r="P96" s="16">
        <f>VLOOKUP(D:D,饿了么日报!C:I,7,0)</f>
        <v>7</v>
      </c>
      <c r="Q96" s="87">
        <f t="shared" si="5"/>
        <v>399.31162620768</v>
      </c>
      <c r="R96" s="88">
        <f t="shared" si="6"/>
        <v>11</v>
      </c>
      <c r="S96" s="89">
        <f t="shared" si="7"/>
        <v>0.0384391963390008</v>
      </c>
      <c r="T96" s="90"/>
      <c r="U96" s="90"/>
    </row>
    <row r="97" ht="14.4" spans="1:21">
      <c r="A97" s="27" t="s">
        <v>13</v>
      </c>
      <c r="B97" s="26" t="s">
        <v>48</v>
      </c>
      <c r="C97" s="26" t="s">
        <v>38</v>
      </c>
      <c r="D97" s="16">
        <v>8715</v>
      </c>
      <c r="E97" s="27" t="s">
        <v>259</v>
      </c>
      <c r="F97" s="16" t="s">
        <v>46</v>
      </c>
      <c r="G97" s="26" t="s">
        <v>41</v>
      </c>
      <c r="H97" s="27" t="s">
        <v>260</v>
      </c>
      <c r="I97" s="27">
        <v>123</v>
      </c>
      <c r="J97" s="75">
        <f>VLOOKUP(D97,美团日报!$C:$E,3,0)</f>
        <v>11398.6807</v>
      </c>
      <c r="K97" s="75">
        <f>VLOOKUP(D:D,秒达日报!C:F,4,0)</f>
        <v>240.31825931639</v>
      </c>
      <c r="L97" s="16">
        <f>VLOOKUP(D:D,秒达日报!C:I,7,0)</f>
        <v>5</v>
      </c>
      <c r="M97" s="75">
        <f>VLOOKUP(D:D,美团日报!C:F,4,0)</f>
        <v>1993.8369732889</v>
      </c>
      <c r="N97" s="16">
        <f>VLOOKUP(D:D,美团日报!C:I,7,0)</f>
        <v>51</v>
      </c>
      <c r="O97" s="75">
        <f>VLOOKUP(D:D,饿了么日报!C:F,4,0)</f>
        <v>545.92904116261</v>
      </c>
      <c r="P97" s="16">
        <f>VLOOKUP(D:D,饿了么日报!C:I,7,0)</f>
        <v>18</v>
      </c>
      <c r="Q97" s="87">
        <f t="shared" si="5"/>
        <v>2780.0842737679</v>
      </c>
      <c r="R97" s="88">
        <f t="shared" si="6"/>
        <v>74</v>
      </c>
      <c r="S97" s="89">
        <f t="shared" si="7"/>
        <v>0.243895267087173</v>
      </c>
      <c r="T97" s="90"/>
      <c r="U97" s="90"/>
    </row>
    <row r="98" ht="14.4" spans="1:21">
      <c r="A98" s="27" t="s">
        <v>13</v>
      </c>
      <c r="B98" s="26" t="s">
        <v>43</v>
      </c>
      <c r="C98" s="26" t="s">
        <v>261</v>
      </c>
      <c r="D98" s="16">
        <v>8720</v>
      </c>
      <c r="E98" s="27" t="s">
        <v>262</v>
      </c>
      <c r="F98" s="16" t="s">
        <v>46</v>
      </c>
      <c r="G98" s="26" t="s">
        <v>41</v>
      </c>
      <c r="H98" s="27" t="s">
        <v>263</v>
      </c>
      <c r="I98" s="27">
        <v>83.35</v>
      </c>
      <c r="J98" s="75">
        <f>VLOOKUP(D98,美团日报!$C:$E,3,0)</f>
        <v>9138.2401</v>
      </c>
      <c r="K98" s="75">
        <f>VLOOKUP(D:D,秒达日报!C:F,4,0)</f>
        <v>484.75797678006</v>
      </c>
      <c r="L98" s="16">
        <f>VLOOKUP(D:D,秒达日报!C:I,7,0)</f>
        <v>16</v>
      </c>
      <c r="M98" s="75">
        <f>VLOOKUP(D:D,美团日报!C:F,4,0)</f>
        <v>2452.194365511</v>
      </c>
      <c r="N98" s="16">
        <f>VLOOKUP(D:D,美团日报!C:I,7,0)</f>
        <v>63</v>
      </c>
      <c r="O98" s="75">
        <f>VLOOKUP(D:D,饿了么日报!C:F,4,0)</f>
        <v>1602.65665340586</v>
      </c>
      <c r="P98" s="16">
        <f>VLOOKUP(D:D,饿了么日报!C:I,7,0)</f>
        <v>40</v>
      </c>
      <c r="Q98" s="87">
        <f t="shared" si="5"/>
        <v>4539.60899569692</v>
      </c>
      <c r="R98" s="88">
        <f t="shared" si="6"/>
        <v>119</v>
      </c>
      <c r="S98" s="89">
        <f t="shared" si="7"/>
        <v>0.496770597622722</v>
      </c>
      <c r="T98" s="90"/>
      <c r="U98" s="90"/>
    </row>
    <row r="99" ht="14.4" spans="1:21">
      <c r="A99" s="27" t="s">
        <v>13</v>
      </c>
      <c r="B99" s="26" t="s">
        <v>264</v>
      </c>
      <c r="C99" s="26" t="s">
        <v>89</v>
      </c>
      <c r="D99" s="16">
        <v>8717</v>
      </c>
      <c r="E99" s="27" t="s">
        <v>265</v>
      </c>
      <c r="F99" s="16" t="s">
        <v>40</v>
      </c>
      <c r="G99" s="26" t="s">
        <v>41</v>
      </c>
      <c r="H99" s="27" t="s">
        <v>266</v>
      </c>
      <c r="I99" s="27">
        <v>176.54</v>
      </c>
      <c r="J99" s="75">
        <f>VLOOKUP(D99,美团日报!$C:$E,3,0)</f>
        <v>8215.2866</v>
      </c>
      <c r="K99" s="75">
        <f>VLOOKUP(D:D,秒达日报!C:F,4,0)</f>
        <v>250.63481367213</v>
      </c>
      <c r="L99" s="16">
        <f>VLOOKUP(D:D,秒达日报!C:I,7,0)</f>
        <v>6</v>
      </c>
      <c r="M99" s="75">
        <f>VLOOKUP(D:D,美团日报!C:F,4,0)</f>
        <v>510.69903385562</v>
      </c>
      <c r="N99" s="16">
        <f>VLOOKUP(D:D,美团日报!C:I,7,0)</f>
        <v>13</v>
      </c>
      <c r="O99" s="75">
        <f>VLOOKUP(D:D,饿了么日报!C:F,4,0)</f>
        <v>1057.5960867094</v>
      </c>
      <c r="P99" s="16">
        <f>VLOOKUP(D:D,饿了么日报!C:I,7,0)</f>
        <v>28</v>
      </c>
      <c r="Q99" s="87">
        <f t="shared" si="5"/>
        <v>1818.92993423715</v>
      </c>
      <c r="R99" s="88">
        <f t="shared" si="6"/>
        <v>47</v>
      </c>
      <c r="S99" s="89">
        <f t="shared" si="7"/>
        <v>0.221407970628456</v>
      </c>
      <c r="T99" s="90"/>
      <c r="U99" s="90"/>
    </row>
    <row r="100" ht="14.4" spans="1:21">
      <c r="A100" s="27" t="s">
        <v>13</v>
      </c>
      <c r="B100" s="26" t="s">
        <v>48</v>
      </c>
      <c r="C100" s="26" t="s">
        <v>143</v>
      </c>
      <c r="D100" s="16">
        <v>8730</v>
      </c>
      <c r="E100" s="27" t="s">
        <v>267</v>
      </c>
      <c r="F100" s="16" t="s">
        <v>46</v>
      </c>
      <c r="G100" s="26" t="s">
        <v>54</v>
      </c>
      <c r="H100" s="27" t="s">
        <v>268</v>
      </c>
      <c r="I100" s="27">
        <v>94</v>
      </c>
      <c r="J100" s="75">
        <f>VLOOKUP(D100,美团日报!$C:$E,3,0)</f>
        <v>12851.1993</v>
      </c>
      <c r="K100" s="75">
        <f>VLOOKUP(D:D,秒达日报!C:F,4,0)</f>
        <v>315.37022002109</v>
      </c>
      <c r="L100" s="16">
        <f>VLOOKUP(D:D,秒达日报!C:I,7,0)</f>
        <v>12</v>
      </c>
      <c r="M100" s="75">
        <f>VLOOKUP(D:D,美团日报!C:F,4,0)</f>
        <v>154.31030283349</v>
      </c>
      <c r="N100" s="16">
        <f>VLOOKUP(D:D,美团日报!C:I,7,0)</f>
        <v>4</v>
      </c>
      <c r="O100" s="75">
        <f>VLOOKUP(D:D,饿了么日报!C:F,4,0)</f>
        <v>248.8854428838</v>
      </c>
      <c r="P100" s="16">
        <f>VLOOKUP(D:D,饿了么日报!C:I,7,0)</f>
        <v>7</v>
      </c>
      <c r="Q100" s="87">
        <f t="shared" si="5"/>
        <v>718.56596573838</v>
      </c>
      <c r="R100" s="88">
        <f t="shared" si="6"/>
        <v>23</v>
      </c>
      <c r="S100" s="89">
        <f t="shared" si="7"/>
        <v>0.0559143118835905</v>
      </c>
      <c r="T100" s="90"/>
      <c r="U100" s="90"/>
    </row>
    <row r="101" ht="14.4" spans="1:21">
      <c r="A101" s="27" t="s">
        <v>13</v>
      </c>
      <c r="B101" s="26" t="s">
        <v>43</v>
      </c>
      <c r="C101" s="26" t="s">
        <v>131</v>
      </c>
      <c r="D101" s="16">
        <v>8698</v>
      </c>
      <c r="E101" s="27" t="s">
        <v>269</v>
      </c>
      <c r="F101" s="16" t="s">
        <v>46</v>
      </c>
      <c r="G101" s="26" t="s">
        <v>41</v>
      </c>
      <c r="H101" s="27" t="s">
        <v>270</v>
      </c>
      <c r="I101" s="27">
        <v>78.9</v>
      </c>
      <c r="J101" s="75">
        <f>VLOOKUP(D101,美团日报!$C:$E,3,0)</f>
        <v>9708.2172</v>
      </c>
      <c r="K101" s="75">
        <f>VLOOKUP(D:D,秒达日报!C:F,4,0)</f>
        <v>243.71681415928</v>
      </c>
      <c r="L101" s="16">
        <f>VLOOKUP(D:D,秒达日报!C:I,7,0)</f>
        <v>11</v>
      </c>
      <c r="M101" s="75">
        <f>VLOOKUP(D:D,美团日报!C:F,4,0)</f>
        <v>284.15929203537</v>
      </c>
      <c r="N101" s="16">
        <f>VLOOKUP(D:D,美团日报!C:I,7,0)</f>
        <v>8</v>
      </c>
      <c r="O101" s="75">
        <f>VLOOKUP(D:D,饿了么日报!C:F,4,0)</f>
        <v>691.68425753023</v>
      </c>
      <c r="P101" s="16">
        <f>VLOOKUP(D:D,饿了么日报!C:I,7,0)</f>
        <v>19</v>
      </c>
      <c r="Q101" s="87">
        <f t="shared" si="5"/>
        <v>1219.56036372488</v>
      </c>
      <c r="R101" s="88">
        <f t="shared" si="6"/>
        <v>38</v>
      </c>
      <c r="S101" s="89">
        <f t="shared" si="7"/>
        <v>0.125621454341265</v>
      </c>
      <c r="T101" s="90"/>
      <c r="U101" s="90"/>
    </row>
    <row r="102" ht="14.4" spans="1:21">
      <c r="A102" s="27" t="s">
        <v>13</v>
      </c>
      <c r="B102" s="26" t="s">
        <v>43</v>
      </c>
      <c r="C102" s="26" t="s">
        <v>161</v>
      </c>
      <c r="D102" s="16">
        <v>8731</v>
      </c>
      <c r="E102" s="27" t="s">
        <v>271</v>
      </c>
      <c r="F102" s="16" t="s">
        <v>40</v>
      </c>
      <c r="G102" s="26" t="s">
        <v>54</v>
      </c>
      <c r="H102" s="27" t="s">
        <v>272</v>
      </c>
      <c r="I102" s="27">
        <v>76.3</v>
      </c>
      <c r="J102" s="75">
        <f>VLOOKUP(D102,美团日报!$C:$E,3,0)</f>
        <v>7623.9562</v>
      </c>
      <c r="K102" s="75">
        <f>VLOOKUP(D:D,秒达日报!C:F,4,0)</f>
        <v>0</v>
      </c>
      <c r="L102" s="16">
        <f>VLOOKUP(D:D,秒达日报!C:I,7,0)</f>
        <v>0</v>
      </c>
      <c r="M102" s="75">
        <f>VLOOKUP(D:D,美团日报!C:F,4,0)</f>
        <v>967.25257773797</v>
      </c>
      <c r="N102" s="16">
        <f>VLOOKUP(D:D,美团日报!C:I,7,0)</f>
        <v>19</v>
      </c>
      <c r="O102" s="75">
        <f>VLOOKUP(D:D,饿了么日报!C:F,4,0)</f>
        <v>462.30640578055</v>
      </c>
      <c r="P102" s="16">
        <f>VLOOKUP(D:D,饿了么日报!C:I,7,0)</f>
        <v>13</v>
      </c>
      <c r="Q102" s="87">
        <f t="shared" si="5"/>
        <v>1429.55898351852</v>
      </c>
      <c r="R102" s="88">
        <f t="shared" si="6"/>
        <v>32</v>
      </c>
      <c r="S102" s="89">
        <f t="shared" si="7"/>
        <v>0.18750881379913</v>
      </c>
      <c r="T102" s="90"/>
      <c r="U102" s="90"/>
    </row>
    <row r="103" ht="14.4" spans="1:21">
      <c r="A103" s="27" t="s">
        <v>13</v>
      </c>
      <c r="B103" s="26" t="s">
        <v>43</v>
      </c>
      <c r="C103" s="26" t="s">
        <v>86</v>
      </c>
      <c r="D103" s="16">
        <v>8737</v>
      </c>
      <c r="E103" s="27" t="s">
        <v>273</v>
      </c>
      <c r="F103" s="16" t="s">
        <v>46</v>
      </c>
      <c r="G103" s="26" t="s">
        <v>54</v>
      </c>
      <c r="H103" s="27" t="s">
        <v>274</v>
      </c>
      <c r="I103" s="27">
        <v>115.91</v>
      </c>
      <c r="J103" s="75">
        <f>VLOOKUP(D103,美团日报!$C:$E,3,0)</f>
        <v>12861.4771</v>
      </c>
      <c r="K103" s="75">
        <f>VLOOKUP(D:D,秒达日报!C:F,4,0)</f>
        <v>0</v>
      </c>
      <c r="L103" s="16">
        <f>VLOOKUP(D:D,秒达日报!C:I,7,0)</f>
        <v>0</v>
      </c>
      <c r="M103" s="75">
        <f>VLOOKUP(D:D,美团日报!C:F,4,0)</f>
        <v>78.25931639196</v>
      </c>
      <c r="N103" s="16">
        <f>VLOOKUP(D:D,美团日报!C:I,7,0)</f>
        <v>2</v>
      </c>
      <c r="O103" s="75">
        <f>VLOOKUP(D:D,饿了么日报!C:F,4,0)</f>
        <v>137.16992774215</v>
      </c>
      <c r="P103" s="16">
        <f>VLOOKUP(D:D,饿了么日报!C:I,7,0)</f>
        <v>4</v>
      </c>
      <c r="Q103" s="87">
        <f t="shared" si="5"/>
        <v>215.42924413411</v>
      </c>
      <c r="R103" s="88">
        <f t="shared" si="6"/>
        <v>6</v>
      </c>
      <c r="S103" s="89">
        <f t="shared" si="7"/>
        <v>0.016749961334854</v>
      </c>
      <c r="T103" s="90"/>
      <c r="U103" s="90"/>
    </row>
    <row r="104" ht="14.4" spans="1:21">
      <c r="A104" s="27" t="s">
        <v>13</v>
      </c>
      <c r="B104" s="26" t="s">
        <v>63</v>
      </c>
      <c r="C104" s="26" t="s">
        <v>44</v>
      </c>
      <c r="D104" s="16">
        <v>8735</v>
      </c>
      <c r="E104" s="27" t="s">
        <v>275</v>
      </c>
      <c r="F104" s="16" t="s">
        <v>46</v>
      </c>
      <c r="G104" s="26" t="s">
        <v>54</v>
      </c>
      <c r="H104" s="27" t="s">
        <v>276</v>
      </c>
      <c r="I104" s="27">
        <v>84.45</v>
      </c>
      <c r="J104" s="75">
        <f>VLOOKUP(D104,美团日报!$C:$E,3,0)</f>
        <v>5171.4056</v>
      </c>
      <c r="K104" s="75">
        <f>VLOOKUP(D:D,秒达日报!C:F,4,0)</f>
        <v>100.53097345133</v>
      </c>
      <c r="L104" s="16">
        <f>VLOOKUP(D:D,秒达日报!C:I,7,0)</f>
        <v>2</v>
      </c>
      <c r="M104" s="75">
        <f>VLOOKUP(D:D,美团日报!C:F,4,0)</f>
        <v>165.84070796458</v>
      </c>
      <c r="N104" s="16">
        <f>VLOOKUP(D:D,美团日报!C:I,7,0)</f>
        <v>4</v>
      </c>
      <c r="O104" s="75">
        <f>VLOOKUP(D:D,饿了么日报!C:F,4,0)</f>
        <v>102.55752212389</v>
      </c>
      <c r="P104" s="16">
        <f>VLOOKUP(D:D,饿了么日报!C:I,7,0)</f>
        <v>3</v>
      </c>
      <c r="Q104" s="87">
        <f t="shared" si="5"/>
        <v>368.9292035398</v>
      </c>
      <c r="R104" s="88">
        <f t="shared" si="6"/>
        <v>9</v>
      </c>
      <c r="S104" s="89">
        <f t="shared" si="7"/>
        <v>0.0713402181294385</v>
      </c>
      <c r="T104" s="90"/>
      <c r="U104" s="90"/>
    </row>
    <row r="105" ht="14.4" spans="1:21">
      <c r="A105" s="27" t="s">
        <v>13</v>
      </c>
      <c r="B105" s="26" t="s">
        <v>48</v>
      </c>
      <c r="C105" s="26" t="s">
        <v>49</v>
      </c>
      <c r="D105" s="16">
        <v>8705</v>
      </c>
      <c r="E105" s="27" t="s">
        <v>277</v>
      </c>
      <c r="F105" s="16" t="s">
        <v>46</v>
      </c>
      <c r="G105" s="26" t="s">
        <v>54</v>
      </c>
      <c r="H105" s="27" t="s">
        <v>278</v>
      </c>
      <c r="I105" s="27">
        <v>94.84</v>
      </c>
      <c r="J105" s="75">
        <f>VLOOKUP(D105,美团日报!$C:$E,3,0)</f>
        <v>11492.1719</v>
      </c>
      <c r="K105" s="75">
        <f>VLOOKUP(D:D,秒达日报!C:F,4,0)</f>
        <v>185.07680441664</v>
      </c>
      <c r="L105" s="16">
        <f>VLOOKUP(D:D,秒达日报!C:I,7,0)</f>
        <v>7</v>
      </c>
      <c r="M105" s="75">
        <f>VLOOKUP(D:D,美团日报!C:F,4,0)</f>
        <v>367.72753105455</v>
      </c>
      <c r="N105" s="16">
        <f>VLOOKUP(D:D,美团日报!C:I,7,0)</f>
        <v>10</v>
      </c>
      <c r="O105" s="75">
        <f>VLOOKUP(D:D,饿了么日报!C:F,4,0)</f>
        <v>881.06998457415</v>
      </c>
      <c r="P105" s="16">
        <f>VLOOKUP(D:D,饿了么日报!C:I,7,0)</f>
        <v>21</v>
      </c>
      <c r="Q105" s="87">
        <f t="shared" si="5"/>
        <v>1433.87432004534</v>
      </c>
      <c r="R105" s="88">
        <f t="shared" si="6"/>
        <v>38</v>
      </c>
      <c r="S105" s="89">
        <f t="shared" si="7"/>
        <v>0.124769654728654</v>
      </c>
      <c r="T105" s="90"/>
      <c r="U105" s="90"/>
    </row>
    <row r="106" ht="14.4" spans="1:21">
      <c r="A106" s="27" t="s">
        <v>13</v>
      </c>
      <c r="B106" s="26" t="s">
        <v>48</v>
      </c>
      <c r="C106" s="26" t="s">
        <v>143</v>
      </c>
      <c r="D106" s="16">
        <v>8734</v>
      </c>
      <c r="E106" s="27" t="s">
        <v>279</v>
      </c>
      <c r="F106" s="16" t="s">
        <v>46</v>
      </c>
      <c r="G106" s="26" t="s">
        <v>280</v>
      </c>
      <c r="H106" s="27" t="s">
        <v>281</v>
      </c>
      <c r="I106" s="27">
        <v>92</v>
      </c>
      <c r="J106" s="75">
        <f>VLOOKUP(D106,美团日报!$C:$E,3,0)</f>
        <v>0</v>
      </c>
      <c r="K106" s="75">
        <f>VLOOKUP(D:D,秒达日报!C:F,4,0)</f>
        <v>0</v>
      </c>
      <c r="L106" s="16">
        <f>VLOOKUP(D:D,秒达日报!C:I,7,0)</f>
        <v>0</v>
      </c>
      <c r="M106" s="75">
        <f>VLOOKUP(D:D,美团日报!C:F,4,0)</f>
        <v>0</v>
      </c>
      <c r="N106" s="16">
        <f>VLOOKUP(D:D,美团日报!C:I,7,0)</f>
        <v>0</v>
      </c>
      <c r="O106" s="75">
        <f>VLOOKUP(D:D,饿了么日报!C:F,4,0)</f>
        <v>0</v>
      </c>
      <c r="P106" s="16">
        <f>VLOOKUP(D:D,饿了么日报!C:I,7,0)</f>
        <v>0</v>
      </c>
      <c r="Q106" s="87">
        <f t="shared" si="5"/>
        <v>0</v>
      </c>
      <c r="R106" s="88">
        <f t="shared" si="6"/>
        <v>0</v>
      </c>
      <c r="S106" s="89" t="e">
        <f t="shared" si="7"/>
        <v>#DIV/0!</v>
      </c>
      <c r="T106" s="90"/>
      <c r="U106" s="90"/>
    </row>
    <row r="107" ht="14.4" spans="1:21">
      <c r="A107" s="27" t="s">
        <v>13</v>
      </c>
      <c r="B107" s="26" t="s">
        <v>43</v>
      </c>
      <c r="C107" s="26" t="s">
        <v>76</v>
      </c>
      <c r="D107" s="16">
        <v>8736</v>
      </c>
      <c r="E107" s="27" t="s">
        <v>282</v>
      </c>
      <c r="F107" s="16" t="s">
        <v>40</v>
      </c>
      <c r="G107" s="26" t="s">
        <v>54</v>
      </c>
      <c r="H107" s="27" t="s">
        <v>283</v>
      </c>
      <c r="I107" s="27">
        <v>73</v>
      </c>
      <c r="J107" s="75">
        <f>VLOOKUP(D107,美团日报!$C:$E,3,0)</f>
        <v>13865.2743</v>
      </c>
      <c r="K107" s="75">
        <f>VLOOKUP(D:D,秒达日报!C:F,4,0)</f>
        <v>578.28610863035</v>
      </c>
      <c r="L107" s="16">
        <f>VLOOKUP(D:D,秒达日报!C:I,7,0)</f>
        <v>12</v>
      </c>
      <c r="M107" s="75">
        <f>VLOOKUP(D:D,美团日报!C:F,4,0)</f>
        <v>814.15885361688</v>
      </c>
      <c r="N107" s="16">
        <f>VLOOKUP(D:D,美团日报!C:I,7,0)</f>
        <v>21</v>
      </c>
      <c r="O107" s="75">
        <f>VLOOKUP(D:D,饿了么日报!C:F,4,0)</f>
        <v>986.10946659084</v>
      </c>
      <c r="P107" s="16">
        <f>VLOOKUP(D:D,饿了么日报!C:I,7,0)</f>
        <v>25</v>
      </c>
      <c r="Q107" s="87">
        <f t="shared" si="5"/>
        <v>2378.55442883807</v>
      </c>
      <c r="R107" s="88">
        <f t="shared" si="6"/>
        <v>58</v>
      </c>
      <c r="S107" s="89">
        <f t="shared" si="7"/>
        <v>0.171547592739515</v>
      </c>
      <c r="T107" s="90"/>
      <c r="U107" s="90"/>
    </row>
    <row r="108" ht="14.4" spans="1:21">
      <c r="A108" s="27" t="s">
        <v>13</v>
      </c>
      <c r="B108" s="26" t="s">
        <v>56</v>
      </c>
      <c r="C108" s="26" t="s">
        <v>64</v>
      </c>
      <c r="D108" s="16">
        <v>8741</v>
      </c>
      <c r="E108" s="27" t="s">
        <v>284</v>
      </c>
      <c r="F108" s="16" t="s">
        <v>40</v>
      </c>
      <c r="G108" s="26" t="s">
        <v>280</v>
      </c>
      <c r="H108" s="27" t="s">
        <v>285</v>
      </c>
      <c r="I108" s="27">
        <v>160</v>
      </c>
      <c r="J108" s="75">
        <f>VLOOKUP(D108,美团日报!$C:$E,3,0)</f>
        <v>10850.6639</v>
      </c>
      <c r="K108" s="75">
        <f>VLOOKUP(D:D,秒达日报!C:F,4,0)</f>
        <v>10017.1238938053</v>
      </c>
      <c r="L108" s="16">
        <f>VLOOKUP(D:D,秒达日报!C:I,7,0)</f>
        <v>5</v>
      </c>
      <c r="M108" s="75">
        <f>VLOOKUP(D:D,美团日报!C:F,4,0)</f>
        <v>0</v>
      </c>
      <c r="N108" s="16">
        <f>VLOOKUP(D:D,美团日报!C:I,7,0)</f>
        <v>0</v>
      </c>
      <c r="O108" s="75">
        <f>VLOOKUP(D:D,饿了么日报!C:F,4,0)</f>
        <v>0</v>
      </c>
      <c r="P108" s="16">
        <f>VLOOKUP(D:D,饿了么日报!C:I,7,0)</f>
        <v>0</v>
      </c>
      <c r="Q108" s="87">
        <f t="shared" si="5"/>
        <v>10017.1238938053</v>
      </c>
      <c r="R108" s="88">
        <f t="shared" si="6"/>
        <v>5</v>
      </c>
      <c r="S108" s="89">
        <f t="shared" si="7"/>
        <v>0.923180736784714</v>
      </c>
      <c r="T108" s="90"/>
      <c r="U108" s="90"/>
    </row>
    <row r="109" ht="14.4" spans="1:21">
      <c r="A109" s="27" t="s">
        <v>13</v>
      </c>
      <c r="B109" s="26" t="s">
        <v>48</v>
      </c>
      <c r="C109" s="26" t="s">
        <v>57</v>
      </c>
      <c r="D109" s="16">
        <v>8742</v>
      </c>
      <c r="E109" s="27" t="s">
        <v>286</v>
      </c>
      <c r="F109" s="16" t="s">
        <v>40</v>
      </c>
      <c r="G109" s="26" t="s">
        <v>280</v>
      </c>
      <c r="H109" s="27" t="s">
        <v>287</v>
      </c>
      <c r="I109" s="27">
        <v>180.62</v>
      </c>
      <c r="J109" s="75">
        <f>VLOOKUP(D109,美团日报!$C:$E,3,0)</f>
        <v>0</v>
      </c>
      <c r="K109" s="75">
        <f>VLOOKUP(D:D,秒达日报!C:F,4,0)</f>
        <v>0</v>
      </c>
      <c r="L109" s="16">
        <f>VLOOKUP(D:D,秒达日报!C:I,7,0)</f>
        <v>0</v>
      </c>
      <c r="M109" s="75">
        <f>VLOOKUP(D:D,美团日报!C:F,4,0)</f>
        <v>0</v>
      </c>
      <c r="N109" s="16">
        <f>VLOOKUP(D:D,美团日报!C:I,7,0)</f>
        <v>0</v>
      </c>
      <c r="O109" s="75">
        <f>VLOOKUP(D:D,饿了么日报!C:F,4,0)</f>
        <v>0</v>
      </c>
      <c r="P109" s="16">
        <f>VLOOKUP(D:D,饿了么日报!C:I,7,0)</f>
        <v>0</v>
      </c>
      <c r="Q109" s="87">
        <f t="shared" si="5"/>
        <v>0</v>
      </c>
      <c r="R109" s="88">
        <f t="shared" si="6"/>
        <v>0</v>
      </c>
      <c r="S109" s="89" t="e">
        <f t="shared" si="7"/>
        <v>#DIV/0!</v>
      </c>
      <c r="T109" s="90"/>
      <c r="U109" s="90"/>
    </row>
    <row r="110" ht="14.4" spans="1:21">
      <c r="A110" s="27" t="s">
        <v>13</v>
      </c>
      <c r="B110" s="26" t="s">
        <v>56</v>
      </c>
      <c r="C110" s="26" t="s">
        <v>64</v>
      </c>
      <c r="D110" s="16">
        <v>8743</v>
      </c>
      <c r="E110" s="27" t="s">
        <v>288</v>
      </c>
      <c r="F110" s="16" t="s">
        <v>40</v>
      </c>
      <c r="G110" s="26" t="s">
        <v>280</v>
      </c>
      <c r="H110" s="27" t="s">
        <v>289</v>
      </c>
      <c r="I110" s="27">
        <v>130</v>
      </c>
      <c r="J110" s="75">
        <f>VLOOKUP(D110,美团日报!$C:$E,3,0)</f>
        <v>51.4158</v>
      </c>
      <c r="K110" s="75">
        <f>VLOOKUP(D:D,秒达日报!C:F,4,0)</f>
        <v>0</v>
      </c>
      <c r="L110" s="16">
        <f>VLOOKUP(D:D,秒达日报!C:I,7,0)</f>
        <v>0</v>
      </c>
      <c r="M110" s="75">
        <f>VLOOKUP(D:D,美团日报!C:F,4,0)</f>
        <v>0</v>
      </c>
      <c r="N110" s="16">
        <f>VLOOKUP(D:D,美团日报!C:I,7,0)</f>
        <v>0</v>
      </c>
      <c r="O110" s="75">
        <f>VLOOKUP(D:D,饿了么日报!C:F,4,0)</f>
        <v>0</v>
      </c>
      <c r="P110" s="16">
        <f>VLOOKUP(D:D,饿了么日报!C:I,7,0)</f>
        <v>0</v>
      </c>
      <c r="Q110" s="87">
        <f t="shared" si="5"/>
        <v>0</v>
      </c>
      <c r="R110" s="88">
        <f t="shared" si="6"/>
        <v>0</v>
      </c>
      <c r="S110" s="89">
        <f t="shared" si="7"/>
        <v>0</v>
      </c>
      <c r="T110" s="90"/>
      <c r="U110" s="90"/>
    </row>
    <row r="111" ht="14.4" spans="1:21">
      <c r="A111" s="27" t="s">
        <v>13</v>
      </c>
      <c r="B111" s="26" t="s">
        <v>48</v>
      </c>
      <c r="C111" s="26" t="s">
        <v>60</v>
      </c>
      <c r="D111" s="16">
        <v>8745</v>
      </c>
      <c r="E111" s="27" t="s">
        <v>290</v>
      </c>
      <c r="F111" s="16" t="s">
        <v>46</v>
      </c>
      <c r="G111" s="26" t="s">
        <v>280</v>
      </c>
      <c r="H111" s="27" t="s">
        <v>291</v>
      </c>
      <c r="I111" s="27">
        <v>50</v>
      </c>
      <c r="J111" s="75">
        <f>VLOOKUP(D111,美团日报!$C:$E,3,0)</f>
        <v>33702.1923</v>
      </c>
      <c r="K111" s="75">
        <f>VLOOKUP(D:D,秒达日报!C:F,4,0)</f>
        <v>0</v>
      </c>
      <c r="L111" s="16">
        <f>VLOOKUP(D:D,秒达日报!C:I,7,0)</f>
        <v>0</v>
      </c>
      <c r="M111" s="75">
        <f>VLOOKUP(D:D,美团日报!C:F,4,0)</f>
        <v>0</v>
      </c>
      <c r="N111" s="16">
        <f>VLOOKUP(D:D,美团日报!C:I,7,0)</f>
        <v>0</v>
      </c>
      <c r="O111" s="75">
        <f>VLOOKUP(D:D,饿了么日报!C:F,4,0)</f>
        <v>0</v>
      </c>
      <c r="P111" s="16">
        <f>VLOOKUP(D:D,饿了么日报!C:I,7,0)</f>
        <v>0</v>
      </c>
      <c r="Q111" s="87">
        <f t="shared" si="5"/>
        <v>0</v>
      </c>
      <c r="R111" s="88">
        <f t="shared" si="6"/>
        <v>0</v>
      </c>
      <c r="S111" s="89">
        <f t="shared" si="7"/>
        <v>0</v>
      </c>
      <c r="T111" s="90"/>
      <c r="U111" s="90"/>
    </row>
    <row r="112" ht="14.4" spans="1:21">
      <c r="A112" s="27" t="s">
        <v>13</v>
      </c>
      <c r="B112" s="26" t="s">
        <v>63</v>
      </c>
      <c r="C112" s="26" t="s">
        <v>60</v>
      </c>
      <c r="D112" s="16">
        <v>8696</v>
      </c>
      <c r="E112" s="27" t="s">
        <v>292</v>
      </c>
      <c r="F112" s="16" t="s">
        <v>40</v>
      </c>
      <c r="G112" s="26" t="s">
        <v>54</v>
      </c>
      <c r="H112" s="27" t="s">
        <v>293</v>
      </c>
      <c r="I112" s="27">
        <v>130</v>
      </c>
      <c r="J112" s="75">
        <f>VLOOKUP(D112,美团日报!$C:$E,3,0)</f>
        <v>11589.3789</v>
      </c>
      <c r="K112" s="75">
        <f>VLOOKUP(D:D,秒达日报!C:F,4,0)</f>
        <v>281.1983437525</v>
      </c>
      <c r="L112" s="16">
        <f>VLOOKUP(D:D,秒达日报!C:I,7,0)</f>
        <v>9</v>
      </c>
      <c r="M112" s="75">
        <f>VLOOKUP(D:D,美团日报!C:F,4,0)</f>
        <v>0</v>
      </c>
      <c r="N112" s="16">
        <f>VLOOKUP(D:D,美团日报!C:I,7,0)</f>
        <v>0</v>
      </c>
      <c r="O112" s="75">
        <f>VLOOKUP(D:D,饿了么日报!C:F,4,0)</f>
        <v>0</v>
      </c>
      <c r="P112" s="16">
        <f>VLOOKUP(D:D,饿了么日报!C:I,7,0)</f>
        <v>0</v>
      </c>
      <c r="Q112" s="87">
        <f t="shared" si="5"/>
        <v>281.1983437525</v>
      </c>
      <c r="R112" s="88">
        <f t="shared" si="6"/>
        <v>9</v>
      </c>
      <c r="S112" s="89">
        <f t="shared" si="7"/>
        <v>0.024263452440277</v>
      </c>
      <c r="T112" s="90"/>
      <c r="U112" s="90"/>
    </row>
    <row r="113" ht="14.4" spans="1:21">
      <c r="A113" s="27" t="s">
        <v>13</v>
      </c>
      <c r="B113" s="26" t="s">
        <v>63</v>
      </c>
      <c r="C113" s="26" t="s">
        <v>161</v>
      </c>
      <c r="D113" s="16">
        <v>1550</v>
      </c>
      <c r="E113" s="27" t="s">
        <v>294</v>
      </c>
      <c r="F113" s="16" t="s">
        <v>40</v>
      </c>
      <c r="G113" s="26" t="s">
        <v>54</v>
      </c>
      <c r="H113" s="27" t="s">
        <v>295</v>
      </c>
      <c r="I113" s="27">
        <v>356.57</v>
      </c>
      <c r="J113" s="75">
        <f>VLOOKUP(D113,美团日报!$C:$E,3,0)</f>
        <v>6057.4418</v>
      </c>
      <c r="K113" s="75">
        <f>VLOOKUP(D:D,秒达日报!C:F,4,0)</f>
        <v>141.6814159292</v>
      </c>
      <c r="L113" s="16">
        <f>VLOOKUP(D:D,秒达日报!C:I,7,0)</f>
        <v>3</v>
      </c>
      <c r="M113" s="75">
        <f>VLOOKUP(D:D,美团日报!C:F,4,0)</f>
        <v>516.94389867658</v>
      </c>
      <c r="N113" s="16">
        <f>VLOOKUP(D:D,美团日报!C:I,7,0)</f>
        <v>15</v>
      </c>
      <c r="O113" s="75">
        <f>VLOOKUP(D:D,饿了么日报!C:F,4,0)</f>
        <v>472.56336770305</v>
      </c>
      <c r="P113" s="16">
        <f>VLOOKUP(D:D,饿了么日报!C:I,7,0)</f>
        <v>12</v>
      </c>
      <c r="Q113" s="87">
        <f t="shared" si="5"/>
        <v>1131.18868230883</v>
      </c>
      <c r="R113" s="88">
        <f t="shared" si="6"/>
        <v>30</v>
      </c>
      <c r="S113" s="89">
        <f t="shared" si="7"/>
        <v>0.186743631991451</v>
      </c>
      <c r="T113" s="90"/>
      <c r="U113" s="90"/>
    </row>
    <row r="114" ht="14.4" spans="1:21">
      <c r="A114" s="27" t="s">
        <v>13</v>
      </c>
      <c r="B114" s="26" t="s">
        <v>43</v>
      </c>
      <c r="C114" s="26" t="s">
        <v>296</v>
      </c>
      <c r="D114" s="16">
        <v>1048</v>
      </c>
      <c r="E114" s="27" t="s">
        <v>297</v>
      </c>
      <c r="F114" s="16" t="s">
        <v>40</v>
      </c>
      <c r="G114" s="26" t="s">
        <v>66</v>
      </c>
      <c r="H114" s="27" t="s">
        <v>298</v>
      </c>
      <c r="I114" s="27">
        <v>216</v>
      </c>
      <c r="J114" s="75">
        <f>VLOOKUP(D114,美团日报!$C:$E,3,0)</f>
        <v>3878.4938</v>
      </c>
      <c r="K114" s="75">
        <f>VLOOKUP(D:D,秒达日报!C:F,4,0)</f>
        <v>69.0265486725601</v>
      </c>
      <c r="L114" s="16">
        <f>VLOOKUP(D:D,秒达日报!C:I,7,0)</f>
        <v>2</v>
      </c>
      <c r="M114" s="75">
        <f>VLOOKUP(D:D,美团日报!C:F,4,0)</f>
        <v>1787.51315255336</v>
      </c>
      <c r="N114" s="16">
        <f>VLOOKUP(D:D,美团日报!C:I,7,0)</f>
        <v>30</v>
      </c>
      <c r="O114" s="75">
        <f>VLOOKUP(D:D,饿了么日报!C:F,4,0)</f>
        <v>169.36283185838</v>
      </c>
      <c r="P114" s="16">
        <f>VLOOKUP(D:D,饿了么日报!C:I,7,0)</f>
        <v>4</v>
      </c>
      <c r="Q114" s="87">
        <f t="shared" si="5"/>
        <v>2025.9025330843</v>
      </c>
      <c r="R114" s="88">
        <f t="shared" si="6"/>
        <v>36</v>
      </c>
      <c r="S114" s="89">
        <f t="shared" si="7"/>
        <v>0.522342599357591</v>
      </c>
      <c r="T114" s="90"/>
      <c r="U114" s="90"/>
    </row>
    <row r="115" ht="14.4" spans="1:21">
      <c r="A115" s="27" t="s">
        <v>19</v>
      </c>
      <c r="B115" s="26" t="s">
        <v>264</v>
      </c>
      <c r="C115" s="26" t="s">
        <v>296</v>
      </c>
      <c r="D115" s="16">
        <v>1049</v>
      </c>
      <c r="E115" s="27" t="s">
        <v>299</v>
      </c>
      <c r="F115" s="16" t="s">
        <v>40</v>
      </c>
      <c r="G115" s="26" t="s">
        <v>66</v>
      </c>
      <c r="H115" s="27" t="s">
        <v>300</v>
      </c>
      <c r="I115" s="27">
        <v>50</v>
      </c>
      <c r="J115" s="75">
        <f>VLOOKUP(D115,美团日报!$C:$E,3,0)</f>
        <v>1062.5343</v>
      </c>
      <c r="K115" s="75">
        <f>VLOOKUP(D:D,秒达日报!C:F,4,0)</f>
        <v>0</v>
      </c>
      <c r="L115" s="16">
        <f>VLOOKUP(D:D,秒达日报!C:I,7,0)</f>
        <v>0</v>
      </c>
      <c r="M115" s="75">
        <f>VLOOKUP(D:D,美团日报!C:F,4,0)</f>
        <v>217.78863359583</v>
      </c>
      <c r="N115" s="16">
        <f>VLOOKUP(D:D,美团日报!C:I,7,0)</f>
        <v>4</v>
      </c>
      <c r="O115" s="75">
        <f>VLOOKUP(D:D,饿了么日报!C:F,4,0)</f>
        <v>75.66371681416</v>
      </c>
      <c r="P115" s="16">
        <f>VLOOKUP(D:D,饿了么日报!C:I,7,0)</f>
        <v>2</v>
      </c>
      <c r="Q115" s="87">
        <f t="shared" si="5"/>
        <v>293.45235040999</v>
      </c>
      <c r="R115" s="88">
        <f t="shared" si="6"/>
        <v>6</v>
      </c>
      <c r="S115" s="89">
        <f t="shared" si="7"/>
        <v>0.276181531655016</v>
      </c>
      <c r="T115" s="90"/>
      <c r="U115" s="90"/>
    </row>
    <row r="116" ht="14.4" spans="1:21">
      <c r="A116" s="27" t="s">
        <v>19</v>
      </c>
      <c r="B116" s="26" t="s">
        <v>264</v>
      </c>
      <c r="C116" s="26" t="s">
        <v>301</v>
      </c>
      <c r="D116" s="16">
        <v>1055</v>
      </c>
      <c r="E116" s="27" t="s">
        <v>302</v>
      </c>
      <c r="F116" s="16" t="s">
        <v>40</v>
      </c>
      <c r="G116" s="26" t="s">
        <v>66</v>
      </c>
      <c r="H116" s="27" t="s">
        <v>303</v>
      </c>
      <c r="I116" s="27">
        <v>180</v>
      </c>
      <c r="J116" s="75">
        <f>VLOOKUP(D116,美团日报!$C:$E,3,0)</f>
        <v>6813.1809</v>
      </c>
      <c r="K116" s="75">
        <f>VLOOKUP(D:D,秒达日报!C:F,4,0)</f>
        <v>98.1415929203399</v>
      </c>
      <c r="L116" s="16">
        <f>VLOOKUP(D:D,秒达日报!C:I,7,0)</f>
        <v>3</v>
      </c>
      <c r="M116" s="75">
        <f>VLOOKUP(D:D,美团日报!C:F,4,0)</f>
        <v>1484.6074774702</v>
      </c>
      <c r="N116" s="16">
        <f>VLOOKUP(D:D,美团日报!C:I,7,0)</f>
        <v>33</v>
      </c>
      <c r="O116" s="75">
        <f>VLOOKUP(D:D,饿了么日报!C:F,4,0)</f>
        <v>569.72566371681</v>
      </c>
      <c r="P116" s="16">
        <f>VLOOKUP(D:D,饿了么日报!C:I,7,0)</f>
        <v>15</v>
      </c>
      <c r="Q116" s="87">
        <f t="shared" si="5"/>
        <v>2152.47473410735</v>
      </c>
      <c r="R116" s="88">
        <f t="shared" si="6"/>
        <v>51</v>
      </c>
      <c r="S116" s="89">
        <f t="shared" si="7"/>
        <v>0.315928017426831</v>
      </c>
      <c r="T116" s="90"/>
      <c r="U116" s="90"/>
    </row>
    <row r="117" ht="14.4" spans="1:21">
      <c r="A117" s="27" t="s">
        <v>19</v>
      </c>
      <c r="B117" s="26" t="s">
        <v>264</v>
      </c>
      <c r="C117" s="26" t="s">
        <v>304</v>
      </c>
      <c r="D117" s="16">
        <v>1070</v>
      </c>
      <c r="E117" s="27" t="s">
        <v>305</v>
      </c>
      <c r="F117" s="16" t="s">
        <v>40</v>
      </c>
      <c r="G117" s="26" t="s">
        <v>66</v>
      </c>
      <c r="H117" s="27" t="s">
        <v>306</v>
      </c>
      <c r="I117" s="27">
        <v>91</v>
      </c>
      <c r="J117" s="75">
        <f>VLOOKUP(D117,美团日报!$C:$E,3,0)</f>
        <v>7517.4047</v>
      </c>
      <c r="K117" s="75">
        <f>VLOOKUP(D:D,秒达日报!C:F,4,0)</f>
        <v>331.05951124462</v>
      </c>
      <c r="L117" s="16">
        <f>VLOOKUP(D:D,秒达日报!C:I,7,0)</f>
        <v>9</v>
      </c>
      <c r="M117" s="75">
        <f>VLOOKUP(D:D,美团日报!C:F,4,0)</f>
        <v>744.07323211823</v>
      </c>
      <c r="N117" s="16">
        <f>VLOOKUP(D:D,美团日报!C:I,7,0)</f>
        <v>11</v>
      </c>
      <c r="O117" s="75">
        <f>VLOOKUP(D:D,饿了么日报!C:F,4,0)</f>
        <v>239.40415685637</v>
      </c>
      <c r="P117" s="16">
        <f>VLOOKUP(D:D,饿了么日报!C:I,7,0)</f>
        <v>3</v>
      </c>
      <c r="Q117" s="87">
        <f t="shared" si="5"/>
        <v>1314.53690021922</v>
      </c>
      <c r="R117" s="88">
        <f t="shared" si="6"/>
        <v>23</v>
      </c>
      <c r="S117" s="89">
        <f t="shared" si="7"/>
        <v>0.174865788484052</v>
      </c>
      <c r="T117" s="90"/>
      <c r="U117" s="90"/>
    </row>
    <row r="118" ht="14.4" spans="1:21">
      <c r="A118" s="27" t="s">
        <v>19</v>
      </c>
      <c r="B118" s="26" t="s">
        <v>264</v>
      </c>
      <c r="C118" s="26" t="s">
        <v>301</v>
      </c>
      <c r="D118" s="16">
        <v>1075</v>
      </c>
      <c r="E118" s="27" t="s">
        <v>307</v>
      </c>
      <c r="F118" s="16" t="s">
        <v>40</v>
      </c>
      <c r="G118" s="26" t="s">
        <v>66</v>
      </c>
      <c r="H118" s="27" t="s">
        <v>308</v>
      </c>
      <c r="I118" s="27">
        <v>78</v>
      </c>
      <c r="J118" s="75">
        <f>VLOOKUP(D118,美团日报!$C:$E,3,0)</f>
        <v>3341.3106</v>
      </c>
      <c r="K118" s="75">
        <f>VLOOKUP(D:D,秒达日报!C:F,4,0)</f>
        <v>108.49557522124</v>
      </c>
      <c r="L118" s="16">
        <f>VLOOKUP(D:D,秒达日报!C:I,7,0)</f>
        <v>2</v>
      </c>
      <c r="M118" s="75">
        <f>VLOOKUP(D:D,美团日报!C:F,4,0)</f>
        <v>506.35381992369</v>
      </c>
      <c r="N118" s="16">
        <f>VLOOKUP(D:D,美团日报!C:I,7,0)</f>
        <v>9</v>
      </c>
      <c r="O118" s="75">
        <f>VLOOKUP(D:D,饿了么日报!C:F,4,0)</f>
        <v>166.27433628319</v>
      </c>
      <c r="P118" s="16">
        <f>VLOOKUP(D:D,饿了么日报!C:I,7,0)</f>
        <v>4</v>
      </c>
      <c r="Q118" s="87">
        <f t="shared" si="5"/>
        <v>781.12373142812</v>
      </c>
      <c r="R118" s="88">
        <f t="shared" si="6"/>
        <v>15</v>
      </c>
      <c r="S118" s="89">
        <f t="shared" si="7"/>
        <v>0.23377764743814</v>
      </c>
      <c r="T118" s="90"/>
      <c r="U118" s="90"/>
    </row>
    <row r="119" ht="14.4" spans="1:21">
      <c r="A119" s="27" t="s">
        <v>19</v>
      </c>
      <c r="B119" s="26" t="s">
        <v>264</v>
      </c>
      <c r="C119" s="26" t="e">
        <v>#N/A</v>
      </c>
      <c r="D119" s="16">
        <v>1081</v>
      </c>
      <c r="E119" s="27" t="s">
        <v>309</v>
      </c>
      <c r="F119" s="16" t="e">
        <v>#N/A</v>
      </c>
      <c r="G119" s="26" t="e">
        <v>#N/A</v>
      </c>
      <c r="H119" s="27" t="s">
        <v>310</v>
      </c>
      <c r="I119" s="27">
        <v>175</v>
      </c>
      <c r="J119" s="75">
        <f>VLOOKUP(D119,美团日报!$C:$E,3,0)</f>
        <v>0</v>
      </c>
      <c r="K119" s="75">
        <f>VLOOKUP(D:D,秒达日报!C:F,4,0)</f>
        <v>0</v>
      </c>
      <c r="L119" s="16">
        <f>VLOOKUP(D:D,秒达日报!C:I,7,0)</f>
        <v>0</v>
      </c>
      <c r="M119" s="75">
        <f>VLOOKUP(D:D,美团日报!C:F,4,0)</f>
        <v>0</v>
      </c>
      <c r="N119" s="16">
        <f>VLOOKUP(D:D,美团日报!C:I,7,0)</f>
        <v>0</v>
      </c>
      <c r="O119" s="75">
        <f>VLOOKUP(D:D,饿了么日报!C:F,4,0)</f>
        <v>0</v>
      </c>
      <c r="P119" s="16">
        <f>VLOOKUP(D:D,饿了么日报!C:I,7,0)</f>
        <v>0</v>
      </c>
      <c r="Q119" s="87">
        <f t="shared" si="5"/>
        <v>0</v>
      </c>
      <c r="R119" s="88">
        <f t="shared" si="6"/>
        <v>0</v>
      </c>
      <c r="S119" s="89" t="e">
        <f t="shared" si="7"/>
        <v>#DIV/0!</v>
      </c>
      <c r="T119" s="90"/>
      <c r="U119" s="90"/>
    </row>
    <row r="120" ht="14.4" spans="1:21">
      <c r="A120" s="27" t="s">
        <v>19</v>
      </c>
      <c r="B120" s="26" t="e">
        <v>#N/A</v>
      </c>
      <c r="C120" s="26" t="s">
        <v>261</v>
      </c>
      <c r="D120" s="16">
        <v>1082</v>
      </c>
      <c r="E120" s="27" t="s">
        <v>311</v>
      </c>
      <c r="F120" s="16" t="s">
        <v>40</v>
      </c>
      <c r="G120" s="26" t="s">
        <v>66</v>
      </c>
      <c r="H120" s="27" t="s">
        <v>312</v>
      </c>
      <c r="I120" s="27">
        <v>138</v>
      </c>
      <c r="J120" s="75">
        <f>VLOOKUP(D120,美团日报!$C:$E,3,0)</f>
        <v>7959.1389</v>
      </c>
      <c r="K120" s="75">
        <f>VLOOKUP(D:D,秒达日报!C:F,4,0)</f>
        <v>339.54915969799</v>
      </c>
      <c r="L120" s="16">
        <f>VLOOKUP(D:D,秒达日报!C:I,7,0)</f>
        <v>7</v>
      </c>
      <c r="M120" s="75">
        <f>VLOOKUP(D:D,美团日报!C:F,4,0)</f>
        <v>1264.84907039049</v>
      </c>
      <c r="N120" s="16">
        <f>VLOOKUP(D:D,美团日报!C:I,7,0)</f>
        <v>30</v>
      </c>
      <c r="O120" s="75">
        <f>VLOOKUP(D:D,饿了么日报!C:F,4,0)</f>
        <v>701.61061946902</v>
      </c>
      <c r="P120" s="16">
        <f>VLOOKUP(D:D,饿了么日报!C:I,7,0)</f>
        <v>20</v>
      </c>
      <c r="Q120" s="87">
        <f t="shared" si="5"/>
        <v>2306.0088495575</v>
      </c>
      <c r="R120" s="88">
        <f t="shared" si="6"/>
        <v>57</v>
      </c>
      <c r="S120" s="89">
        <f t="shared" si="7"/>
        <v>0.289730946843697</v>
      </c>
      <c r="T120" s="90"/>
      <c r="U120" s="90"/>
    </row>
    <row r="121" ht="14.4" spans="1:21">
      <c r="A121" s="27" t="s">
        <v>19</v>
      </c>
      <c r="B121" s="26" t="s">
        <v>264</v>
      </c>
      <c r="C121" s="26" t="s">
        <v>313</v>
      </c>
      <c r="D121" s="16">
        <v>1088</v>
      </c>
      <c r="E121" s="27" t="s">
        <v>314</v>
      </c>
      <c r="F121" s="16" t="s">
        <v>40</v>
      </c>
      <c r="G121" s="26" t="s">
        <v>66</v>
      </c>
      <c r="H121" s="27" t="s">
        <v>315</v>
      </c>
      <c r="I121" s="27">
        <v>137.04</v>
      </c>
      <c r="J121" s="75">
        <f>VLOOKUP(D121,美团日报!$C:$E,3,0)</f>
        <v>1218.1296</v>
      </c>
      <c r="K121" s="75">
        <f>VLOOKUP(D:D,秒达日报!C:F,4,0)</f>
        <v>16.54867256637</v>
      </c>
      <c r="L121" s="16">
        <f>VLOOKUP(D:D,秒达日报!C:I,7,0)</f>
        <v>1</v>
      </c>
      <c r="M121" s="75">
        <f>VLOOKUP(D:D,美团日报!C:F,4,0)</f>
        <v>136.10619469024</v>
      </c>
      <c r="N121" s="16">
        <f>VLOOKUP(D:D,美团日报!C:I,7,0)</f>
        <v>4</v>
      </c>
      <c r="O121" s="75">
        <f>VLOOKUP(D:D,饿了么日报!C:F,4,0)</f>
        <v>117.37752699522</v>
      </c>
      <c r="P121" s="16">
        <f>VLOOKUP(D:D,饿了么日报!C:I,7,0)</f>
        <v>4</v>
      </c>
      <c r="Q121" s="87">
        <f t="shared" si="5"/>
        <v>270.03239425183</v>
      </c>
      <c r="R121" s="88">
        <f t="shared" si="6"/>
        <v>9</v>
      </c>
      <c r="S121" s="89">
        <f t="shared" si="7"/>
        <v>0.221677885712514</v>
      </c>
      <c r="T121" s="90"/>
      <c r="U121" s="90"/>
    </row>
    <row r="122" ht="14.4" spans="1:21">
      <c r="A122" s="27" t="s">
        <v>19</v>
      </c>
      <c r="B122" s="26" t="s">
        <v>264</v>
      </c>
      <c r="C122" s="26" t="s">
        <v>70</v>
      </c>
      <c r="D122" s="16">
        <v>1102</v>
      </c>
      <c r="E122" s="27" t="s">
        <v>316</v>
      </c>
      <c r="F122" s="16" t="s">
        <v>40</v>
      </c>
      <c r="G122" s="26" t="s">
        <v>41</v>
      </c>
      <c r="H122" s="27" t="s">
        <v>317</v>
      </c>
      <c r="I122" s="27">
        <v>192</v>
      </c>
      <c r="J122" s="75">
        <f>VLOOKUP(D122,美团日报!$C:$E,3,0)</f>
        <v>5788.5174</v>
      </c>
      <c r="K122" s="75">
        <f>VLOOKUP(D:D,秒达日报!C:F,4,0)</f>
        <v>393.00884955751</v>
      </c>
      <c r="L122" s="16">
        <f>VLOOKUP(D:D,秒达日报!C:I,7,0)</f>
        <v>7</v>
      </c>
      <c r="M122" s="75">
        <f>VLOOKUP(D:D,美团日报!C:F,4,0)</f>
        <v>394.69026548672</v>
      </c>
      <c r="N122" s="16">
        <f>VLOOKUP(D:D,美团日报!C:I,7,0)</f>
        <v>12</v>
      </c>
      <c r="O122" s="75">
        <f>VLOOKUP(D:D,饿了么日报!C:F,4,0)</f>
        <v>513.24778761067</v>
      </c>
      <c r="P122" s="16">
        <f>VLOOKUP(D:D,饿了么日报!C:I,7,0)</f>
        <v>14</v>
      </c>
      <c r="Q122" s="87">
        <f t="shared" si="5"/>
        <v>1300.9469026549</v>
      </c>
      <c r="R122" s="88">
        <f t="shared" si="6"/>
        <v>33</v>
      </c>
      <c r="S122" s="89">
        <f t="shared" si="7"/>
        <v>0.224746133207598</v>
      </c>
      <c r="T122" s="90"/>
      <c r="U122" s="90"/>
    </row>
    <row r="123" ht="14.4" spans="1:21">
      <c r="A123" s="27" t="s">
        <v>19</v>
      </c>
      <c r="B123" s="26" t="s">
        <v>56</v>
      </c>
      <c r="C123" s="26" t="s">
        <v>152</v>
      </c>
      <c r="D123" s="16">
        <v>1133</v>
      </c>
      <c r="E123" s="27" t="s">
        <v>318</v>
      </c>
      <c r="F123" s="16" t="s">
        <v>40</v>
      </c>
      <c r="G123" s="26" t="s">
        <v>66</v>
      </c>
      <c r="H123" s="27" t="s">
        <v>319</v>
      </c>
      <c r="I123" s="27">
        <v>105</v>
      </c>
      <c r="J123" s="75">
        <f>VLOOKUP(D123,美团日报!$C:$E,3,0)</f>
        <v>4404.1353</v>
      </c>
      <c r="K123" s="75">
        <f>VLOOKUP(D:D,秒达日报!C:F,4,0)</f>
        <v>13.8938053097399</v>
      </c>
      <c r="L123" s="16">
        <f>VLOOKUP(D:D,秒达日报!C:I,7,0)</f>
        <v>1</v>
      </c>
      <c r="M123" s="75">
        <f>VLOOKUP(D:D,美团日报!C:F,4,0)</f>
        <v>158.14159292035</v>
      </c>
      <c r="N123" s="16">
        <f>VLOOKUP(D:D,美团日报!C:I,7,0)</f>
        <v>5</v>
      </c>
      <c r="O123" s="75">
        <f>VLOOKUP(D:D,饿了么日报!C:F,4,0)</f>
        <v>432.36283185843</v>
      </c>
      <c r="P123" s="16">
        <f>VLOOKUP(D:D,饿了么日报!C:I,7,0)</f>
        <v>11</v>
      </c>
      <c r="Q123" s="87">
        <f t="shared" si="5"/>
        <v>604.39823008852</v>
      </c>
      <c r="R123" s="88">
        <f t="shared" si="6"/>
        <v>17</v>
      </c>
      <c r="S123" s="89">
        <f t="shared" si="7"/>
        <v>0.137234255743351</v>
      </c>
      <c r="T123" s="90"/>
      <c r="U123" s="90"/>
    </row>
    <row r="124" ht="14.4" spans="1:21">
      <c r="A124" s="27" t="s">
        <v>19</v>
      </c>
      <c r="B124" s="26" t="s">
        <v>63</v>
      </c>
      <c r="C124" s="26" t="s">
        <v>304</v>
      </c>
      <c r="D124" s="16">
        <v>1146</v>
      </c>
      <c r="E124" s="27" t="s">
        <v>320</v>
      </c>
      <c r="F124" s="16" t="s">
        <v>40</v>
      </c>
      <c r="G124" s="26" t="s">
        <v>66</v>
      </c>
      <c r="H124" s="27" t="s">
        <v>321</v>
      </c>
      <c r="I124" s="27">
        <v>100</v>
      </c>
      <c r="J124" s="75">
        <f>VLOOKUP(D124,美团日报!$C:$E,3,0)</f>
        <v>4663.6757</v>
      </c>
      <c r="K124" s="75">
        <f>VLOOKUP(D:D,秒达日报!C:F,4,0)</f>
        <v>96.54867256636</v>
      </c>
      <c r="L124" s="16">
        <f>VLOOKUP(D:D,秒达日报!C:I,7,0)</f>
        <v>2</v>
      </c>
      <c r="M124" s="75">
        <f>VLOOKUP(D:D,美团日报!C:F,4,0)</f>
        <v>312.31955833398</v>
      </c>
      <c r="N124" s="16">
        <f>VLOOKUP(D:D,美团日报!C:I,7,0)</f>
        <v>8</v>
      </c>
      <c r="O124" s="75">
        <f>VLOOKUP(D:D,饿了么日报!C:F,4,0)</f>
        <v>416.25363318983</v>
      </c>
      <c r="P124" s="16">
        <f>VLOOKUP(D:D,饿了么日报!C:I,7,0)</f>
        <v>10</v>
      </c>
      <c r="Q124" s="87">
        <f t="shared" si="5"/>
        <v>825.12186409017</v>
      </c>
      <c r="R124" s="88">
        <f t="shared" si="6"/>
        <v>20</v>
      </c>
      <c r="S124" s="89">
        <f t="shared" si="7"/>
        <v>0.176925223186117</v>
      </c>
      <c r="T124" s="90"/>
      <c r="U124" s="90"/>
    </row>
    <row r="125" ht="14.4" spans="1:21">
      <c r="A125" s="27" t="s">
        <v>19</v>
      </c>
      <c r="B125" s="26" t="s">
        <v>264</v>
      </c>
      <c r="C125" s="26" t="s">
        <v>296</v>
      </c>
      <c r="D125" s="16">
        <v>1233</v>
      </c>
      <c r="E125" s="27" t="s">
        <v>322</v>
      </c>
      <c r="F125" s="16" t="s">
        <v>40</v>
      </c>
      <c r="G125" s="26" t="s">
        <v>323</v>
      </c>
      <c r="H125" s="27" t="s">
        <v>324</v>
      </c>
      <c r="I125" s="27">
        <v>110</v>
      </c>
      <c r="J125" s="75">
        <f>VLOOKUP(D125,美团日报!$C:$E,3,0)</f>
        <v>20650.5702</v>
      </c>
      <c r="K125" s="75">
        <f>VLOOKUP(D:D,秒达日报!C:F,4,0)</f>
        <v>0</v>
      </c>
      <c r="L125" s="16">
        <f>VLOOKUP(D:D,秒达日报!C:I,7,0)</f>
        <v>0</v>
      </c>
      <c r="M125" s="75">
        <f>VLOOKUP(D:D,美团日报!C:F,4,0)</f>
        <v>0</v>
      </c>
      <c r="N125" s="16">
        <f>VLOOKUP(D:D,美团日报!C:I,7,0)</f>
        <v>0</v>
      </c>
      <c r="O125" s="75">
        <f>VLOOKUP(D:D,饿了么日报!C:F,4,0)</f>
        <v>0</v>
      </c>
      <c r="P125" s="16">
        <f>VLOOKUP(D:D,饿了么日报!C:I,7,0)</f>
        <v>0</v>
      </c>
      <c r="Q125" s="87">
        <f t="shared" si="5"/>
        <v>0</v>
      </c>
      <c r="R125" s="88">
        <f t="shared" si="6"/>
        <v>0</v>
      </c>
      <c r="S125" s="89">
        <f t="shared" si="7"/>
        <v>0</v>
      </c>
      <c r="T125" s="90"/>
      <c r="U125" s="90"/>
    </row>
    <row r="126" ht="14.4" spans="1:21">
      <c r="A126" s="27" t="s">
        <v>19</v>
      </c>
      <c r="B126" s="26" t="s">
        <v>264</v>
      </c>
      <c r="C126" s="26" t="s">
        <v>152</v>
      </c>
      <c r="D126" s="16">
        <v>1278</v>
      </c>
      <c r="E126" s="27" t="s">
        <v>325</v>
      </c>
      <c r="F126" s="16" t="s">
        <v>40</v>
      </c>
      <c r="G126" s="26" t="s">
        <v>66</v>
      </c>
      <c r="H126" s="27" t="s">
        <v>326</v>
      </c>
      <c r="I126" s="27">
        <v>185</v>
      </c>
      <c r="J126" s="75">
        <f>VLOOKUP(D126,美团日报!$C:$E,3,0)</f>
        <v>6537.767</v>
      </c>
      <c r="K126" s="75">
        <f>VLOOKUP(D:D,秒达日报!C:F,4,0)</f>
        <v>297.82170983193</v>
      </c>
      <c r="L126" s="16">
        <f>VLOOKUP(D:D,秒达日报!C:I,7,0)</f>
        <v>7</v>
      </c>
      <c r="M126" s="75">
        <f>VLOOKUP(D:D,美团日报!C:F,4,0)</f>
        <v>615.74896484525</v>
      </c>
      <c r="N126" s="16">
        <f>VLOOKUP(D:D,美团日报!C:I,7,0)</f>
        <v>16</v>
      </c>
      <c r="O126" s="75">
        <f>VLOOKUP(D:D,饿了么日报!C:F,4,0)</f>
        <v>337.59292035395</v>
      </c>
      <c r="P126" s="16">
        <f>VLOOKUP(D:D,饿了么日报!C:I,7,0)</f>
        <v>11</v>
      </c>
      <c r="Q126" s="87">
        <f t="shared" si="5"/>
        <v>1251.16359503113</v>
      </c>
      <c r="R126" s="88">
        <f t="shared" si="6"/>
        <v>34</v>
      </c>
      <c r="S126" s="89">
        <f t="shared" si="7"/>
        <v>0.191374760683752</v>
      </c>
      <c r="T126" s="90"/>
      <c r="U126" s="90"/>
    </row>
    <row r="127" ht="14.4" spans="1:21">
      <c r="A127" s="27" t="s">
        <v>19</v>
      </c>
      <c r="B127" s="26" t="s">
        <v>63</v>
      </c>
      <c r="C127" s="26" t="s">
        <v>327</v>
      </c>
      <c r="D127" s="16">
        <v>1280</v>
      </c>
      <c r="E127" s="27" t="s">
        <v>328</v>
      </c>
      <c r="F127" s="16" t="s">
        <v>40</v>
      </c>
      <c r="G127" s="26" t="s">
        <v>66</v>
      </c>
      <c r="H127" s="27" t="s">
        <v>329</v>
      </c>
      <c r="I127" s="27">
        <v>150</v>
      </c>
      <c r="J127" s="75">
        <f>VLOOKUP(D127,美团日报!$C:$E,3,0)</f>
        <v>7693.9039</v>
      </c>
      <c r="K127" s="75">
        <f>VLOOKUP(D:D,秒达日报!C:F,4,0)</f>
        <v>1197.25663716817</v>
      </c>
      <c r="L127" s="16">
        <f>VLOOKUP(D:D,秒达日报!C:I,7,0)</f>
        <v>27</v>
      </c>
      <c r="M127" s="75">
        <f>VLOOKUP(D:D,美团日报!C:F,4,0)</f>
        <v>108.407079646</v>
      </c>
      <c r="N127" s="16">
        <f>VLOOKUP(D:D,美团日报!C:I,7,0)</f>
        <v>2</v>
      </c>
      <c r="O127" s="75">
        <f>VLOOKUP(D:D,饿了么日报!C:F,4,0)</f>
        <v>189.01769911504</v>
      </c>
      <c r="P127" s="16">
        <f>VLOOKUP(D:D,饿了么日报!C:I,7,0)</f>
        <v>5</v>
      </c>
      <c r="Q127" s="87">
        <f t="shared" si="5"/>
        <v>1494.68141592921</v>
      </c>
      <c r="R127" s="88">
        <f t="shared" si="6"/>
        <v>34</v>
      </c>
      <c r="S127" s="89">
        <f t="shared" si="7"/>
        <v>0.19426827204447</v>
      </c>
      <c r="T127" s="90"/>
      <c r="U127" s="90"/>
    </row>
    <row r="128" ht="14.4" spans="1:21">
      <c r="A128" s="27" t="s">
        <v>19</v>
      </c>
      <c r="B128" s="26" t="s">
        <v>264</v>
      </c>
      <c r="C128" s="26" t="s">
        <v>301</v>
      </c>
      <c r="D128" s="16">
        <v>1281</v>
      </c>
      <c r="E128" s="27" t="s">
        <v>330</v>
      </c>
      <c r="F128" s="16" t="s">
        <v>40</v>
      </c>
      <c r="G128" s="26" t="s">
        <v>41</v>
      </c>
      <c r="H128" s="27" t="s">
        <v>331</v>
      </c>
      <c r="I128" s="27">
        <v>121</v>
      </c>
      <c r="J128" s="75">
        <f>VLOOKUP(D128,美团日报!$C:$E,3,0)</f>
        <v>1958.7437</v>
      </c>
      <c r="K128" s="75">
        <f>VLOOKUP(D:D,秒达日报!C:F,4,0)</f>
        <v>122.97637411707</v>
      </c>
      <c r="L128" s="16">
        <f>VLOOKUP(D:D,秒达日报!C:I,7,0)</f>
        <v>3</v>
      </c>
      <c r="M128" s="75">
        <f>VLOOKUP(D:D,美团日报!C:F,4,0)</f>
        <v>0</v>
      </c>
      <c r="N128" s="16">
        <f>VLOOKUP(D:D,美团日报!C:I,7,0)</f>
        <v>0</v>
      </c>
      <c r="O128" s="75">
        <f>VLOOKUP(D:D,饿了么日报!C:F,4,0)</f>
        <v>0</v>
      </c>
      <c r="P128" s="16">
        <f>VLOOKUP(D:D,饿了么日报!C:I,7,0)</f>
        <v>0</v>
      </c>
      <c r="Q128" s="87">
        <f t="shared" si="5"/>
        <v>122.97637411707</v>
      </c>
      <c r="R128" s="88">
        <f t="shared" si="6"/>
        <v>3</v>
      </c>
      <c r="S128" s="89">
        <f t="shared" si="7"/>
        <v>0.062783290185985</v>
      </c>
      <c r="T128" s="90"/>
      <c r="U128" s="90"/>
    </row>
    <row r="129" ht="14.4" spans="1:21">
      <c r="A129" s="27" t="s">
        <v>19</v>
      </c>
      <c r="B129" s="26" t="s">
        <v>264</v>
      </c>
      <c r="C129" s="26" t="s">
        <v>301</v>
      </c>
      <c r="D129" s="16">
        <v>1282</v>
      </c>
      <c r="E129" s="27" t="s">
        <v>332</v>
      </c>
      <c r="F129" s="16" t="s">
        <v>40</v>
      </c>
      <c r="G129" s="26" t="s">
        <v>66</v>
      </c>
      <c r="H129" s="27" t="s">
        <v>333</v>
      </c>
      <c r="I129" s="27">
        <v>110</v>
      </c>
      <c r="J129" s="75">
        <f>VLOOKUP(D129,美团日报!$C:$E,3,0)</f>
        <v>2624.6613</v>
      </c>
      <c r="K129" s="75">
        <f>VLOOKUP(D:D,秒达日报!C:F,4,0)</f>
        <v>0</v>
      </c>
      <c r="L129" s="16">
        <f>VLOOKUP(D:D,秒达日报!C:I,7,0)</f>
        <v>0</v>
      </c>
      <c r="M129" s="75">
        <f>VLOOKUP(D:D,美团日报!C:F,4,0)</f>
        <v>0</v>
      </c>
      <c r="N129" s="16">
        <f>VLOOKUP(D:D,美团日报!C:I,7,0)</f>
        <v>0</v>
      </c>
      <c r="O129" s="75">
        <f>VLOOKUP(D:D,饿了么日报!C:F,4,0)</f>
        <v>0</v>
      </c>
      <c r="P129" s="16">
        <f>VLOOKUP(D:D,饿了么日报!C:I,7,0)</f>
        <v>0</v>
      </c>
      <c r="Q129" s="87">
        <f t="shared" si="5"/>
        <v>0</v>
      </c>
      <c r="R129" s="88">
        <f t="shared" si="6"/>
        <v>0</v>
      </c>
      <c r="S129" s="89">
        <f t="shared" si="7"/>
        <v>0</v>
      </c>
      <c r="T129" s="90"/>
      <c r="U129" s="90"/>
    </row>
    <row r="130" ht="14.4" spans="1:21">
      <c r="A130" s="27" t="s">
        <v>19</v>
      </c>
      <c r="B130" s="26" t="s">
        <v>264</v>
      </c>
      <c r="C130" s="26" t="s">
        <v>327</v>
      </c>
      <c r="D130" s="16">
        <v>1293</v>
      </c>
      <c r="E130" s="27" t="s">
        <v>334</v>
      </c>
      <c r="F130" s="16" t="s">
        <v>40</v>
      </c>
      <c r="G130" s="26" t="s">
        <v>66</v>
      </c>
      <c r="H130" s="27" t="s">
        <v>335</v>
      </c>
      <c r="I130" s="27">
        <v>57</v>
      </c>
      <c r="J130" s="75">
        <f>VLOOKUP(D130,美团日报!$C:$E,3,0)</f>
        <v>3240.6656</v>
      </c>
      <c r="K130" s="75">
        <f>VLOOKUP(D:D,秒达日报!C:F,4,0)</f>
        <v>53.98230088496</v>
      </c>
      <c r="L130" s="16">
        <f>VLOOKUP(D:D,秒达日报!C:I,7,0)</f>
        <v>1</v>
      </c>
      <c r="M130" s="75">
        <f>VLOOKUP(D:D,美团日报!C:F,4,0)</f>
        <v>25.22123893805</v>
      </c>
      <c r="N130" s="16">
        <f>VLOOKUP(D:D,美团日报!C:I,7,0)</f>
        <v>1</v>
      </c>
      <c r="O130" s="75">
        <f>VLOOKUP(D:D,饿了么日报!C:F,4,0)</f>
        <v>25.04424778761</v>
      </c>
      <c r="P130" s="16">
        <f>VLOOKUP(D:D,饿了么日报!C:I,7,0)</f>
        <v>1</v>
      </c>
      <c r="Q130" s="87">
        <f t="shared" si="5"/>
        <v>104.24778761062</v>
      </c>
      <c r="R130" s="88">
        <f t="shared" si="6"/>
        <v>3</v>
      </c>
      <c r="S130" s="89">
        <f t="shared" si="7"/>
        <v>0.0321686346195732</v>
      </c>
      <c r="T130" s="90"/>
      <c r="U130" s="90"/>
    </row>
    <row r="131" ht="14.4" spans="1:21">
      <c r="A131" s="27" t="s">
        <v>19</v>
      </c>
      <c r="B131" s="26" t="s">
        <v>264</v>
      </c>
      <c r="C131" s="26" t="s">
        <v>301</v>
      </c>
      <c r="D131" s="16">
        <v>1294</v>
      </c>
      <c r="E131" s="27" t="s">
        <v>336</v>
      </c>
      <c r="F131" s="16" t="s">
        <v>40</v>
      </c>
      <c r="G131" s="26" t="s">
        <v>66</v>
      </c>
      <c r="H131" s="27" t="s">
        <v>337</v>
      </c>
      <c r="I131" s="27">
        <v>110</v>
      </c>
      <c r="J131" s="75">
        <f>VLOOKUP(D131,美团日报!$C:$E,3,0)</f>
        <v>5423.0795</v>
      </c>
      <c r="K131" s="75">
        <f>VLOOKUP(D:D,秒达日报!C:F,4,0)</f>
        <v>15.4867256637201</v>
      </c>
      <c r="L131" s="16">
        <f>VLOOKUP(D:D,秒达日报!C:I,7,0)</f>
        <v>1</v>
      </c>
      <c r="M131" s="75">
        <f>VLOOKUP(D:D,美团日报!C:F,4,0)</f>
        <v>159.73451327435</v>
      </c>
      <c r="N131" s="16">
        <f>VLOOKUP(D:D,美团日报!C:I,7,0)</f>
        <v>2</v>
      </c>
      <c r="O131" s="75">
        <f>VLOOKUP(D:D,饿了么日报!C:F,4,0)</f>
        <v>297.08532921979</v>
      </c>
      <c r="P131" s="16">
        <f>VLOOKUP(D:D,饿了么日报!C:I,7,0)</f>
        <v>7</v>
      </c>
      <c r="Q131" s="87">
        <f t="shared" si="5"/>
        <v>472.30656815786</v>
      </c>
      <c r="R131" s="88">
        <f t="shared" si="6"/>
        <v>10</v>
      </c>
      <c r="S131" s="89">
        <f t="shared" si="7"/>
        <v>0.0870919499074023</v>
      </c>
      <c r="T131" s="90"/>
      <c r="U131" s="90"/>
    </row>
    <row r="132" ht="14.4" spans="1:21">
      <c r="A132" s="27" t="s">
        <v>19</v>
      </c>
      <c r="B132" s="26" t="s">
        <v>264</v>
      </c>
      <c r="C132" s="26" t="s">
        <v>304</v>
      </c>
      <c r="D132" s="16">
        <v>1295</v>
      </c>
      <c r="E132" s="27" t="s">
        <v>338</v>
      </c>
      <c r="F132" s="16" t="s">
        <v>40</v>
      </c>
      <c r="G132" s="26" t="s">
        <v>66</v>
      </c>
      <c r="H132" s="27" t="s">
        <v>339</v>
      </c>
      <c r="I132" s="27">
        <v>103.23</v>
      </c>
      <c r="J132" s="75">
        <f>VLOOKUP(D132,美团日报!$C:$E,3,0)</f>
        <v>2043.8197</v>
      </c>
      <c r="K132" s="75">
        <f>VLOOKUP(D:D,秒达日报!C:F,4,0)</f>
        <v>439.24088657952</v>
      </c>
      <c r="L132" s="16">
        <f>VLOOKUP(D:D,秒达日报!C:I,7,0)</f>
        <v>9</v>
      </c>
      <c r="M132" s="75">
        <f>VLOOKUP(D:D,美团日报!C:F,4,0)</f>
        <v>276.15084842091</v>
      </c>
      <c r="N132" s="16">
        <f>VLOOKUP(D:D,美团日报!C:I,7,0)</f>
        <v>6</v>
      </c>
      <c r="O132" s="75">
        <f>VLOOKUP(D:D,饿了么日报!C:F,4,0)</f>
        <v>360.62531460583</v>
      </c>
      <c r="P132" s="16">
        <f>VLOOKUP(D:D,饿了么日报!C:I,7,0)</f>
        <v>8</v>
      </c>
      <c r="Q132" s="87">
        <f t="shared" ref="Q132:Q195" si="8">K132+M132+O132</f>
        <v>1076.01704960626</v>
      </c>
      <c r="R132" s="88">
        <f t="shared" ref="R132:R195" si="9">L132+N132+P132</f>
        <v>23</v>
      </c>
      <c r="S132" s="89">
        <f t="shared" ref="S132:S195" si="10">Q132/J132</f>
        <v>0.526473567901445</v>
      </c>
      <c r="T132" s="90"/>
      <c r="U132" s="90"/>
    </row>
    <row r="133" ht="14.4" spans="1:21">
      <c r="A133" s="27" t="s">
        <v>19</v>
      </c>
      <c r="B133" s="26" t="s">
        <v>264</v>
      </c>
      <c r="C133" s="26" t="s">
        <v>118</v>
      </c>
      <c r="D133" s="16">
        <v>1299</v>
      </c>
      <c r="E133" s="27" t="s">
        <v>340</v>
      </c>
      <c r="F133" s="16" t="s">
        <v>40</v>
      </c>
      <c r="G133" s="26" t="s">
        <v>66</v>
      </c>
      <c r="H133" s="27" t="s">
        <v>341</v>
      </c>
      <c r="I133" s="27">
        <v>115</v>
      </c>
      <c r="J133" s="75">
        <f>VLOOKUP(D133,美团日报!$C:$E,3,0)</f>
        <v>6651.875</v>
      </c>
      <c r="K133" s="75">
        <f>VLOOKUP(D:D,秒达日报!C:F,4,0)</f>
        <v>35.3982300884999</v>
      </c>
      <c r="L133" s="16">
        <f>VLOOKUP(D:D,秒达日报!C:I,7,0)</f>
        <v>1</v>
      </c>
      <c r="M133" s="75">
        <f>VLOOKUP(D:D,美团日报!C:F,4,0)</f>
        <v>1770.05123000734</v>
      </c>
      <c r="N133" s="16">
        <f>VLOOKUP(D:D,美团日报!C:I,7,0)</f>
        <v>39</v>
      </c>
      <c r="O133" s="75">
        <f>VLOOKUP(D:D,饿了么日报!C:F,4,0)</f>
        <v>408.03020215961</v>
      </c>
      <c r="P133" s="16">
        <f>VLOOKUP(D:D,饿了么日报!C:I,7,0)</f>
        <v>10</v>
      </c>
      <c r="Q133" s="87">
        <f t="shared" si="8"/>
        <v>2213.47966225545</v>
      </c>
      <c r="R133" s="88">
        <f t="shared" si="9"/>
        <v>50</v>
      </c>
      <c r="S133" s="89">
        <f t="shared" si="10"/>
        <v>0.332760261167784</v>
      </c>
      <c r="T133" s="90"/>
      <c r="U133" s="90"/>
    </row>
    <row r="134" ht="14.4" spans="1:21">
      <c r="A134" s="27" t="s">
        <v>19</v>
      </c>
      <c r="B134" s="26" t="s">
        <v>56</v>
      </c>
      <c r="C134" s="26" t="s">
        <v>264</v>
      </c>
      <c r="D134" s="16">
        <v>1362</v>
      </c>
      <c r="E134" s="27" t="s">
        <v>342</v>
      </c>
      <c r="F134" s="16" t="s">
        <v>40</v>
      </c>
      <c r="G134" s="26" t="s">
        <v>280</v>
      </c>
      <c r="H134" s="27" t="s">
        <v>343</v>
      </c>
      <c r="I134" s="27">
        <v>70</v>
      </c>
      <c r="J134" s="75">
        <f>VLOOKUP(D134,美团日报!$C:$E,3,0)</f>
        <v>42322.7696</v>
      </c>
      <c r="K134" s="75">
        <f>VLOOKUP(D:D,秒达日报!C:F,4,0)</f>
        <v>0</v>
      </c>
      <c r="L134" s="16">
        <f>VLOOKUP(D:D,秒达日报!C:I,7,0)</f>
        <v>0</v>
      </c>
      <c r="M134" s="75">
        <f>VLOOKUP(D:D,美团日报!C:F,4,0)</f>
        <v>0</v>
      </c>
      <c r="N134" s="16">
        <f>VLOOKUP(D:D,美团日报!C:I,7,0)</f>
        <v>0</v>
      </c>
      <c r="O134" s="75">
        <f>VLOOKUP(D:D,饿了么日报!C:F,4,0)</f>
        <v>0</v>
      </c>
      <c r="P134" s="16">
        <f>VLOOKUP(D:D,饿了么日报!C:I,7,0)</f>
        <v>0</v>
      </c>
      <c r="Q134" s="87">
        <f t="shared" si="8"/>
        <v>0</v>
      </c>
      <c r="R134" s="88">
        <f t="shared" si="9"/>
        <v>0</v>
      </c>
      <c r="S134" s="89">
        <f t="shared" si="10"/>
        <v>0</v>
      </c>
      <c r="T134" s="90"/>
      <c r="U134" s="90"/>
    </row>
    <row r="135" ht="14.4" spans="1:21">
      <c r="A135" s="27" t="s">
        <v>19</v>
      </c>
      <c r="B135" s="26" t="s">
        <v>264</v>
      </c>
      <c r="C135" s="26" t="s">
        <v>152</v>
      </c>
      <c r="D135" s="16">
        <v>1366</v>
      </c>
      <c r="E135" s="27" t="s">
        <v>344</v>
      </c>
      <c r="F135" s="16" t="s">
        <v>40</v>
      </c>
      <c r="G135" s="26" t="s">
        <v>66</v>
      </c>
      <c r="H135" s="27" t="s">
        <v>345</v>
      </c>
      <c r="I135" s="27">
        <v>100</v>
      </c>
      <c r="J135" s="75">
        <f>VLOOKUP(D135,美团日报!$C:$E,3,0)</f>
        <v>8115.6428</v>
      </c>
      <c r="K135" s="75">
        <f>VLOOKUP(D:D,秒达日报!C:F,4,0)</f>
        <v>331.1504424779</v>
      </c>
      <c r="L135" s="16">
        <f>VLOOKUP(D:D,秒达日报!C:I,7,0)</f>
        <v>5</v>
      </c>
      <c r="M135" s="75">
        <f>VLOOKUP(D:D,美团日报!C:F,4,0)</f>
        <v>2065.3089226271</v>
      </c>
      <c r="N135" s="16">
        <f>VLOOKUP(D:D,美团日报!C:I,7,0)</f>
        <v>44</v>
      </c>
      <c r="O135" s="75">
        <f>VLOOKUP(D:D,饿了么日报!C:F,4,0)</f>
        <v>1395.86750020291</v>
      </c>
      <c r="P135" s="16">
        <f>VLOOKUP(D:D,饿了么日报!C:I,7,0)</f>
        <v>35</v>
      </c>
      <c r="Q135" s="87">
        <f t="shared" si="8"/>
        <v>3792.32686530791</v>
      </c>
      <c r="R135" s="88">
        <f t="shared" si="9"/>
        <v>84</v>
      </c>
      <c r="S135" s="89">
        <f t="shared" si="10"/>
        <v>0.467286074407798</v>
      </c>
      <c r="T135" s="90"/>
      <c r="U135" s="90"/>
    </row>
    <row r="136" ht="14.4" spans="1:21">
      <c r="A136" s="27" t="s">
        <v>19</v>
      </c>
      <c r="B136" s="26" t="s">
        <v>63</v>
      </c>
      <c r="C136" s="26" t="s">
        <v>99</v>
      </c>
      <c r="D136" s="16">
        <v>1369</v>
      </c>
      <c r="E136" s="27" t="s">
        <v>346</v>
      </c>
      <c r="F136" s="16" t="s">
        <v>40</v>
      </c>
      <c r="G136" s="26" t="s">
        <v>41</v>
      </c>
      <c r="H136" s="27" t="s">
        <v>347</v>
      </c>
      <c r="I136" s="27">
        <v>120</v>
      </c>
      <c r="J136" s="75">
        <f>VLOOKUP(D136,美团日报!$C:$E,3,0)</f>
        <v>4210.5011</v>
      </c>
      <c r="K136" s="75">
        <f>VLOOKUP(D:D,秒达日报!C:F,4,0)</f>
        <v>71.06925387675</v>
      </c>
      <c r="L136" s="16">
        <f>VLOOKUP(D:D,秒达日报!C:I,7,0)</f>
        <v>2</v>
      </c>
      <c r="M136" s="75">
        <f>VLOOKUP(D:D,美团日报!C:F,4,0)</f>
        <v>54.74303807745</v>
      </c>
      <c r="N136" s="16">
        <f>VLOOKUP(D:D,美团日报!C:I,7,0)</f>
        <v>2</v>
      </c>
      <c r="O136" s="75">
        <f>VLOOKUP(D:D,饿了么日报!C:F,4,0)</f>
        <v>447.62947958105</v>
      </c>
      <c r="P136" s="16">
        <f>VLOOKUP(D:D,饿了么日报!C:I,7,0)</f>
        <v>12</v>
      </c>
      <c r="Q136" s="87">
        <f t="shared" si="8"/>
        <v>573.44177153525</v>
      </c>
      <c r="R136" s="88">
        <f t="shared" si="9"/>
        <v>16</v>
      </c>
      <c r="S136" s="89">
        <f t="shared" si="10"/>
        <v>0.136193236366866</v>
      </c>
      <c r="T136" s="90"/>
      <c r="U136" s="90"/>
    </row>
    <row r="137" ht="14.4" spans="1:21">
      <c r="A137" s="27" t="s">
        <v>19</v>
      </c>
      <c r="B137" s="26" t="s">
        <v>63</v>
      </c>
      <c r="C137" s="26" t="s">
        <v>327</v>
      </c>
      <c r="D137" s="16">
        <v>1376</v>
      </c>
      <c r="E137" s="27" t="s">
        <v>348</v>
      </c>
      <c r="F137" s="16" t="s">
        <v>40</v>
      </c>
      <c r="G137" s="26" t="s">
        <v>323</v>
      </c>
      <c r="H137" s="27" t="s">
        <v>349</v>
      </c>
      <c r="I137" s="27">
        <v>73</v>
      </c>
      <c r="J137" s="75">
        <f>VLOOKUP(D137,美团日报!$C:$E,3,0)</f>
        <v>4458.686</v>
      </c>
      <c r="K137" s="75">
        <f>VLOOKUP(D:D,秒达日报!C:F,4,0)</f>
        <v>0</v>
      </c>
      <c r="L137" s="16">
        <f>VLOOKUP(D:D,秒达日报!C:I,7,0)</f>
        <v>0</v>
      </c>
      <c r="M137" s="75">
        <f>VLOOKUP(D:D,美团日报!C:F,4,0)</f>
        <v>0</v>
      </c>
      <c r="N137" s="16">
        <f>VLOOKUP(D:D,美团日报!C:I,7,0)</f>
        <v>0</v>
      </c>
      <c r="O137" s="75">
        <f>VLOOKUP(D:D,饿了么日报!C:F,4,0)</f>
        <v>0</v>
      </c>
      <c r="P137" s="16">
        <f>VLOOKUP(D:D,饿了么日报!C:I,7,0)</f>
        <v>0</v>
      </c>
      <c r="Q137" s="87">
        <f t="shared" si="8"/>
        <v>0</v>
      </c>
      <c r="R137" s="88">
        <f t="shared" si="9"/>
        <v>0</v>
      </c>
      <c r="S137" s="89">
        <f t="shared" si="10"/>
        <v>0</v>
      </c>
      <c r="T137" s="90"/>
      <c r="U137" s="90"/>
    </row>
    <row r="138" ht="14.4" spans="1:21">
      <c r="A138" s="27" t="s">
        <v>19</v>
      </c>
      <c r="B138" s="26" t="s">
        <v>264</v>
      </c>
      <c r="C138" s="26" t="s">
        <v>350</v>
      </c>
      <c r="D138" s="16">
        <v>1380</v>
      </c>
      <c r="E138" s="27" t="s">
        <v>351</v>
      </c>
      <c r="F138" s="16" t="s">
        <v>40</v>
      </c>
      <c r="G138" s="26" t="s">
        <v>66</v>
      </c>
      <c r="H138" s="27" t="s">
        <v>352</v>
      </c>
      <c r="I138" s="27">
        <v>93</v>
      </c>
      <c r="J138" s="75">
        <f>VLOOKUP(D138,美团日报!$C:$E,3,0)</f>
        <v>8888.8084</v>
      </c>
      <c r="K138" s="75">
        <f>VLOOKUP(D:D,秒达日报!C:F,4,0)</f>
        <v>0</v>
      </c>
      <c r="L138" s="16">
        <f>VLOOKUP(D:D,秒达日报!C:I,7,0)</f>
        <v>0</v>
      </c>
      <c r="M138" s="75">
        <f>VLOOKUP(D:D,美团日报!C:F,4,0)</f>
        <v>1249.63302752291</v>
      </c>
      <c r="N138" s="16">
        <f>VLOOKUP(D:D,美团日报!C:I,7,0)</f>
        <v>29</v>
      </c>
      <c r="O138" s="75">
        <f>VLOOKUP(D:D,饿了么日报!C:F,4,0)</f>
        <v>1032.45035317043</v>
      </c>
      <c r="P138" s="16">
        <f>VLOOKUP(D:D,饿了么日报!C:I,7,0)</f>
        <v>16</v>
      </c>
      <c r="Q138" s="87">
        <f t="shared" si="8"/>
        <v>2282.08338069334</v>
      </c>
      <c r="R138" s="88">
        <f t="shared" si="9"/>
        <v>45</v>
      </c>
      <c r="S138" s="89">
        <f t="shared" si="10"/>
        <v>0.256736705078865</v>
      </c>
      <c r="T138" s="90"/>
      <c r="U138" s="90"/>
    </row>
    <row r="139" ht="14.4" spans="1:21">
      <c r="A139" s="27" t="s">
        <v>19</v>
      </c>
      <c r="B139" s="26" t="s">
        <v>264</v>
      </c>
      <c r="C139" s="26" t="s">
        <v>52</v>
      </c>
      <c r="D139" s="16">
        <v>1386</v>
      </c>
      <c r="E139" s="27" t="s">
        <v>353</v>
      </c>
      <c r="F139" s="16" t="s">
        <v>40</v>
      </c>
      <c r="G139" s="26" t="s">
        <v>41</v>
      </c>
      <c r="H139" s="27" t="s">
        <v>354</v>
      </c>
      <c r="I139" s="27">
        <v>87</v>
      </c>
      <c r="J139" s="75">
        <f>VLOOKUP(D139,美团日报!$C:$E,3,0)</f>
        <v>4051.8608</v>
      </c>
      <c r="K139" s="75">
        <f>VLOOKUP(D:D,秒达日报!C:F,4,0)</f>
        <v>0</v>
      </c>
      <c r="L139" s="16">
        <f>VLOOKUP(D:D,秒达日报!C:I,7,0)</f>
        <v>0</v>
      </c>
      <c r="M139" s="75">
        <f>VLOOKUP(D:D,美团日报!C:F,4,0)</f>
        <v>69.64601769911</v>
      </c>
      <c r="N139" s="16">
        <f>VLOOKUP(D:D,美团日报!C:I,7,0)</f>
        <v>1</v>
      </c>
      <c r="O139" s="75">
        <f>VLOOKUP(D:D,饿了么日报!C:F,4,0)</f>
        <v>670.04725176578</v>
      </c>
      <c r="P139" s="16">
        <f>VLOOKUP(D:D,饿了么日报!C:I,7,0)</f>
        <v>16</v>
      </c>
      <c r="Q139" s="87">
        <f t="shared" si="8"/>
        <v>739.69326946489</v>
      </c>
      <c r="R139" s="88">
        <f t="shared" si="9"/>
        <v>17</v>
      </c>
      <c r="S139" s="89">
        <f t="shared" si="10"/>
        <v>0.18255643665372</v>
      </c>
      <c r="T139" s="90"/>
      <c r="U139" s="90"/>
    </row>
    <row r="140" ht="14.4" spans="1:21">
      <c r="A140" s="27" t="s">
        <v>19</v>
      </c>
      <c r="B140" s="26" t="s">
        <v>56</v>
      </c>
      <c r="C140" s="26" t="e">
        <v>#N/A</v>
      </c>
      <c r="D140" s="16">
        <v>1441</v>
      </c>
      <c r="E140" s="27" t="s">
        <v>355</v>
      </c>
      <c r="F140" s="16" t="e">
        <v>#N/A</v>
      </c>
      <c r="G140" s="26" t="e">
        <v>#N/A</v>
      </c>
      <c r="H140" s="27" t="s">
        <v>356</v>
      </c>
      <c r="I140" s="27">
        <v>103</v>
      </c>
      <c r="J140" s="75">
        <f>VLOOKUP(D140,美团日报!$C:$E,3,0)</f>
        <v>0</v>
      </c>
      <c r="K140" s="75">
        <f>VLOOKUP(D:D,秒达日报!C:F,4,0)</f>
        <v>0</v>
      </c>
      <c r="L140" s="16">
        <f>VLOOKUP(D:D,秒达日报!C:I,7,0)</f>
        <v>0</v>
      </c>
      <c r="M140" s="75">
        <f>VLOOKUP(D:D,美团日报!C:F,4,0)</f>
        <v>0</v>
      </c>
      <c r="N140" s="16">
        <f>VLOOKUP(D:D,美团日报!C:I,7,0)</f>
        <v>0</v>
      </c>
      <c r="O140" s="75">
        <f>VLOOKUP(D:D,饿了么日报!C:F,4,0)</f>
        <v>0</v>
      </c>
      <c r="P140" s="16">
        <f>VLOOKUP(D:D,饿了么日报!C:I,7,0)</f>
        <v>0</v>
      </c>
      <c r="Q140" s="87">
        <f t="shared" si="8"/>
        <v>0</v>
      </c>
      <c r="R140" s="88">
        <f t="shared" si="9"/>
        <v>0</v>
      </c>
      <c r="S140" s="89" t="e">
        <f t="shared" si="10"/>
        <v>#DIV/0!</v>
      </c>
      <c r="T140" s="90"/>
      <c r="U140" s="90"/>
    </row>
    <row r="141" ht="14.4" spans="1:21">
      <c r="A141" s="27" t="s">
        <v>19</v>
      </c>
      <c r="B141" s="26" t="e">
        <v>#N/A</v>
      </c>
      <c r="C141" s="26" t="s">
        <v>118</v>
      </c>
      <c r="D141" s="16">
        <v>1445</v>
      </c>
      <c r="E141" s="27" t="s">
        <v>357</v>
      </c>
      <c r="F141" s="16" t="s">
        <v>40</v>
      </c>
      <c r="G141" s="26" t="s">
        <v>66</v>
      </c>
      <c r="H141" s="27" t="s">
        <v>358</v>
      </c>
      <c r="I141" s="27">
        <v>49</v>
      </c>
      <c r="J141" s="75">
        <f>VLOOKUP(D141,美团日报!$C:$E,3,0)</f>
        <v>6229.7127</v>
      </c>
      <c r="K141" s="75">
        <f>VLOOKUP(D:D,秒达日报!C:F,4,0)</f>
        <v>0</v>
      </c>
      <c r="L141" s="16">
        <f>VLOOKUP(D:D,秒达日报!C:I,7,0)</f>
        <v>0</v>
      </c>
      <c r="M141" s="75">
        <f>VLOOKUP(D:D,美团日报!C:F,4,0)</f>
        <v>1582.49817325643</v>
      </c>
      <c r="N141" s="16">
        <f>VLOOKUP(D:D,美团日报!C:I,7,0)</f>
        <v>31</v>
      </c>
      <c r="O141" s="75">
        <f>VLOOKUP(D:D,饿了么日报!C:F,4,0)</f>
        <v>849.60461151256</v>
      </c>
      <c r="P141" s="16">
        <f>VLOOKUP(D:D,饿了么日报!C:I,7,0)</f>
        <v>21</v>
      </c>
      <c r="Q141" s="87">
        <f t="shared" si="8"/>
        <v>2432.10278476899</v>
      </c>
      <c r="R141" s="88">
        <f t="shared" si="9"/>
        <v>52</v>
      </c>
      <c r="S141" s="89">
        <f t="shared" si="10"/>
        <v>0.390403683426523</v>
      </c>
      <c r="T141" s="90"/>
      <c r="U141" s="90"/>
    </row>
    <row r="142" ht="14.4" spans="1:21">
      <c r="A142" s="27" t="s">
        <v>19</v>
      </c>
      <c r="B142" s="26" t="s">
        <v>56</v>
      </c>
      <c r="C142" s="26" t="s">
        <v>359</v>
      </c>
      <c r="D142" s="16">
        <v>1446</v>
      </c>
      <c r="E142" s="27" t="s">
        <v>360</v>
      </c>
      <c r="F142" s="16" t="s">
        <v>40</v>
      </c>
      <c r="G142" s="26" t="s">
        <v>323</v>
      </c>
      <c r="H142" s="27" t="s">
        <v>361</v>
      </c>
      <c r="I142" s="27">
        <v>51</v>
      </c>
      <c r="J142" s="75">
        <f>VLOOKUP(D142,美团日报!$C:$E,3,0)</f>
        <v>8599.4312</v>
      </c>
      <c r="K142" s="75">
        <f>VLOOKUP(D:D,秒达日报!C:F,4,0)</f>
        <v>0</v>
      </c>
      <c r="L142" s="16">
        <f>VLOOKUP(D:D,秒达日报!C:I,7,0)</f>
        <v>0</v>
      </c>
      <c r="M142" s="75">
        <f>VLOOKUP(D:D,美团日报!C:F,4,0)</f>
        <v>0</v>
      </c>
      <c r="N142" s="16">
        <f>VLOOKUP(D:D,美团日报!C:I,7,0)</f>
        <v>0</v>
      </c>
      <c r="O142" s="75">
        <f>VLOOKUP(D:D,饿了么日报!C:F,4,0)</f>
        <v>0</v>
      </c>
      <c r="P142" s="16">
        <f>VLOOKUP(D:D,饿了么日报!C:I,7,0)</f>
        <v>0</v>
      </c>
      <c r="Q142" s="87">
        <f t="shared" si="8"/>
        <v>0</v>
      </c>
      <c r="R142" s="88">
        <f t="shared" si="9"/>
        <v>0</v>
      </c>
      <c r="S142" s="89">
        <f t="shared" si="10"/>
        <v>0</v>
      </c>
      <c r="T142" s="90"/>
      <c r="U142" s="90"/>
    </row>
    <row r="143" ht="14.4" spans="1:21">
      <c r="A143" s="27" t="s">
        <v>19</v>
      </c>
      <c r="B143" s="26" t="s">
        <v>264</v>
      </c>
      <c r="C143" s="26" t="s">
        <v>296</v>
      </c>
      <c r="D143" s="16">
        <v>1460</v>
      </c>
      <c r="E143" s="27" t="s">
        <v>362</v>
      </c>
      <c r="F143" s="16" t="s">
        <v>40</v>
      </c>
      <c r="G143" s="26" t="s">
        <v>54</v>
      </c>
      <c r="H143" s="27" t="s">
        <v>363</v>
      </c>
      <c r="I143" s="27">
        <v>180</v>
      </c>
      <c r="J143" s="75">
        <f>VLOOKUP(D143,美团日报!$C:$E,3,0)</f>
        <v>3442.3028</v>
      </c>
      <c r="K143" s="75">
        <f>VLOOKUP(D:D,秒达日报!C:F,4,0)</f>
        <v>0</v>
      </c>
      <c r="L143" s="16">
        <f>VLOOKUP(D:D,秒达日报!C:I,7,0)</f>
        <v>0</v>
      </c>
      <c r="M143" s="75">
        <f>VLOOKUP(D:D,美团日报!C:F,4,0)</f>
        <v>0</v>
      </c>
      <c r="N143" s="16">
        <f>VLOOKUP(D:D,美团日报!C:I,7,0)</f>
        <v>0</v>
      </c>
      <c r="O143" s="75">
        <f>VLOOKUP(D:D,饿了么日报!C:F,4,0)</f>
        <v>0</v>
      </c>
      <c r="P143" s="16">
        <f>VLOOKUP(D:D,饿了么日报!C:I,7,0)</f>
        <v>0</v>
      </c>
      <c r="Q143" s="87">
        <f t="shared" si="8"/>
        <v>0</v>
      </c>
      <c r="R143" s="88">
        <f t="shared" si="9"/>
        <v>0</v>
      </c>
      <c r="S143" s="89">
        <f t="shared" si="10"/>
        <v>0</v>
      </c>
      <c r="T143" s="90"/>
      <c r="U143" s="90"/>
    </row>
    <row r="144" ht="14.4" spans="1:21">
      <c r="A144" s="27" t="s">
        <v>19</v>
      </c>
      <c r="B144" s="26" t="s">
        <v>264</v>
      </c>
      <c r="C144" s="26" t="s">
        <v>52</v>
      </c>
      <c r="D144" s="16">
        <v>1461</v>
      </c>
      <c r="E144" s="27" t="s">
        <v>364</v>
      </c>
      <c r="F144" s="16" t="s">
        <v>40</v>
      </c>
      <c r="G144" s="26" t="s">
        <v>41</v>
      </c>
      <c r="H144" s="27" t="s">
        <v>365</v>
      </c>
      <c r="I144" s="27">
        <v>65</v>
      </c>
      <c r="J144" s="75">
        <f>VLOOKUP(D144,美团日报!$C:$E,3,0)</f>
        <v>6043.9715</v>
      </c>
      <c r="K144" s="75">
        <f>VLOOKUP(D:D,秒达日报!C:F,4,0)</f>
        <v>345.48672566371</v>
      </c>
      <c r="L144" s="16">
        <f>VLOOKUP(D:D,秒达日报!C:I,7,0)</f>
        <v>8</v>
      </c>
      <c r="M144" s="75">
        <f>VLOOKUP(D:D,美团日报!C:F,4,0)</f>
        <v>140.19469026547</v>
      </c>
      <c r="N144" s="16">
        <f>VLOOKUP(D:D,美团日报!C:I,7,0)</f>
        <v>3</v>
      </c>
      <c r="O144" s="75">
        <f>VLOOKUP(D:D,饿了么日报!C:F,4,0)</f>
        <v>332.90265486726</v>
      </c>
      <c r="P144" s="16">
        <f>VLOOKUP(D:D,饿了么日报!C:I,7,0)</f>
        <v>10</v>
      </c>
      <c r="Q144" s="87">
        <f t="shared" si="8"/>
        <v>818.58407079644</v>
      </c>
      <c r="R144" s="88">
        <f t="shared" si="9"/>
        <v>21</v>
      </c>
      <c r="S144" s="89">
        <f t="shared" si="10"/>
        <v>0.135438108997774</v>
      </c>
      <c r="T144" s="91"/>
      <c r="U144" s="91"/>
    </row>
    <row r="145" ht="14.4" spans="1:21">
      <c r="A145" s="27" t="s">
        <v>19</v>
      </c>
      <c r="B145" s="26" t="s">
        <v>56</v>
      </c>
      <c r="C145" s="26" t="s">
        <v>38</v>
      </c>
      <c r="D145" s="16">
        <v>1479</v>
      </c>
      <c r="E145" s="27" t="s">
        <v>366</v>
      </c>
      <c r="F145" s="16" t="s">
        <v>40</v>
      </c>
      <c r="G145" s="26" t="s">
        <v>54</v>
      </c>
      <c r="H145" s="27" t="s">
        <v>367</v>
      </c>
      <c r="I145" s="27">
        <v>40</v>
      </c>
      <c r="J145" s="75">
        <f>VLOOKUP(D145,美团日报!$C:$E,3,0)</f>
        <v>6124.353</v>
      </c>
      <c r="K145" s="75">
        <f>VLOOKUP(D:D,秒达日报!C:F,4,0)</f>
        <v>66.10619469027</v>
      </c>
      <c r="L145" s="16">
        <f>VLOOKUP(D:D,秒达日报!C:I,7,0)</f>
        <v>2</v>
      </c>
      <c r="M145" s="75">
        <f>VLOOKUP(D:D,美团日报!C:F,4,0)</f>
        <v>24.42477876106</v>
      </c>
      <c r="N145" s="16">
        <f>VLOOKUP(D:D,美团日报!C:I,7,0)</f>
        <v>1</v>
      </c>
      <c r="O145" s="75">
        <f>VLOOKUP(D:D,饿了么日报!C:F,4,0)</f>
        <v>129.20353982301</v>
      </c>
      <c r="P145" s="16">
        <f>VLOOKUP(D:D,饿了么日报!C:I,7,0)</f>
        <v>4</v>
      </c>
      <c r="Q145" s="87">
        <f t="shared" si="8"/>
        <v>219.73451327434</v>
      </c>
      <c r="R145" s="88">
        <f t="shared" si="9"/>
        <v>7</v>
      </c>
      <c r="S145" s="89">
        <f t="shared" si="10"/>
        <v>0.0358788125495607</v>
      </c>
      <c r="T145" s="90"/>
      <c r="U145" s="90"/>
    </row>
    <row r="146" ht="14.4" spans="1:21">
      <c r="A146" s="27" t="s">
        <v>19</v>
      </c>
      <c r="B146" s="26" t="s">
        <v>43</v>
      </c>
      <c r="C146" s="26" t="s">
        <v>70</v>
      </c>
      <c r="D146" s="16">
        <v>1496</v>
      </c>
      <c r="E146" s="27" t="s">
        <v>368</v>
      </c>
      <c r="F146" s="16" t="s">
        <v>40</v>
      </c>
      <c r="G146" s="26" t="s">
        <v>41</v>
      </c>
      <c r="H146" s="27" t="s">
        <v>369</v>
      </c>
      <c r="I146" s="27">
        <v>86</v>
      </c>
      <c r="J146" s="75">
        <f>VLOOKUP(D146,美团日报!$C:$E,3,0)</f>
        <v>2554.8199</v>
      </c>
      <c r="K146" s="75">
        <f>VLOOKUP(D:D,秒达日报!C:F,4,0)</f>
        <v>69.82300884956</v>
      </c>
      <c r="L146" s="16">
        <f>VLOOKUP(D:D,秒达日报!C:I,7,0)</f>
        <v>2</v>
      </c>
      <c r="M146" s="75">
        <f>VLOOKUP(D:D,美团日报!C:F,4,0)</f>
        <v>218.17244458877</v>
      </c>
      <c r="N146" s="16">
        <f>VLOOKUP(D:D,美团日报!C:I,7,0)</f>
        <v>3</v>
      </c>
      <c r="O146" s="75">
        <f>VLOOKUP(D:D,饿了么日报!C:F,4,0)</f>
        <v>61.48672566372</v>
      </c>
      <c r="P146" s="16">
        <f>VLOOKUP(D:D,饿了么日报!C:I,7,0)</f>
        <v>2</v>
      </c>
      <c r="Q146" s="87">
        <f t="shared" si="8"/>
        <v>349.48217910205</v>
      </c>
      <c r="R146" s="88">
        <f t="shared" si="9"/>
        <v>7</v>
      </c>
      <c r="S146" s="89">
        <f t="shared" si="10"/>
        <v>0.136793274195981</v>
      </c>
      <c r="T146" s="90"/>
      <c r="U146" s="90"/>
    </row>
    <row r="147" ht="14.4" spans="1:21">
      <c r="A147" s="27" t="s">
        <v>19</v>
      </c>
      <c r="B147" s="26" t="s">
        <v>56</v>
      </c>
      <c r="C147" s="26" t="s">
        <v>370</v>
      </c>
      <c r="D147" s="16">
        <v>1513</v>
      </c>
      <c r="E147" s="27" t="s">
        <v>371</v>
      </c>
      <c r="F147" s="16" t="s">
        <v>40</v>
      </c>
      <c r="G147" s="26" t="s">
        <v>54</v>
      </c>
      <c r="H147" s="27" t="s">
        <v>372</v>
      </c>
      <c r="I147" s="27">
        <v>70</v>
      </c>
      <c r="J147" s="75">
        <f>VLOOKUP(D147,美团日报!$C:$E,3,0)</f>
        <v>8802.3996</v>
      </c>
      <c r="K147" s="75">
        <f>VLOOKUP(D:D,秒达日报!C:F,4,0)</f>
        <v>0</v>
      </c>
      <c r="L147" s="16">
        <f>VLOOKUP(D:D,秒达日报!C:I,7,0)</f>
        <v>0</v>
      </c>
      <c r="M147" s="75">
        <f>VLOOKUP(D:D,美团日报!C:F,4,0)</f>
        <v>0</v>
      </c>
      <c r="N147" s="16">
        <f>VLOOKUP(D:D,美团日报!C:I,7,0)</f>
        <v>0</v>
      </c>
      <c r="O147" s="75">
        <f>VLOOKUP(D:D,饿了么日报!C:F,4,0)</f>
        <v>0</v>
      </c>
      <c r="P147" s="16">
        <f>VLOOKUP(D:D,饿了么日报!C:I,7,0)</f>
        <v>0</v>
      </c>
      <c r="Q147" s="87">
        <f t="shared" si="8"/>
        <v>0</v>
      </c>
      <c r="R147" s="88">
        <f t="shared" si="9"/>
        <v>0</v>
      </c>
      <c r="S147" s="89">
        <f t="shared" si="10"/>
        <v>0</v>
      </c>
      <c r="T147" s="90"/>
      <c r="U147" s="90"/>
    </row>
    <row r="148" ht="14.4" spans="1:21">
      <c r="A148" s="27" t="s">
        <v>19</v>
      </c>
      <c r="B148" s="26" t="s">
        <v>264</v>
      </c>
      <c r="C148" s="26" t="s">
        <v>359</v>
      </c>
      <c r="D148" s="16">
        <v>1529</v>
      </c>
      <c r="E148" s="27" t="s">
        <v>373</v>
      </c>
      <c r="F148" s="16" t="s">
        <v>40</v>
      </c>
      <c r="G148" s="26" t="s">
        <v>54</v>
      </c>
      <c r="H148" s="27" t="s">
        <v>374</v>
      </c>
      <c r="I148" s="27">
        <v>180</v>
      </c>
      <c r="J148" s="75">
        <f>VLOOKUP(D148,美团日报!$C:$E,3,0)</f>
        <v>19411.4845</v>
      </c>
      <c r="K148" s="75">
        <f>VLOOKUP(D:D,秒达日报!C:F,4,0)</f>
        <v>0</v>
      </c>
      <c r="L148" s="16">
        <f>VLOOKUP(D:D,秒达日报!C:I,7,0)</f>
        <v>0</v>
      </c>
      <c r="M148" s="75">
        <f>VLOOKUP(D:D,美团日报!C:F,4,0)</f>
        <v>0</v>
      </c>
      <c r="N148" s="16">
        <f>VLOOKUP(D:D,美团日报!C:I,7,0)</f>
        <v>0</v>
      </c>
      <c r="O148" s="75">
        <f>VLOOKUP(D:D,饿了么日报!C:F,4,0)</f>
        <v>0</v>
      </c>
      <c r="P148" s="16">
        <f>VLOOKUP(D:D,饿了么日报!C:I,7,0)</f>
        <v>0</v>
      </c>
      <c r="Q148" s="87">
        <f t="shared" si="8"/>
        <v>0</v>
      </c>
      <c r="R148" s="88">
        <f t="shared" si="9"/>
        <v>0</v>
      </c>
      <c r="S148" s="89">
        <f t="shared" si="10"/>
        <v>0</v>
      </c>
      <c r="T148" s="90"/>
      <c r="U148" s="90"/>
    </row>
    <row r="149" ht="14.4" spans="1:21">
      <c r="A149" s="27" t="s">
        <v>19</v>
      </c>
      <c r="B149" s="26" t="s">
        <v>264</v>
      </c>
      <c r="C149" s="26" t="e">
        <v>#N/A</v>
      </c>
      <c r="D149" s="16">
        <v>1533</v>
      </c>
      <c r="E149" s="27" t="s">
        <v>375</v>
      </c>
      <c r="F149" s="16" t="e">
        <v>#N/A</v>
      </c>
      <c r="G149" s="26" t="e">
        <v>#N/A</v>
      </c>
      <c r="H149" s="27" t="s">
        <v>376</v>
      </c>
      <c r="I149" s="27">
        <v>71.4</v>
      </c>
      <c r="J149" s="75">
        <f>VLOOKUP(D149,美团日报!$C:$E,3,0)</f>
        <v>0</v>
      </c>
      <c r="K149" s="75">
        <f>VLOOKUP(D:D,秒达日报!C:F,4,0)</f>
        <v>0</v>
      </c>
      <c r="L149" s="16">
        <f>VLOOKUP(D:D,秒达日报!C:I,7,0)</f>
        <v>0</v>
      </c>
      <c r="M149" s="75">
        <f>VLOOKUP(D:D,美团日报!C:F,4,0)</f>
        <v>0</v>
      </c>
      <c r="N149" s="16">
        <f>VLOOKUP(D:D,美团日报!C:I,7,0)</f>
        <v>0</v>
      </c>
      <c r="O149" s="75">
        <f>VLOOKUP(D:D,饿了么日报!C:F,4,0)</f>
        <v>0</v>
      </c>
      <c r="P149" s="16">
        <f>VLOOKUP(D:D,饿了么日报!C:I,7,0)</f>
        <v>0</v>
      </c>
      <c r="Q149" s="87">
        <f t="shared" si="8"/>
        <v>0</v>
      </c>
      <c r="R149" s="88">
        <f t="shared" si="9"/>
        <v>0</v>
      </c>
      <c r="S149" s="89" t="e">
        <f t="shared" si="10"/>
        <v>#DIV/0!</v>
      </c>
      <c r="T149" s="90"/>
      <c r="U149" s="90"/>
    </row>
    <row r="150" ht="14.4" spans="1:21">
      <c r="A150" s="27" t="s">
        <v>19</v>
      </c>
      <c r="B150" s="26" t="e">
        <v>#N/A</v>
      </c>
      <c r="C150" s="26" t="s">
        <v>327</v>
      </c>
      <c r="D150" s="16">
        <v>1540</v>
      </c>
      <c r="E150" s="27" t="s">
        <v>377</v>
      </c>
      <c r="F150" s="16" t="s">
        <v>40</v>
      </c>
      <c r="G150" s="26" t="s">
        <v>323</v>
      </c>
      <c r="H150" s="27" t="s">
        <v>378</v>
      </c>
      <c r="I150" s="27">
        <v>15.84</v>
      </c>
      <c r="J150" s="75">
        <f>VLOOKUP(D150,美团日报!$C:$E,3,0)</f>
        <v>28849.2624</v>
      </c>
      <c r="K150" s="75">
        <f>VLOOKUP(D:D,秒达日报!C:F,4,0)</f>
        <v>0</v>
      </c>
      <c r="L150" s="16">
        <f>VLOOKUP(D:D,秒达日报!C:I,7,0)</f>
        <v>0</v>
      </c>
      <c r="M150" s="75">
        <f>VLOOKUP(D:D,美团日报!C:F,4,0)</f>
        <v>0</v>
      </c>
      <c r="N150" s="16">
        <f>VLOOKUP(D:D,美团日报!C:I,7,0)</f>
        <v>0</v>
      </c>
      <c r="O150" s="75">
        <f>VLOOKUP(D:D,饿了么日报!C:F,4,0)</f>
        <v>0</v>
      </c>
      <c r="P150" s="16">
        <f>VLOOKUP(D:D,饿了么日报!C:I,7,0)</f>
        <v>0</v>
      </c>
      <c r="Q150" s="87">
        <f t="shared" si="8"/>
        <v>0</v>
      </c>
      <c r="R150" s="88">
        <f t="shared" si="9"/>
        <v>0</v>
      </c>
      <c r="S150" s="89">
        <f t="shared" si="10"/>
        <v>0</v>
      </c>
      <c r="T150" s="90"/>
      <c r="U150" s="90"/>
    </row>
    <row r="151" ht="14.4" spans="1:21">
      <c r="A151" s="27" t="s">
        <v>19</v>
      </c>
      <c r="B151" s="26" t="s">
        <v>264</v>
      </c>
      <c r="C151" s="26" t="s">
        <v>143</v>
      </c>
      <c r="D151" s="16">
        <v>1543</v>
      </c>
      <c r="E151" s="27" t="s">
        <v>379</v>
      </c>
      <c r="F151" s="16" t="s">
        <v>40</v>
      </c>
      <c r="G151" s="26" t="s">
        <v>66</v>
      </c>
      <c r="H151" s="27" t="s">
        <v>380</v>
      </c>
      <c r="I151" s="27">
        <v>10</v>
      </c>
      <c r="J151" s="75">
        <f>VLOOKUP(D151,美团日报!$C:$E,3,0)</f>
        <v>5973.562</v>
      </c>
      <c r="K151" s="75">
        <f>VLOOKUP(D:D,秒达日报!C:F,4,0)</f>
        <v>120.37752699521</v>
      </c>
      <c r="L151" s="16">
        <f>VLOOKUP(D:D,秒达日报!C:I,7,0)</f>
        <v>3</v>
      </c>
      <c r="M151" s="75">
        <f>VLOOKUP(D:D,美团日报!C:F,4,0)</f>
        <v>150.61946902656</v>
      </c>
      <c r="N151" s="16">
        <f>VLOOKUP(D:D,美团日报!C:I,7,0)</f>
        <v>2</v>
      </c>
      <c r="O151" s="75">
        <f>VLOOKUP(D:D,饿了么日报!C:F,4,0)</f>
        <v>269.70796460177</v>
      </c>
      <c r="P151" s="16">
        <f>VLOOKUP(D:D,饿了么日报!C:I,7,0)</f>
        <v>6</v>
      </c>
      <c r="Q151" s="87">
        <f t="shared" si="8"/>
        <v>540.70496062354</v>
      </c>
      <c r="R151" s="88">
        <f t="shared" si="9"/>
        <v>11</v>
      </c>
      <c r="S151" s="89">
        <f t="shared" si="10"/>
        <v>0.0905163385972289</v>
      </c>
      <c r="T151" s="90"/>
      <c r="U151" s="90"/>
    </row>
    <row r="152" ht="14.4" spans="1:21">
      <c r="A152" s="27" t="s">
        <v>19</v>
      </c>
      <c r="B152" s="26" t="s">
        <v>43</v>
      </c>
      <c r="C152" s="26" t="s">
        <v>152</v>
      </c>
      <c r="D152" s="16">
        <v>1566</v>
      </c>
      <c r="E152" s="27" t="s">
        <v>381</v>
      </c>
      <c r="F152" s="16" t="s">
        <v>40</v>
      </c>
      <c r="G152" s="26" t="s">
        <v>66</v>
      </c>
      <c r="H152" s="27" t="s">
        <v>382</v>
      </c>
      <c r="I152" s="27">
        <v>43</v>
      </c>
      <c r="J152" s="75">
        <f>VLOOKUP(D152,美团日报!$C:$E,3,0)</f>
        <v>4504.1906</v>
      </c>
      <c r="K152" s="75">
        <f>VLOOKUP(D:D,秒达日报!C:F,4,0)</f>
        <v>0</v>
      </c>
      <c r="L152" s="16">
        <f>VLOOKUP(D:D,秒达日报!C:I,7,0)</f>
        <v>0</v>
      </c>
      <c r="M152" s="75">
        <f>VLOOKUP(D:D,美团日报!C:F,4,0)</f>
        <v>270.26548672563</v>
      </c>
      <c r="N152" s="16">
        <f>VLOOKUP(D:D,美团日报!C:I,7,0)</f>
        <v>6</v>
      </c>
      <c r="O152" s="75">
        <f>VLOOKUP(D:D,饿了么日报!C:F,4,0)</f>
        <v>730.71056263696</v>
      </c>
      <c r="P152" s="16">
        <f>VLOOKUP(D:D,饿了么日报!C:I,7,0)</f>
        <v>21</v>
      </c>
      <c r="Q152" s="87">
        <f t="shared" si="8"/>
        <v>1000.97604936259</v>
      </c>
      <c r="R152" s="88">
        <f t="shared" si="9"/>
        <v>27</v>
      </c>
      <c r="S152" s="89">
        <f t="shared" si="10"/>
        <v>0.222232169607252</v>
      </c>
      <c r="T152" s="90"/>
      <c r="U152" s="90"/>
    </row>
    <row r="153" ht="14.4" spans="1:21">
      <c r="A153" s="27" t="s">
        <v>19</v>
      </c>
      <c r="B153" s="26" t="s">
        <v>63</v>
      </c>
      <c r="C153" s="26" t="s">
        <v>73</v>
      </c>
      <c r="D153" s="16">
        <v>1578</v>
      </c>
      <c r="E153" s="27" t="s">
        <v>383</v>
      </c>
      <c r="F153" s="16" t="s">
        <v>40</v>
      </c>
      <c r="G153" s="26" t="s">
        <v>54</v>
      </c>
      <c r="H153" s="27" t="s">
        <v>384</v>
      </c>
      <c r="I153" s="27">
        <v>78</v>
      </c>
      <c r="J153" s="75">
        <f>VLOOKUP(D153,美团日报!$C:$E,3,0)</f>
        <v>2173.402</v>
      </c>
      <c r="K153" s="75">
        <f>VLOOKUP(D:D,秒达日报!C:F,4,0)</f>
        <v>95.65486725663</v>
      </c>
      <c r="L153" s="16">
        <f>VLOOKUP(D:D,秒达日报!C:I,7,0)</f>
        <v>2</v>
      </c>
      <c r="M153" s="75">
        <f>VLOOKUP(D:D,美团日报!C:F,4,0)</f>
        <v>170.38564585532</v>
      </c>
      <c r="N153" s="16">
        <f>VLOOKUP(D:D,美团日报!C:I,7,0)</f>
        <v>4</v>
      </c>
      <c r="O153" s="75">
        <f>VLOOKUP(D:D,饿了么日报!C:F,4,0)</f>
        <v>127.78761061946</v>
      </c>
      <c r="P153" s="16">
        <f>VLOOKUP(D:D,饿了么日报!C:I,7,0)</f>
        <v>4</v>
      </c>
      <c r="Q153" s="87">
        <f t="shared" si="8"/>
        <v>393.82812373141</v>
      </c>
      <c r="R153" s="88">
        <f t="shared" si="9"/>
        <v>10</v>
      </c>
      <c r="S153" s="89">
        <f t="shared" si="10"/>
        <v>0.181203534243279</v>
      </c>
      <c r="T153" s="90"/>
      <c r="U153" s="90"/>
    </row>
    <row r="154" ht="14.4" spans="1:21">
      <c r="A154" s="27" t="s">
        <v>19</v>
      </c>
      <c r="B154" s="26" t="s">
        <v>56</v>
      </c>
      <c r="C154" s="26" t="s">
        <v>111</v>
      </c>
      <c r="D154" s="16">
        <v>1584</v>
      </c>
      <c r="E154" s="27" t="s">
        <v>385</v>
      </c>
      <c r="F154" s="16" t="s">
        <v>40</v>
      </c>
      <c r="G154" s="26" t="s">
        <v>323</v>
      </c>
      <c r="H154" s="27" t="s">
        <v>386</v>
      </c>
      <c r="I154" s="27">
        <v>138</v>
      </c>
      <c r="J154" s="75">
        <f>VLOOKUP(D154,美团日报!$C:$E,3,0)</f>
        <v>9183.5087</v>
      </c>
      <c r="K154" s="75">
        <f>VLOOKUP(D:D,秒达日报!C:F,4,0)</f>
        <v>0</v>
      </c>
      <c r="L154" s="16">
        <f>VLOOKUP(D:D,秒达日报!C:I,7,0)</f>
        <v>0</v>
      </c>
      <c r="M154" s="75">
        <f>VLOOKUP(D:D,美团日报!C:F,4,0)</f>
        <v>0</v>
      </c>
      <c r="N154" s="16">
        <f>VLOOKUP(D:D,美团日报!C:I,7,0)</f>
        <v>0</v>
      </c>
      <c r="O154" s="75">
        <f>VLOOKUP(D:D,饿了么日报!C:F,4,0)</f>
        <v>0</v>
      </c>
      <c r="P154" s="16">
        <f>VLOOKUP(D:D,饿了么日报!C:I,7,0)</f>
        <v>0</v>
      </c>
      <c r="Q154" s="87">
        <f t="shared" si="8"/>
        <v>0</v>
      </c>
      <c r="R154" s="88">
        <f t="shared" si="9"/>
        <v>0</v>
      </c>
      <c r="S154" s="89">
        <f t="shared" si="10"/>
        <v>0</v>
      </c>
      <c r="T154" s="90"/>
      <c r="U154" s="90"/>
    </row>
    <row r="155" ht="14.4" spans="1:21">
      <c r="A155" s="27" t="s">
        <v>19</v>
      </c>
      <c r="B155" s="26" t="s">
        <v>48</v>
      </c>
      <c r="C155" s="26" t="s">
        <v>313</v>
      </c>
      <c r="D155" s="16">
        <v>1585</v>
      </c>
      <c r="E155" s="27" t="s">
        <v>387</v>
      </c>
      <c r="F155" s="16" t="s">
        <v>40</v>
      </c>
      <c r="G155" s="26" t="s">
        <v>54</v>
      </c>
      <c r="H155" s="27" t="s">
        <v>388</v>
      </c>
      <c r="I155" s="27">
        <v>120</v>
      </c>
      <c r="J155" s="75">
        <f>VLOOKUP(D155,美团日报!$C:$E,3,0)</f>
        <v>4477.3014</v>
      </c>
      <c r="K155" s="75">
        <f>VLOOKUP(D:D,秒达日报!C:F,4,0)</f>
        <v>0</v>
      </c>
      <c r="L155" s="16">
        <f>VLOOKUP(D:D,秒达日报!C:I,7,0)</f>
        <v>0</v>
      </c>
      <c r="M155" s="75">
        <f>VLOOKUP(D:D,美团日报!C:F,4,0)</f>
        <v>0</v>
      </c>
      <c r="N155" s="16">
        <f>VLOOKUP(D:D,美团日报!C:I,7,0)</f>
        <v>0</v>
      </c>
      <c r="O155" s="75">
        <f>VLOOKUP(D:D,饿了么日报!C:F,4,0)</f>
        <v>0</v>
      </c>
      <c r="P155" s="16">
        <f>VLOOKUP(D:D,饿了么日报!C:I,7,0)</f>
        <v>0</v>
      </c>
      <c r="Q155" s="87">
        <f t="shared" si="8"/>
        <v>0</v>
      </c>
      <c r="R155" s="88">
        <f t="shared" si="9"/>
        <v>0</v>
      </c>
      <c r="S155" s="89">
        <f t="shared" si="10"/>
        <v>0</v>
      </c>
      <c r="T155" s="90"/>
      <c r="U155" s="90"/>
    </row>
    <row r="156" ht="14.4" spans="1:21">
      <c r="A156" s="27" t="s">
        <v>19</v>
      </c>
      <c r="B156" s="26" t="s">
        <v>264</v>
      </c>
      <c r="C156" s="26" t="s">
        <v>264</v>
      </c>
      <c r="D156" s="16">
        <v>1590</v>
      </c>
      <c r="E156" s="27" t="s">
        <v>389</v>
      </c>
      <c r="F156" s="16" t="s">
        <v>40</v>
      </c>
      <c r="G156" s="26" t="s">
        <v>323</v>
      </c>
      <c r="H156" s="27" t="s">
        <v>390</v>
      </c>
      <c r="I156" s="27">
        <v>120</v>
      </c>
      <c r="J156" s="75">
        <f>VLOOKUP(D156,美团日报!$C:$E,3,0)</f>
        <v>30902.6089</v>
      </c>
      <c r="K156" s="75">
        <f>VLOOKUP(D:D,秒达日报!C:F,4,0)</f>
        <v>0</v>
      </c>
      <c r="L156" s="16">
        <f>VLOOKUP(D:D,秒达日报!C:I,7,0)</f>
        <v>0</v>
      </c>
      <c r="M156" s="75">
        <f>VLOOKUP(D:D,美团日报!C:F,4,0)</f>
        <v>0</v>
      </c>
      <c r="N156" s="16">
        <f>VLOOKUP(D:D,美团日报!C:I,7,0)</f>
        <v>0</v>
      </c>
      <c r="O156" s="75">
        <f>VLOOKUP(D:D,饿了么日报!C:F,4,0)</f>
        <v>0</v>
      </c>
      <c r="P156" s="16">
        <f>VLOOKUP(D:D,饿了么日报!C:I,7,0)</f>
        <v>0</v>
      </c>
      <c r="Q156" s="87">
        <f t="shared" si="8"/>
        <v>0</v>
      </c>
      <c r="R156" s="88">
        <f t="shared" si="9"/>
        <v>0</v>
      </c>
      <c r="S156" s="89">
        <f t="shared" si="10"/>
        <v>0</v>
      </c>
      <c r="T156" s="90"/>
      <c r="U156" s="90"/>
    </row>
    <row r="157" ht="14.4" spans="1:21">
      <c r="A157" s="27" t="s">
        <v>19</v>
      </c>
      <c r="B157" s="26" t="s">
        <v>264</v>
      </c>
      <c r="C157" s="26" t="s">
        <v>131</v>
      </c>
      <c r="D157" s="16">
        <v>1594</v>
      </c>
      <c r="E157" s="27" t="s">
        <v>391</v>
      </c>
      <c r="F157" s="16" t="s">
        <v>46</v>
      </c>
      <c r="G157" s="26" t="s">
        <v>41</v>
      </c>
      <c r="H157" s="27" t="s">
        <v>392</v>
      </c>
      <c r="I157" s="27">
        <v>60</v>
      </c>
      <c r="J157" s="75">
        <f>VLOOKUP(D157,美团日报!$C:$E,3,0)</f>
        <v>17569.3745</v>
      </c>
      <c r="K157" s="75">
        <f>VLOOKUP(D:D,秒达日报!C:F,4,0)</f>
        <v>222.008849557509</v>
      </c>
      <c r="L157" s="16">
        <f>VLOOKUP(D:D,秒达日报!C:I,7,0)</f>
        <v>5</v>
      </c>
      <c r="M157" s="75">
        <f>VLOOKUP(D:D,美团日报!C:F,4,0)</f>
        <v>2661.29252252963</v>
      </c>
      <c r="N157" s="16">
        <f>VLOOKUP(D:D,美团日报!C:I,7,0)</f>
        <v>65</v>
      </c>
      <c r="O157" s="75">
        <f>VLOOKUP(D:D,饿了么日报!C:F,4,0)</f>
        <v>1894.18990013792</v>
      </c>
      <c r="P157" s="16">
        <f>VLOOKUP(D:D,饿了么日报!C:I,7,0)</f>
        <v>51</v>
      </c>
      <c r="Q157" s="87">
        <f t="shared" si="8"/>
        <v>4777.49127222506</v>
      </c>
      <c r="R157" s="88">
        <f t="shared" si="9"/>
        <v>121</v>
      </c>
      <c r="S157" s="89">
        <f t="shared" si="10"/>
        <v>0.271921534385021</v>
      </c>
      <c r="T157" s="91"/>
      <c r="U157" s="91"/>
    </row>
    <row r="158" ht="14.4" spans="1:21">
      <c r="A158" s="27" t="s">
        <v>19</v>
      </c>
      <c r="B158" s="26" t="s">
        <v>43</v>
      </c>
      <c r="C158" s="26" t="s">
        <v>152</v>
      </c>
      <c r="D158" s="16">
        <v>1604</v>
      </c>
      <c r="E158" s="27" t="s">
        <v>393</v>
      </c>
      <c r="F158" s="16" t="s">
        <v>40</v>
      </c>
      <c r="G158" s="26" t="s">
        <v>66</v>
      </c>
      <c r="H158" s="27" t="s">
        <v>394</v>
      </c>
      <c r="I158" s="27">
        <v>105.82</v>
      </c>
      <c r="J158" s="75">
        <f>VLOOKUP(D158,美团日报!$C:$E,3,0)</f>
        <v>9005.413</v>
      </c>
      <c r="K158" s="75">
        <f>VLOOKUP(D:D,秒达日报!C:F,4,0)</f>
        <v>40.1769911504401</v>
      </c>
      <c r="L158" s="16">
        <f>VLOOKUP(D:D,秒达日报!C:I,7,0)</f>
        <v>1</v>
      </c>
      <c r="M158" s="75">
        <f>VLOOKUP(D:D,美团日报!C:F,4,0)</f>
        <v>1749.46220670618</v>
      </c>
      <c r="N158" s="16">
        <f>VLOOKUP(D:D,美团日报!C:I,7,0)</f>
        <v>45</v>
      </c>
      <c r="O158" s="75">
        <f>VLOOKUP(D:D,饿了么日报!C:F,4,0)</f>
        <v>867.17041487376</v>
      </c>
      <c r="P158" s="16">
        <f>VLOOKUP(D:D,饿了么日报!C:I,7,0)</f>
        <v>21</v>
      </c>
      <c r="Q158" s="87">
        <f t="shared" si="8"/>
        <v>2656.80961273038</v>
      </c>
      <c r="R158" s="88">
        <f t="shared" si="9"/>
        <v>67</v>
      </c>
      <c r="S158" s="89">
        <f t="shared" si="10"/>
        <v>0.295023627759258</v>
      </c>
      <c r="T158" s="90"/>
      <c r="U158" s="90"/>
    </row>
    <row r="159" ht="14.4" spans="1:21">
      <c r="A159" s="27" t="s">
        <v>19</v>
      </c>
      <c r="B159" s="26" t="s">
        <v>63</v>
      </c>
      <c r="C159" s="26" t="s">
        <v>261</v>
      </c>
      <c r="D159" s="16">
        <v>1607</v>
      </c>
      <c r="E159" s="27" t="s">
        <v>395</v>
      </c>
      <c r="F159" s="16" t="s">
        <v>40</v>
      </c>
      <c r="G159" s="26" t="s">
        <v>66</v>
      </c>
      <c r="H159" s="27" t="s">
        <v>396</v>
      </c>
      <c r="I159" s="27">
        <v>34</v>
      </c>
      <c r="J159" s="75">
        <f>VLOOKUP(D159,美团日报!$C:$E,3,0)</f>
        <v>2566.3553</v>
      </c>
      <c r="K159" s="75">
        <f>VLOOKUP(D:D,秒达日报!C:F,4,0)</f>
        <v>53.09734513274</v>
      </c>
      <c r="L159" s="16">
        <f>VLOOKUP(D:D,秒达日报!C:I,7,0)</f>
        <v>5</v>
      </c>
      <c r="M159" s="75">
        <f>VLOOKUP(D:D,美团日报!C:F,4,0)</f>
        <v>312.1222700333</v>
      </c>
      <c r="N159" s="16">
        <f>VLOOKUP(D:D,美团日报!C:I,7,0)</f>
        <v>9</v>
      </c>
      <c r="O159" s="75">
        <f>VLOOKUP(D:D,饿了么日报!C:F,4,0)</f>
        <v>95.13274336283</v>
      </c>
      <c r="P159" s="16">
        <f>VLOOKUP(D:D,饿了么日报!C:I,7,0)</f>
        <v>4</v>
      </c>
      <c r="Q159" s="87">
        <f t="shared" si="8"/>
        <v>460.35235852887</v>
      </c>
      <c r="R159" s="88">
        <f t="shared" si="9"/>
        <v>18</v>
      </c>
      <c r="S159" s="89">
        <f t="shared" si="10"/>
        <v>0.179379822633628</v>
      </c>
      <c r="T159" s="90"/>
      <c r="U159" s="90"/>
    </row>
    <row r="160" ht="14.4" spans="1:21">
      <c r="A160" s="27" t="s">
        <v>19</v>
      </c>
      <c r="B160" s="26" t="s">
        <v>264</v>
      </c>
      <c r="C160" s="26" t="s">
        <v>261</v>
      </c>
      <c r="D160" s="16">
        <v>1608</v>
      </c>
      <c r="E160" s="27" t="s">
        <v>397</v>
      </c>
      <c r="F160" s="16" t="s">
        <v>40</v>
      </c>
      <c r="G160" s="26" t="s">
        <v>66</v>
      </c>
      <c r="H160" s="27" t="s">
        <v>398</v>
      </c>
      <c r="I160" s="27">
        <v>65</v>
      </c>
      <c r="J160" s="75">
        <f>VLOOKUP(D160,美团日报!$C:$E,3,0)</f>
        <v>4191.665</v>
      </c>
      <c r="K160" s="75">
        <f>VLOOKUP(D:D,秒达日报!C:F,4,0)</f>
        <v>9.64601769911003</v>
      </c>
      <c r="L160" s="16">
        <f>VLOOKUP(D:D,秒达日报!C:I,7,0)</f>
        <v>1</v>
      </c>
      <c r="M160" s="75">
        <f>VLOOKUP(D:D,美团日报!C:F,4,0)</f>
        <v>866.51246245023</v>
      </c>
      <c r="N160" s="16">
        <f>VLOOKUP(D:D,美团日报!C:I,7,0)</f>
        <v>20</v>
      </c>
      <c r="O160" s="75">
        <f>VLOOKUP(D:D,饿了么日报!C:F,4,0)</f>
        <v>45.13274336284</v>
      </c>
      <c r="P160" s="16">
        <f>VLOOKUP(D:D,饿了么日报!C:I,7,0)</f>
        <v>2</v>
      </c>
      <c r="Q160" s="87">
        <f t="shared" si="8"/>
        <v>921.29122351218</v>
      </c>
      <c r="R160" s="88">
        <f t="shared" si="9"/>
        <v>23</v>
      </c>
      <c r="S160" s="89">
        <f t="shared" si="10"/>
        <v>0.21979123415449</v>
      </c>
      <c r="T160" s="90"/>
      <c r="U160" s="90"/>
    </row>
    <row r="161" ht="14.4" spans="1:21">
      <c r="A161" s="27" t="s">
        <v>19</v>
      </c>
      <c r="B161" s="26" t="s">
        <v>264</v>
      </c>
      <c r="C161" s="26" t="s">
        <v>261</v>
      </c>
      <c r="D161" s="16">
        <v>1620</v>
      </c>
      <c r="E161" s="27" t="s">
        <v>399</v>
      </c>
      <c r="F161" s="16" t="s">
        <v>40</v>
      </c>
      <c r="G161" s="26" t="s">
        <v>41</v>
      </c>
      <c r="H161" s="27" t="s">
        <v>400</v>
      </c>
      <c r="I161" s="27">
        <v>65.86</v>
      </c>
      <c r="J161" s="75">
        <f>VLOOKUP(D161,美团日报!$C:$E,3,0)</f>
        <v>5662.4727</v>
      </c>
      <c r="K161" s="75">
        <f>VLOOKUP(D:D,秒达日报!C:F,4,0)</f>
        <v>0</v>
      </c>
      <c r="L161" s="16">
        <f>VLOOKUP(D:D,秒达日报!C:I,7,0)</f>
        <v>0</v>
      </c>
      <c r="M161" s="75">
        <f>VLOOKUP(D:D,美团日报!C:F,4,0)</f>
        <v>0</v>
      </c>
      <c r="N161" s="16">
        <f>VLOOKUP(D:D,美团日报!C:I,7,0)</f>
        <v>0</v>
      </c>
      <c r="O161" s="75">
        <f>VLOOKUP(D:D,饿了么日报!C:F,4,0)</f>
        <v>0</v>
      </c>
      <c r="P161" s="16">
        <f>VLOOKUP(D:D,饿了么日报!C:I,7,0)</f>
        <v>0</v>
      </c>
      <c r="Q161" s="87">
        <f t="shared" si="8"/>
        <v>0</v>
      </c>
      <c r="R161" s="88">
        <f t="shared" si="9"/>
        <v>0</v>
      </c>
      <c r="S161" s="89">
        <f t="shared" si="10"/>
        <v>0</v>
      </c>
      <c r="T161" s="90"/>
      <c r="U161" s="90"/>
    </row>
    <row r="162" ht="14.4" spans="1:21">
      <c r="A162" s="27" t="s">
        <v>19</v>
      </c>
      <c r="B162" s="26" t="s">
        <v>264</v>
      </c>
      <c r="C162" s="26" t="s">
        <v>401</v>
      </c>
      <c r="D162" s="16">
        <v>1640</v>
      </c>
      <c r="E162" s="27" t="s">
        <v>402</v>
      </c>
      <c r="F162" s="16" t="s">
        <v>46</v>
      </c>
      <c r="G162" s="26" t="s">
        <v>280</v>
      </c>
      <c r="H162" s="27" t="s">
        <v>403</v>
      </c>
      <c r="I162" s="27">
        <v>40.5</v>
      </c>
      <c r="J162" s="75">
        <f>VLOOKUP(D162,美团日报!$C:$E,3,0)</f>
        <v>1167.3953</v>
      </c>
      <c r="K162" s="75">
        <f>VLOOKUP(D:D,秒达日报!C:F,4,0)</f>
        <v>0</v>
      </c>
      <c r="L162" s="16">
        <f>VLOOKUP(D:D,秒达日报!C:I,7,0)</f>
        <v>0</v>
      </c>
      <c r="M162" s="75">
        <f>VLOOKUP(D:D,美团日报!C:F,4,0)</f>
        <v>0</v>
      </c>
      <c r="N162" s="16">
        <f>VLOOKUP(D:D,美团日报!C:I,7,0)</f>
        <v>0</v>
      </c>
      <c r="O162" s="75">
        <f>VLOOKUP(D:D,饿了么日报!C:F,4,0)</f>
        <v>0</v>
      </c>
      <c r="P162" s="16">
        <f>VLOOKUP(D:D,饿了么日报!C:I,7,0)</f>
        <v>0</v>
      </c>
      <c r="Q162" s="87">
        <f t="shared" si="8"/>
        <v>0</v>
      </c>
      <c r="R162" s="88">
        <f t="shared" si="9"/>
        <v>0</v>
      </c>
      <c r="S162" s="89">
        <f t="shared" si="10"/>
        <v>0</v>
      </c>
      <c r="T162" s="90"/>
      <c r="U162" s="90"/>
    </row>
    <row r="163" ht="14.4" spans="1:21">
      <c r="A163" s="27" t="s">
        <v>19</v>
      </c>
      <c r="B163" s="26" t="s">
        <v>264</v>
      </c>
      <c r="C163" s="26" t="s">
        <v>401</v>
      </c>
      <c r="D163" s="16">
        <v>1641</v>
      </c>
      <c r="E163" s="27" t="s">
        <v>404</v>
      </c>
      <c r="F163" s="16" t="s">
        <v>46</v>
      </c>
      <c r="G163" s="26" t="s">
        <v>280</v>
      </c>
      <c r="H163" s="27" t="s">
        <v>405</v>
      </c>
      <c r="I163" s="27">
        <v>60.4</v>
      </c>
      <c r="J163" s="75">
        <f>VLOOKUP(D163,美团日报!$C:$E,3,0)</f>
        <v>0</v>
      </c>
      <c r="K163" s="75">
        <f>VLOOKUP(D:D,秒达日报!C:F,4,0)</f>
        <v>0</v>
      </c>
      <c r="L163" s="16">
        <f>VLOOKUP(D:D,秒达日报!C:I,7,0)</f>
        <v>0</v>
      </c>
      <c r="M163" s="75">
        <f>VLOOKUP(D:D,美团日报!C:F,4,0)</f>
        <v>0</v>
      </c>
      <c r="N163" s="16">
        <f>VLOOKUP(D:D,美团日报!C:I,7,0)</f>
        <v>0</v>
      </c>
      <c r="O163" s="75">
        <f>VLOOKUP(D:D,饿了么日报!C:F,4,0)</f>
        <v>0</v>
      </c>
      <c r="P163" s="16">
        <f>VLOOKUP(D:D,饿了么日报!C:I,7,0)</f>
        <v>0</v>
      </c>
      <c r="Q163" s="87">
        <f t="shared" si="8"/>
        <v>0</v>
      </c>
      <c r="R163" s="88">
        <f t="shared" si="9"/>
        <v>0</v>
      </c>
      <c r="S163" s="89" t="e">
        <f t="shared" si="10"/>
        <v>#DIV/0!</v>
      </c>
      <c r="T163" s="91"/>
      <c r="U163" s="91"/>
    </row>
    <row r="164" ht="14.4" spans="1:21">
      <c r="A164" s="27" t="s">
        <v>19</v>
      </c>
      <c r="B164" s="26" t="s">
        <v>264</v>
      </c>
      <c r="C164" s="26" t="s">
        <v>401</v>
      </c>
      <c r="D164" s="16">
        <v>1642</v>
      </c>
      <c r="E164" s="27" t="s">
        <v>406</v>
      </c>
      <c r="F164" s="16" t="s">
        <v>46</v>
      </c>
      <c r="G164" s="26" t="s">
        <v>280</v>
      </c>
      <c r="H164" s="27" t="s">
        <v>407</v>
      </c>
      <c r="I164" s="27">
        <v>22.3</v>
      </c>
      <c r="J164" s="75">
        <f>VLOOKUP(D164,美团日报!$C:$E,3,0)</f>
        <v>0</v>
      </c>
      <c r="K164" s="75">
        <f>VLOOKUP(D:D,秒达日报!C:F,4,0)</f>
        <v>0</v>
      </c>
      <c r="L164" s="16">
        <f>VLOOKUP(D:D,秒达日报!C:I,7,0)</f>
        <v>0</v>
      </c>
      <c r="M164" s="75">
        <f>VLOOKUP(D:D,美团日报!C:F,4,0)</f>
        <v>0</v>
      </c>
      <c r="N164" s="16">
        <f>VLOOKUP(D:D,美团日报!C:I,7,0)</f>
        <v>0</v>
      </c>
      <c r="O164" s="75">
        <f>VLOOKUP(D:D,饿了么日报!C:F,4,0)</f>
        <v>0</v>
      </c>
      <c r="P164" s="16">
        <f>VLOOKUP(D:D,饿了么日报!C:I,7,0)</f>
        <v>0</v>
      </c>
      <c r="Q164" s="87">
        <f t="shared" si="8"/>
        <v>0</v>
      </c>
      <c r="R164" s="88">
        <f t="shared" si="9"/>
        <v>0</v>
      </c>
      <c r="S164" s="89" t="e">
        <f t="shared" si="10"/>
        <v>#DIV/0!</v>
      </c>
      <c r="T164" s="90"/>
      <c r="U164" s="90"/>
    </row>
    <row r="165" ht="14.4" spans="1:21">
      <c r="A165" s="27" t="s">
        <v>19</v>
      </c>
      <c r="B165" s="26" t="s">
        <v>264</v>
      </c>
      <c r="C165" s="26" t="s">
        <v>313</v>
      </c>
      <c r="D165" s="16">
        <v>1644</v>
      </c>
      <c r="E165" s="27" t="s">
        <v>408</v>
      </c>
      <c r="F165" s="16" t="s">
        <v>40</v>
      </c>
      <c r="G165" s="26" t="s">
        <v>323</v>
      </c>
      <c r="H165" s="27" t="s">
        <v>409</v>
      </c>
      <c r="I165" s="27">
        <v>76.8</v>
      </c>
      <c r="J165" s="75">
        <f>VLOOKUP(D165,美团日报!$C:$E,3,0)</f>
        <v>9261.9673</v>
      </c>
      <c r="K165" s="75">
        <f>VLOOKUP(D:D,秒达日报!C:F,4,0)</f>
        <v>0</v>
      </c>
      <c r="L165" s="16">
        <f>VLOOKUP(D:D,秒达日报!C:I,7,0)</f>
        <v>0</v>
      </c>
      <c r="M165" s="75">
        <f>VLOOKUP(D:D,美团日报!C:F,4,0)</f>
        <v>0</v>
      </c>
      <c r="N165" s="16">
        <f>VLOOKUP(D:D,美团日报!C:I,7,0)</f>
        <v>0</v>
      </c>
      <c r="O165" s="75">
        <f>VLOOKUP(D:D,饿了么日报!C:F,4,0)</f>
        <v>0</v>
      </c>
      <c r="P165" s="16">
        <f>VLOOKUP(D:D,饿了么日报!C:I,7,0)</f>
        <v>0</v>
      </c>
      <c r="Q165" s="87">
        <f t="shared" si="8"/>
        <v>0</v>
      </c>
      <c r="R165" s="88">
        <f t="shared" si="9"/>
        <v>0</v>
      </c>
      <c r="S165" s="89">
        <f t="shared" si="10"/>
        <v>0</v>
      </c>
      <c r="T165" s="90"/>
      <c r="U165" s="90"/>
    </row>
    <row r="166" ht="14.4" spans="1:21">
      <c r="A166" s="27" t="s">
        <v>19</v>
      </c>
      <c r="B166" s="26" t="s">
        <v>264</v>
      </c>
      <c r="C166" s="26" t="s">
        <v>313</v>
      </c>
      <c r="D166" s="16">
        <v>1646</v>
      </c>
      <c r="E166" s="27" t="s">
        <v>410</v>
      </c>
      <c r="F166" s="16" t="s">
        <v>40</v>
      </c>
      <c r="G166" s="26" t="s">
        <v>323</v>
      </c>
      <c r="H166" s="27" t="s">
        <v>411</v>
      </c>
      <c r="I166" s="27">
        <v>96.6</v>
      </c>
      <c r="J166" s="75">
        <f>VLOOKUP(D166,美团日报!$C:$E,3,0)</f>
        <v>4876.462</v>
      </c>
      <c r="K166" s="75">
        <f>VLOOKUP(D:D,秒达日报!C:F,4,0)</f>
        <v>0</v>
      </c>
      <c r="L166" s="16">
        <f>VLOOKUP(D:D,秒达日报!C:I,7,0)</f>
        <v>0</v>
      </c>
      <c r="M166" s="75">
        <f>VLOOKUP(D:D,美团日报!C:F,4,0)</f>
        <v>0</v>
      </c>
      <c r="N166" s="16">
        <f>VLOOKUP(D:D,美团日报!C:I,7,0)</f>
        <v>0</v>
      </c>
      <c r="O166" s="75">
        <f>VLOOKUP(D:D,饿了么日报!C:F,4,0)</f>
        <v>0</v>
      </c>
      <c r="P166" s="16">
        <f>VLOOKUP(D:D,饿了么日报!C:I,7,0)</f>
        <v>0</v>
      </c>
      <c r="Q166" s="87">
        <f t="shared" si="8"/>
        <v>0</v>
      </c>
      <c r="R166" s="88">
        <f t="shared" si="9"/>
        <v>0</v>
      </c>
      <c r="S166" s="89">
        <f t="shared" si="10"/>
        <v>0</v>
      </c>
      <c r="T166" s="90"/>
      <c r="U166" s="90"/>
    </row>
    <row r="167" ht="14.4" spans="1:21">
      <c r="A167" s="27" t="s">
        <v>19</v>
      </c>
      <c r="B167" s="26" t="s">
        <v>264</v>
      </c>
      <c r="C167" s="26" t="s">
        <v>327</v>
      </c>
      <c r="D167" s="16">
        <v>1651</v>
      </c>
      <c r="E167" s="27" t="s">
        <v>412</v>
      </c>
      <c r="F167" s="16" t="s">
        <v>40</v>
      </c>
      <c r="G167" s="26" t="s">
        <v>323</v>
      </c>
      <c r="H167" s="27" t="s">
        <v>409</v>
      </c>
      <c r="I167" s="27">
        <v>118</v>
      </c>
      <c r="J167" s="75">
        <f>VLOOKUP(D167,美团日报!$C:$E,3,0)</f>
        <v>3889.6729</v>
      </c>
      <c r="K167" s="75">
        <f>VLOOKUP(D:D,秒达日报!C:F,4,0)</f>
        <v>0</v>
      </c>
      <c r="L167" s="16">
        <f>VLOOKUP(D:D,秒达日报!C:I,7,0)</f>
        <v>0</v>
      </c>
      <c r="M167" s="75">
        <f>VLOOKUP(D:D,美团日报!C:F,4,0)</f>
        <v>0</v>
      </c>
      <c r="N167" s="16">
        <f>VLOOKUP(D:D,美团日报!C:I,7,0)</f>
        <v>0</v>
      </c>
      <c r="O167" s="75">
        <f>VLOOKUP(D:D,饿了么日报!C:F,4,0)</f>
        <v>0</v>
      </c>
      <c r="P167" s="16">
        <f>VLOOKUP(D:D,饿了么日报!C:I,7,0)</f>
        <v>0</v>
      </c>
      <c r="Q167" s="87">
        <f t="shared" si="8"/>
        <v>0</v>
      </c>
      <c r="R167" s="88">
        <f t="shared" si="9"/>
        <v>0</v>
      </c>
      <c r="S167" s="89">
        <f t="shared" si="10"/>
        <v>0</v>
      </c>
      <c r="T167" s="90"/>
      <c r="U167" s="90"/>
    </row>
    <row r="168" ht="14.4" spans="1:21">
      <c r="A168" s="27" t="s">
        <v>19</v>
      </c>
      <c r="B168" s="26" t="s">
        <v>264</v>
      </c>
      <c r="C168" s="26" t="s">
        <v>313</v>
      </c>
      <c r="D168" s="16">
        <v>1656</v>
      </c>
      <c r="E168" s="27" t="s">
        <v>413</v>
      </c>
      <c r="F168" s="16" t="s">
        <v>40</v>
      </c>
      <c r="G168" s="26" t="s">
        <v>280</v>
      </c>
      <c r="H168" s="27" t="s">
        <v>414</v>
      </c>
      <c r="I168" s="27">
        <v>86</v>
      </c>
      <c r="J168" s="75">
        <f>VLOOKUP(D168,美团日报!$C:$E,3,0)</f>
        <v>0</v>
      </c>
      <c r="K168" s="75">
        <f>VLOOKUP(D:D,秒达日报!C:F,4,0)</f>
        <v>0</v>
      </c>
      <c r="L168" s="16">
        <f>VLOOKUP(D:D,秒达日报!C:I,7,0)</f>
        <v>0</v>
      </c>
      <c r="M168" s="75">
        <f>VLOOKUP(D:D,美团日报!C:F,4,0)</f>
        <v>0</v>
      </c>
      <c r="N168" s="16">
        <f>VLOOKUP(D:D,美团日报!C:I,7,0)</f>
        <v>0</v>
      </c>
      <c r="O168" s="75">
        <f>VLOOKUP(D:D,饿了么日报!C:F,4,0)</f>
        <v>0</v>
      </c>
      <c r="P168" s="16">
        <f>VLOOKUP(D:D,饿了么日报!C:I,7,0)</f>
        <v>0</v>
      </c>
      <c r="Q168" s="87">
        <f t="shared" si="8"/>
        <v>0</v>
      </c>
      <c r="R168" s="88">
        <f t="shared" si="9"/>
        <v>0</v>
      </c>
      <c r="S168" s="89" t="e">
        <f t="shared" si="10"/>
        <v>#DIV/0!</v>
      </c>
      <c r="T168" s="90"/>
      <c r="U168" s="90"/>
    </row>
    <row r="169" ht="14.4" spans="1:21">
      <c r="A169" s="27" t="s">
        <v>19</v>
      </c>
      <c r="B169" s="26" t="s">
        <v>264</v>
      </c>
      <c r="C169" s="26" t="s">
        <v>73</v>
      </c>
      <c r="D169" s="16">
        <v>1664</v>
      </c>
      <c r="E169" s="27" t="s">
        <v>415</v>
      </c>
      <c r="F169" s="16" t="s">
        <v>40</v>
      </c>
      <c r="G169" s="26" t="s">
        <v>66</v>
      </c>
      <c r="H169" s="27" t="s">
        <v>416</v>
      </c>
      <c r="I169" s="27">
        <v>73.26</v>
      </c>
      <c r="J169" s="75">
        <f>VLOOKUP(D169,美团日报!$C:$E,3,0)</f>
        <v>10781.4649</v>
      </c>
      <c r="K169" s="75">
        <f>VLOOKUP(D:D,秒达日报!C:F,4,0)</f>
        <v>115.57522123895</v>
      </c>
      <c r="L169" s="16">
        <f>VLOOKUP(D:D,秒达日报!C:I,7,0)</f>
        <v>3</v>
      </c>
      <c r="M169" s="75">
        <f>VLOOKUP(D:D,美团日报!C:F,4,0)</f>
        <v>989.55752212391</v>
      </c>
      <c r="N169" s="16">
        <f>VLOOKUP(D:D,美团日报!C:I,7,0)</f>
        <v>24</v>
      </c>
      <c r="O169" s="75">
        <f>VLOOKUP(D:D,饿了么日报!C:F,4,0)</f>
        <v>1080.49484452392</v>
      </c>
      <c r="P169" s="16">
        <f>VLOOKUP(D:D,饿了么日报!C:I,7,0)</f>
        <v>26</v>
      </c>
      <c r="Q169" s="87">
        <f t="shared" si="8"/>
        <v>2185.62758788678</v>
      </c>
      <c r="R169" s="88">
        <f t="shared" si="9"/>
        <v>53</v>
      </c>
      <c r="S169" s="89">
        <f t="shared" si="10"/>
        <v>0.202720836932538</v>
      </c>
      <c r="T169" s="90"/>
      <c r="U169" s="90"/>
    </row>
    <row r="170" ht="14.4" spans="1:21">
      <c r="A170" s="27" t="s">
        <v>19</v>
      </c>
      <c r="B170" s="26" t="s">
        <v>56</v>
      </c>
      <c r="C170" s="26" t="e">
        <v>#N/A</v>
      </c>
      <c r="D170" s="16">
        <v>1671</v>
      </c>
      <c r="E170" s="27" t="s">
        <v>417</v>
      </c>
      <c r="F170" s="16" t="e">
        <v>#N/A</v>
      </c>
      <c r="G170" s="26" t="e">
        <v>#N/A</v>
      </c>
      <c r="H170" s="27" t="s">
        <v>418</v>
      </c>
      <c r="I170" s="27">
        <v>74.7</v>
      </c>
      <c r="J170" s="75">
        <f>VLOOKUP(D170,美团日报!$C:$E,3,0)</f>
        <v>0</v>
      </c>
      <c r="K170" s="75">
        <f>VLOOKUP(D:D,秒达日报!C:F,4,0)</f>
        <v>0</v>
      </c>
      <c r="L170" s="16">
        <f>VLOOKUP(D:D,秒达日报!C:I,7,0)</f>
        <v>0</v>
      </c>
      <c r="M170" s="75">
        <f>VLOOKUP(D:D,美团日报!C:F,4,0)</f>
        <v>0</v>
      </c>
      <c r="N170" s="16">
        <f>VLOOKUP(D:D,美团日报!C:I,7,0)</f>
        <v>0</v>
      </c>
      <c r="O170" s="75">
        <f>VLOOKUP(D:D,饿了么日报!C:F,4,0)</f>
        <v>0</v>
      </c>
      <c r="P170" s="16">
        <f>VLOOKUP(D:D,饿了么日报!C:I,7,0)</f>
        <v>0</v>
      </c>
      <c r="Q170" s="87">
        <f t="shared" si="8"/>
        <v>0</v>
      </c>
      <c r="R170" s="88">
        <f t="shared" si="9"/>
        <v>0</v>
      </c>
      <c r="S170" s="89" t="e">
        <f t="shared" si="10"/>
        <v>#DIV/0!</v>
      </c>
      <c r="T170" s="90"/>
      <c r="U170" s="90"/>
    </row>
    <row r="171" ht="14.4" spans="1:21">
      <c r="A171" s="27" t="s">
        <v>19</v>
      </c>
      <c r="B171" s="26" t="e">
        <v>#N/A</v>
      </c>
      <c r="C171" s="26" t="s">
        <v>313</v>
      </c>
      <c r="D171" s="16">
        <v>1672</v>
      </c>
      <c r="E171" s="27" t="s">
        <v>419</v>
      </c>
      <c r="F171" s="16" t="s">
        <v>40</v>
      </c>
      <c r="G171" s="26" t="s">
        <v>54</v>
      </c>
      <c r="H171" s="27" t="s">
        <v>420</v>
      </c>
      <c r="I171" s="27">
        <v>60</v>
      </c>
      <c r="J171" s="75">
        <f>VLOOKUP(D171,美团日报!$C:$E,3,0)</f>
        <v>3637.5168</v>
      </c>
      <c r="K171" s="75">
        <f>VLOOKUP(D:D,秒达日报!C:F,4,0)</f>
        <v>0</v>
      </c>
      <c r="L171" s="16">
        <f>VLOOKUP(D:D,秒达日报!C:I,7,0)</f>
        <v>0</v>
      </c>
      <c r="M171" s="75">
        <f>VLOOKUP(D:D,美团日报!C:F,4,0)</f>
        <v>0</v>
      </c>
      <c r="N171" s="16">
        <f>VLOOKUP(D:D,美团日报!C:I,7,0)</f>
        <v>0</v>
      </c>
      <c r="O171" s="75">
        <f>VLOOKUP(D:D,饿了么日报!C:F,4,0)</f>
        <v>0</v>
      </c>
      <c r="P171" s="16">
        <f>VLOOKUP(D:D,饿了么日报!C:I,7,0)</f>
        <v>0</v>
      </c>
      <c r="Q171" s="87">
        <f t="shared" si="8"/>
        <v>0</v>
      </c>
      <c r="R171" s="88">
        <f t="shared" si="9"/>
        <v>0</v>
      </c>
      <c r="S171" s="89">
        <f t="shared" si="10"/>
        <v>0</v>
      </c>
      <c r="T171" s="90"/>
      <c r="U171" s="90"/>
    </row>
    <row r="172" ht="14.4" spans="1:21">
      <c r="A172" s="27" t="s">
        <v>19</v>
      </c>
      <c r="B172" s="26" t="s">
        <v>264</v>
      </c>
      <c r="C172" s="26" t="s">
        <v>313</v>
      </c>
      <c r="D172" s="16">
        <v>1677</v>
      </c>
      <c r="E172" s="27" t="s">
        <v>421</v>
      </c>
      <c r="F172" s="16" t="s">
        <v>40</v>
      </c>
      <c r="G172" s="26" t="s">
        <v>323</v>
      </c>
      <c r="H172" s="27" t="s">
        <v>422</v>
      </c>
      <c r="I172" s="27">
        <v>75</v>
      </c>
      <c r="J172" s="75">
        <f>VLOOKUP(D172,美团日报!$C:$E,3,0)</f>
        <v>6826.9306</v>
      </c>
      <c r="K172" s="75">
        <f>VLOOKUP(D:D,秒达日报!C:F,4,0)</f>
        <v>0</v>
      </c>
      <c r="L172" s="16">
        <f>VLOOKUP(D:D,秒达日报!C:I,7,0)</f>
        <v>0</v>
      </c>
      <c r="M172" s="75">
        <f>VLOOKUP(D:D,美团日报!C:F,4,0)</f>
        <v>0</v>
      </c>
      <c r="N172" s="16">
        <f>VLOOKUP(D:D,美团日报!C:I,7,0)</f>
        <v>0</v>
      </c>
      <c r="O172" s="75">
        <f>VLOOKUP(D:D,饿了么日报!C:F,4,0)</f>
        <v>0</v>
      </c>
      <c r="P172" s="16">
        <f>VLOOKUP(D:D,饿了么日报!C:I,7,0)</f>
        <v>0</v>
      </c>
      <c r="Q172" s="87">
        <f t="shared" si="8"/>
        <v>0</v>
      </c>
      <c r="R172" s="88">
        <f t="shared" si="9"/>
        <v>0</v>
      </c>
      <c r="S172" s="89">
        <f t="shared" si="10"/>
        <v>0</v>
      </c>
      <c r="T172" s="90"/>
      <c r="U172" s="90"/>
    </row>
    <row r="173" ht="14.4" spans="1:21">
      <c r="A173" s="27" t="s">
        <v>19</v>
      </c>
      <c r="B173" s="26" t="s">
        <v>264</v>
      </c>
      <c r="C173" s="26" t="s">
        <v>359</v>
      </c>
      <c r="D173" s="16">
        <v>1686</v>
      </c>
      <c r="E173" s="27" t="s">
        <v>423</v>
      </c>
      <c r="F173" s="16" t="s">
        <v>40</v>
      </c>
      <c r="G173" s="26" t="s">
        <v>54</v>
      </c>
      <c r="H173" s="27" t="s">
        <v>424</v>
      </c>
      <c r="I173" s="27">
        <v>59.7</v>
      </c>
      <c r="J173" s="75">
        <f>VLOOKUP(D173,美团日报!$C:$E,3,0)</f>
        <v>8765.6691</v>
      </c>
      <c r="K173" s="75">
        <f>VLOOKUP(D:D,秒达日报!C:F,4,0)</f>
        <v>0</v>
      </c>
      <c r="L173" s="16">
        <f>VLOOKUP(D:D,秒达日报!C:I,7,0)</f>
        <v>0</v>
      </c>
      <c r="M173" s="75">
        <f>VLOOKUP(D:D,美团日报!C:F,4,0)</f>
        <v>0</v>
      </c>
      <c r="N173" s="16">
        <f>VLOOKUP(D:D,美团日报!C:I,7,0)</f>
        <v>0</v>
      </c>
      <c r="O173" s="75">
        <f>VLOOKUP(D:D,饿了么日报!C:F,4,0)</f>
        <v>0</v>
      </c>
      <c r="P173" s="16">
        <f>VLOOKUP(D:D,饿了么日报!C:I,7,0)</f>
        <v>0</v>
      </c>
      <c r="Q173" s="87">
        <f t="shared" si="8"/>
        <v>0</v>
      </c>
      <c r="R173" s="88">
        <f t="shared" si="9"/>
        <v>0</v>
      </c>
      <c r="S173" s="89">
        <f t="shared" si="10"/>
        <v>0</v>
      </c>
      <c r="T173" s="90"/>
      <c r="U173" s="90"/>
    </row>
    <row r="174" ht="14.4" spans="1:21">
      <c r="A174" s="27" t="s">
        <v>19</v>
      </c>
      <c r="B174" s="26" t="s">
        <v>264</v>
      </c>
      <c r="C174" s="26" t="s">
        <v>261</v>
      </c>
      <c r="D174" s="16">
        <v>1687</v>
      </c>
      <c r="E174" s="27" t="s">
        <v>425</v>
      </c>
      <c r="F174" s="16" t="s">
        <v>40</v>
      </c>
      <c r="G174" s="26" t="s">
        <v>280</v>
      </c>
      <c r="H174" s="27" t="s">
        <v>426</v>
      </c>
      <c r="I174" s="27">
        <v>37</v>
      </c>
      <c r="J174" s="75">
        <f>VLOOKUP(D174,美团日报!$C:$E,3,0)</f>
        <v>3252.1825</v>
      </c>
      <c r="K174" s="75">
        <f>VLOOKUP(D:D,秒达日报!C:F,4,0)</f>
        <v>0</v>
      </c>
      <c r="L174" s="16">
        <f>VLOOKUP(D:D,秒达日报!C:I,7,0)</f>
        <v>0</v>
      </c>
      <c r="M174" s="75">
        <f>VLOOKUP(D:D,美团日报!C:F,4,0)</f>
        <v>0</v>
      </c>
      <c r="N174" s="16">
        <f>VLOOKUP(D:D,美团日报!C:I,7,0)</f>
        <v>0</v>
      </c>
      <c r="O174" s="75">
        <f>VLOOKUP(D:D,饿了么日报!C:F,4,0)</f>
        <v>0</v>
      </c>
      <c r="P174" s="16">
        <f>VLOOKUP(D:D,饿了么日报!C:I,7,0)</f>
        <v>0</v>
      </c>
      <c r="Q174" s="87">
        <f t="shared" si="8"/>
        <v>0</v>
      </c>
      <c r="R174" s="88">
        <f t="shared" si="9"/>
        <v>0</v>
      </c>
      <c r="S174" s="89">
        <f t="shared" si="10"/>
        <v>0</v>
      </c>
      <c r="T174" s="90"/>
      <c r="U174" s="90"/>
    </row>
    <row r="175" ht="14.4" spans="1:21">
      <c r="A175" s="27" t="s">
        <v>19</v>
      </c>
      <c r="B175" s="26" t="s">
        <v>264</v>
      </c>
      <c r="C175" s="26" t="s">
        <v>261</v>
      </c>
      <c r="D175" s="16">
        <v>1688</v>
      </c>
      <c r="E175" s="27" t="s">
        <v>427</v>
      </c>
      <c r="F175" s="16" t="s">
        <v>40</v>
      </c>
      <c r="G175" s="26" t="s">
        <v>280</v>
      </c>
      <c r="H175" s="27" t="s">
        <v>416</v>
      </c>
      <c r="I175" s="27">
        <v>60</v>
      </c>
      <c r="J175" s="75">
        <f>VLOOKUP(D175,美团日报!$C:$E,3,0)</f>
        <v>6319.0287</v>
      </c>
      <c r="K175" s="75">
        <f>VLOOKUP(D:D,秒达日报!C:F,4,0)</f>
        <v>0</v>
      </c>
      <c r="L175" s="16">
        <f>VLOOKUP(D:D,秒达日报!C:I,7,0)</f>
        <v>0</v>
      </c>
      <c r="M175" s="75">
        <f>VLOOKUP(D:D,美团日报!C:F,4,0)</f>
        <v>0</v>
      </c>
      <c r="N175" s="16">
        <f>VLOOKUP(D:D,美团日报!C:I,7,0)</f>
        <v>0</v>
      </c>
      <c r="O175" s="75">
        <f>VLOOKUP(D:D,饿了么日报!C:F,4,0)</f>
        <v>0</v>
      </c>
      <c r="P175" s="16">
        <f>VLOOKUP(D:D,饿了么日报!C:I,7,0)</f>
        <v>0</v>
      </c>
      <c r="Q175" s="87">
        <f t="shared" si="8"/>
        <v>0</v>
      </c>
      <c r="R175" s="88">
        <f t="shared" si="9"/>
        <v>0</v>
      </c>
      <c r="S175" s="89">
        <f t="shared" si="10"/>
        <v>0</v>
      </c>
      <c r="T175" s="90"/>
      <c r="U175" s="90"/>
    </row>
    <row r="176" ht="14.4" spans="1:21">
      <c r="A176" s="27" t="s">
        <v>19</v>
      </c>
      <c r="B176" s="26" t="s">
        <v>264</v>
      </c>
      <c r="C176" s="26" t="s">
        <v>76</v>
      </c>
      <c r="D176" s="16">
        <v>1693</v>
      </c>
      <c r="E176" s="27" t="s">
        <v>428</v>
      </c>
      <c r="F176" s="16" t="s">
        <v>40</v>
      </c>
      <c r="G176" s="26" t="s">
        <v>323</v>
      </c>
      <c r="H176" s="27" t="s">
        <v>429</v>
      </c>
      <c r="I176" s="27">
        <v>15</v>
      </c>
      <c r="J176" s="75">
        <f>VLOOKUP(D176,美团日报!$C:$E,3,0)</f>
        <v>1622.7013</v>
      </c>
      <c r="K176" s="75">
        <f>VLOOKUP(D:D,秒达日报!C:F,4,0)</f>
        <v>171.23893805309</v>
      </c>
      <c r="L176" s="16">
        <f>VLOOKUP(D:D,秒达日报!C:I,7,0)</f>
        <v>2</v>
      </c>
      <c r="M176" s="75">
        <f>VLOOKUP(D:D,美团日报!C:F,4,0)</f>
        <v>0</v>
      </c>
      <c r="N176" s="16">
        <f>VLOOKUP(D:D,美团日报!C:I,7,0)</f>
        <v>0</v>
      </c>
      <c r="O176" s="75">
        <f>VLOOKUP(D:D,饿了么日报!C:F,4,0)</f>
        <v>0</v>
      </c>
      <c r="P176" s="16">
        <f>VLOOKUP(D:D,饿了么日报!C:I,7,0)</f>
        <v>0</v>
      </c>
      <c r="Q176" s="87">
        <f t="shared" si="8"/>
        <v>171.23893805309</v>
      </c>
      <c r="R176" s="88">
        <f t="shared" si="9"/>
        <v>2</v>
      </c>
      <c r="S176" s="89">
        <f t="shared" si="10"/>
        <v>0.105527085023652</v>
      </c>
      <c r="T176" s="90"/>
      <c r="U176" s="90"/>
    </row>
    <row r="177" ht="14.4" spans="1:21">
      <c r="A177" s="27" t="s">
        <v>19</v>
      </c>
      <c r="B177" s="26" t="s">
        <v>56</v>
      </c>
      <c r="C177" s="26" t="s">
        <v>313</v>
      </c>
      <c r="D177" s="16">
        <v>1698</v>
      </c>
      <c r="E177" s="27" t="s">
        <v>430</v>
      </c>
      <c r="F177" s="16" t="s">
        <v>40</v>
      </c>
      <c r="G177" s="26" t="s">
        <v>323</v>
      </c>
      <c r="H177" s="27" t="s">
        <v>431</v>
      </c>
      <c r="I177" s="27">
        <v>20</v>
      </c>
      <c r="J177" s="75">
        <f>VLOOKUP(D177,美团日报!$C:$E,3,0)</f>
        <v>6187.1737</v>
      </c>
      <c r="K177" s="75">
        <f>VLOOKUP(D:D,秒达日报!C:F,4,0)</f>
        <v>0</v>
      </c>
      <c r="L177" s="16">
        <f>VLOOKUP(D:D,秒达日报!C:I,7,0)</f>
        <v>0</v>
      </c>
      <c r="M177" s="75">
        <f>VLOOKUP(D:D,美团日报!C:F,4,0)</f>
        <v>0</v>
      </c>
      <c r="N177" s="16">
        <f>VLOOKUP(D:D,美团日报!C:I,7,0)</f>
        <v>0</v>
      </c>
      <c r="O177" s="75">
        <f>VLOOKUP(D:D,饿了么日报!C:F,4,0)</f>
        <v>0</v>
      </c>
      <c r="P177" s="16">
        <f>VLOOKUP(D:D,饿了么日报!C:I,7,0)</f>
        <v>0</v>
      </c>
      <c r="Q177" s="87">
        <f t="shared" si="8"/>
        <v>0</v>
      </c>
      <c r="R177" s="88">
        <f t="shared" si="9"/>
        <v>0</v>
      </c>
      <c r="S177" s="89">
        <f t="shared" si="10"/>
        <v>0</v>
      </c>
      <c r="T177" s="90"/>
      <c r="U177" s="90"/>
    </row>
    <row r="178" ht="14.4" spans="1:21">
      <c r="A178" s="27" t="s">
        <v>19</v>
      </c>
      <c r="B178" s="26" t="s">
        <v>264</v>
      </c>
      <c r="C178" s="26" t="s">
        <v>327</v>
      </c>
      <c r="D178" s="16">
        <v>1708</v>
      </c>
      <c r="E178" s="27" t="s">
        <v>432</v>
      </c>
      <c r="F178" s="16" t="s">
        <v>40</v>
      </c>
      <c r="G178" s="26" t="s">
        <v>323</v>
      </c>
      <c r="H178" s="27" t="s">
        <v>433</v>
      </c>
      <c r="I178" s="27">
        <v>15</v>
      </c>
      <c r="J178" s="75">
        <f>VLOOKUP(D178,美团日报!$C:$E,3,0)</f>
        <v>1825.7516</v>
      </c>
      <c r="K178" s="75">
        <f>VLOOKUP(D:D,秒达日报!C:F,4,0)</f>
        <v>0</v>
      </c>
      <c r="L178" s="16">
        <f>VLOOKUP(D:D,秒达日报!C:I,7,0)</f>
        <v>0</v>
      </c>
      <c r="M178" s="75">
        <f>VLOOKUP(D:D,美团日报!C:F,4,0)</f>
        <v>0</v>
      </c>
      <c r="N178" s="16">
        <f>VLOOKUP(D:D,美团日报!C:I,7,0)</f>
        <v>0</v>
      </c>
      <c r="O178" s="75">
        <f>VLOOKUP(D:D,饿了么日报!C:F,4,0)</f>
        <v>0</v>
      </c>
      <c r="P178" s="16">
        <f>VLOOKUP(D:D,饿了么日报!C:I,7,0)</f>
        <v>0</v>
      </c>
      <c r="Q178" s="87">
        <f t="shared" si="8"/>
        <v>0</v>
      </c>
      <c r="R178" s="88">
        <f t="shared" si="9"/>
        <v>0</v>
      </c>
      <c r="S178" s="89">
        <f t="shared" si="10"/>
        <v>0</v>
      </c>
      <c r="T178" s="90"/>
      <c r="U178" s="90"/>
    </row>
    <row r="179" ht="14.4" spans="1:21">
      <c r="A179" s="27" t="s">
        <v>19</v>
      </c>
      <c r="B179" s="26" t="s">
        <v>264</v>
      </c>
      <c r="C179" s="26" t="s">
        <v>327</v>
      </c>
      <c r="D179" s="16">
        <v>1709</v>
      </c>
      <c r="E179" s="27" t="s">
        <v>434</v>
      </c>
      <c r="F179" s="16" t="s">
        <v>40</v>
      </c>
      <c r="G179" s="26" t="s">
        <v>323</v>
      </c>
      <c r="H179" s="27" t="s">
        <v>435</v>
      </c>
      <c r="I179" s="27">
        <v>90</v>
      </c>
      <c r="J179" s="75">
        <f>VLOOKUP(D179,美团日报!$C:$E,3,0)</f>
        <v>1187.8323</v>
      </c>
      <c r="K179" s="75">
        <f>VLOOKUP(D:D,秒达日报!C:F,4,0)</f>
        <v>0</v>
      </c>
      <c r="L179" s="16">
        <f>VLOOKUP(D:D,秒达日报!C:I,7,0)</f>
        <v>0</v>
      </c>
      <c r="M179" s="75">
        <f>VLOOKUP(D:D,美团日报!C:F,4,0)</f>
        <v>0</v>
      </c>
      <c r="N179" s="16">
        <f>VLOOKUP(D:D,美团日报!C:I,7,0)</f>
        <v>0</v>
      </c>
      <c r="O179" s="75">
        <f>VLOOKUP(D:D,饿了么日报!C:F,4,0)</f>
        <v>0</v>
      </c>
      <c r="P179" s="16">
        <f>VLOOKUP(D:D,饿了么日报!C:I,7,0)</f>
        <v>0</v>
      </c>
      <c r="Q179" s="87">
        <f t="shared" si="8"/>
        <v>0</v>
      </c>
      <c r="R179" s="88">
        <f t="shared" si="9"/>
        <v>0</v>
      </c>
      <c r="S179" s="89">
        <f t="shared" si="10"/>
        <v>0</v>
      </c>
      <c r="T179" s="90"/>
      <c r="U179" s="90"/>
    </row>
    <row r="180" ht="14.4" spans="1:21">
      <c r="A180" s="27" t="s">
        <v>19</v>
      </c>
      <c r="B180" s="26" t="s">
        <v>264</v>
      </c>
      <c r="C180" s="26" t="s">
        <v>370</v>
      </c>
      <c r="D180" s="16">
        <v>1726</v>
      </c>
      <c r="E180" s="27" t="s">
        <v>436</v>
      </c>
      <c r="F180" s="16" t="s">
        <v>40</v>
      </c>
      <c r="G180" s="26" t="s">
        <v>54</v>
      </c>
      <c r="H180" s="27" t="s">
        <v>437</v>
      </c>
      <c r="I180" s="27">
        <v>30</v>
      </c>
      <c r="J180" s="75">
        <f>VLOOKUP(D180,美团日报!$C:$E,3,0)</f>
        <v>3262.8704</v>
      </c>
      <c r="K180" s="75">
        <f>VLOOKUP(D:D,秒达日报!C:F,4,0)</f>
        <v>0</v>
      </c>
      <c r="L180" s="16">
        <f>VLOOKUP(D:D,秒达日报!C:I,7,0)</f>
        <v>0</v>
      </c>
      <c r="M180" s="75">
        <f>VLOOKUP(D:D,美团日报!C:F,4,0)</f>
        <v>0</v>
      </c>
      <c r="N180" s="16">
        <f>VLOOKUP(D:D,美团日报!C:I,7,0)</f>
        <v>0</v>
      </c>
      <c r="O180" s="75">
        <f>VLOOKUP(D:D,饿了么日报!C:F,4,0)</f>
        <v>0</v>
      </c>
      <c r="P180" s="16">
        <f>VLOOKUP(D:D,饿了么日报!C:I,7,0)</f>
        <v>0</v>
      </c>
      <c r="Q180" s="87">
        <f t="shared" si="8"/>
        <v>0</v>
      </c>
      <c r="R180" s="88">
        <f t="shared" si="9"/>
        <v>0</v>
      </c>
      <c r="S180" s="89">
        <f t="shared" si="10"/>
        <v>0</v>
      </c>
      <c r="T180" s="90"/>
      <c r="U180" s="90"/>
    </row>
    <row r="181" ht="14.4" spans="1:21">
      <c r="A181" s="27" t="s">
        <v>19</v>
      </c>
      <c r="B181" s="26" t="s">
        <v>264</v>
      </c>
      <c r="C181" s="26" t="s">
        <v>359</v>
      </c>
      <c r="D181" s="16">
        <v>1728</v>
      </c>
      <c r="E181" s="27" t="s">
        <v>438</v>
      </c>
      <c r="F181" s="16" t="s">
        <v>46</v>
      </c>
      <c r="G181" s="26" t="s">
        <v>280</v>
      </c>
      <c r="H181" s="27" t="s">
        <v>439</v>
      </c>
      <c r="I181" s="27">
        <v>20</v>
      </c>
      <c r="J181" s="75">
        <f>VLOOKUP(D181,美团日报!$C:$E,3,0)</f>
        <v>34718.0688</v>
      </c>
      <c r="K181" s="75">
        <f>VLOOKUP(D:D,秒达日报!C:F,4,0)</f>
        <v>23.22724689453</v>
      </c>
      <c r="L181" s="16">
        <f>VLOOKUP(D:D,秒达日报!C:I,7,0)</f>
        <v>2</v>
      </c>
      <c r="M181" s="75">
        <f>VLOOKUP(D:D,美团日报!C:F,4,0)</f>
        <v>0</v>
      </c>
      <c r="N181" s="16">
        <f>VLOOKUP(D:D,美团日报!C:I,7,0)</f>
        <v>0</v>
      </c>
      <c r="O181" s="75">
        <f>VLOOKUP(D:D,饿了么日报!C:F,4,0)</f>
        <v>0</v>
      </c>
      <c r="P181" s="16">
        <f>VLOOKUP(D:D,饿了么日报!C:I,7,0)</f>
        <v>0</v>
      </c>
      <c r="Q181" s="87">
        <f t="shared" si="8"/>
        <v>23.22724689453</v>
      </c>
      <c r="R181" s="88">
        <f t="shared" si="9"/>
        <v>2</v>
      </c>
      <c r="S181" s="89">
        <f t="shared" si="10"/>
        <v>0.000669024738338268</v>
      </c>
      <c r="T181" s="90"/>
      <c r="U181" s="90"/>
    </row>
    <row r="182" ht="14.4" spans="1:21">
      <c r="A182" s="27" t="s">
        <v>19</v>
      </c>
      <c r="B182" s="26" t="s">
        <v>264</v>
      </c>
      <c r="C182" s="26" t="s">
        <v>350</v>
      </c>
      <c r="D182" s="16">
        <v>1730</v>
      </c>
      <c r="E182" s="27" t="s">
        <v>440</v>
      </c>
      <c r="F182" s="16" t="s">
        <v>40</v>
      </c>
      <c r="G182" s="26" t="s">
        <v>323</v>
      </c>
      <c r="H182" s="27" t="s">
        <v>441</v>
      </c>
      <c r="I182" s="27">
        <v>45</v>
      </c>
      <c r="J182" s="75">
        <f>VLOOKUP(D182,美团日报!$C:$E,3,0)</f>
        <v>3484.2904</v>
      </c>
      <c r="K182" s="75">
        <f>VLOOKUP(D:D,秒达日报!C:F,4,0)</f>
        <v>0</v>
      </c>
      <c r="L182" s="16">
        <f>VLOOKUP(D:D,秒达日报!C:I,7,0)</f>
        <v>0</v>
      </c>
      <c r="M182" s="75">
        <f>VLOOKUP(D:D,美团日报!C:F,4,0)</f>
        <v>0</v>
      </c>
      <c r="N182" s="16">
        <f>VLOOKUP(D:D,美团日报!C:I,7,0)</f>
        <v>0</v>
      </c>
      <c r="O182" s="75">
        <f>VLOOKUP(D:D,饿了么日报!C:F,4,0)</f>
        <v>0</v>
      </c>
      <c r="P182" s="16">
        <f>VLOOKUP(D:D,饿了么日报!C:I,7,0)</f>
        <v>0</v>
      </c>
      <c r="Q182" s="87">
        <f t="shared" si="8"/>
        <v>0</v>
      </c>
      <c r="R182" s="88">
        <f t="shared" si="9"/>
        <v>0</v>
      </c>
      <c r="S182" s="89">
        <f t="shared" si="10"/>
        <v>0</v>
      </c>
      <c r="T182" s="90"/>
      <c r="U182" s="90"/>
    </row>
    <row r="183" ht="14.4" spans="1:21">
      <c r="A183" s="27" t="s">
        <v>19</v>
      </c>
      <c r="B183" s="26" t="s">
        <v>264</v>
      </c>
      <c r="C183" s="26" t="s">
        <v>304</v>
      </c>
      <c r="D183" s="16">
        <v>1732</v>
      </c>
      <c r="E183" s="27" t="s">
        <v>442</v>
      </c>
      <c r="F183" s="16" t="s">
        <v>40</v>
      </c>
      <c r="G183" s="26" t="s">
        <v>280</v>
      </c>
      <c r="H183" s="27" t="s">
        <v>441</v>
      </c>
      <c r="I183" s="27">
        <v>61</v>
      </c>
      <c r="J183" s="75">
        <f>VLOOKUP(D183,美团日报!$C:$E,3,0)</f>
        <v>222.6283</v>
      </c>
      <c r="K183" s="75">
        <f>VLOOKUP(D:D,秒达日报!C:F,4,0)</f>
        <v>0</v>
      </c>
      <c r="L183" s="16">
        <f>VLOOKUP(D:D,秒达日报!C:I,7,0)</f>
        <v>0</v>
      </c>
      <c r="M183" s="75">
        <f>VLOOKUP(D:D,美团日报!C:F,4,0)</f>
        <v>0</v>
      </c>
      <c r="N183" s="16">
        <f>VLOOKUP(D:D,美团日报!C:I,7,0)</f>
        <v>0</v>
      </c>
      <c r="O183" s="75">
        <f>VLOOKUP(D:D,饿了么日报!C:F,4,0)</f>
        <v>0</v>
      </c>
      <c r="P183" s="16">
        <f>VLOOKUP(D:D,饿了么日报!C:I,7,0)</f>
        <v>0</v>
      </c>
      <c r="Q183" s="87">
        <f t="shared" si="8"/>
        <v>0</v>
      </c>
      <c r="R183" s="88">
        <f t="shared" si="9"/>
        <v>0</v>
      </c>
      <c r="S183" s="89">
        <f t="shared" si="10"/>
        <v>0</v>
      </c>
      <c r="T183" s="90"/>
      <c r="U183" s="90"/>
    </row>
    <row r="184" ht="14.4" spans="1:21">
      <c r="A184" s="27" t="s">
        <v>19</v>
      </c>
      <c r="B184" s="26" t="s">
        <v>264</v>
      </c>
      <c r="C184" s="26" t="s">
        <v>73</v>
      </c>
      <c r="D184" s="16">
        <v>1741</v>
      </c>
      <c r="E184" s="27" t="s">
        <v>443</v>
      </c>
      <c r="F184" s="16" t="s">
        <v>40</v>
      </c>
      <c r="G184" s="26" t="s">
        <v>41</v>
      </c>
      <c r="H184" s="27" t="s">
        <v>444</v>
      </c>
      <c r="I184" s="27">
        <v>35</v>
      </c>
      <c r="J184" s="75">
        <f>VLOOKUP(D184,美团日报!$C:$E,3,0)</f>
        <v>10039.5513</v>
      </c>
      <c r="K184" s="75">
        <f>VLOOKUP(D:D,秒达日报!C:F,4,0)</f>
        <v>0</v>
      </c>
      <c r="L184" s="16">
        <f>VLOOKUP(D:D,秒达日报!C:I,7,0)</f>
        <v>0</v>
      </c>
      <c r="M184" s="75">
        <f>VLOOKUP(D:D,美团日报!C:F,4,0)</f>
        <v>3432.00237882585</v>
      </c>
      <c r="N184" s="16">
        <f>VLOOKUP(D:D,美团日报!C:I,7,0)</f>
        <v>86</v>
      </c>
      <c r="O184" s="75">
        <f>VLOOKUP(D:D,饿了么日报!C:F,4,0)</f>
        <v>1826.47548916134</v>
      </c>
      <c r="P184" s="16">
        <f>VLOOKUP(D:D,饿了么日报!C:I,7,0)</f>
        <v>49</v>
      </c>
      <c r="Q184" s="87">
        <f t="shared" si="8"/>
        <v>5258.47786798719</v>
      </c>
      <c r="R184" s="88">
        <f t="shared" si="9"/>
        <v>135</v>
      </c>
      <c r="S184" s="89">
        <f t="shared" si="10"/>
        <v>0.523776183900489</v>
      </c>
      <c r="T184" s="90"/>
      <c r="U184" s="90"/>
    </row>
    <row r="185" ht="14.4" spans="1:21">
      <c r="A185" s="27" t="s">
        <v>19</v>
      </c>
      <c r="B185" s="26" t="s">
        <v>56</v>
      </c>
      <c r="C185" s="26" t="s">
        <v>350</v>
      </c>
      <c r="D185" s="16">
        <v>1752</v>
      </c>
      <c r="E185" s="27" t="s">
        <v>445</v>
      </c>
      <c r="F185" s="16" t="s">
        <v>40</v>
      </c>
      <c r="G185" s="26" t="s">
        <v>54</v>
      </c>
      <c r="H185" s="27" t="s">
        <v>446</v>
      </c>
      <c r="I185" s="27">
        <v>108.5</v>
      </c>
      <c r="J185" s="75">
        <f>VLOOKUP(D185,美团日报!$C:$E,3,0)</f>
        <v>2205.8491</v>
      </c>
      <c r="K185" s="75">
        <f>VLOOKUP(D:D,秒达日报!C:F,4,0)</f>
        <v>34.5132743362799</v>
      </c>
      <c r="L185" s="16">
        <f>VLOOKUP(D:D,秒达日报!C:I,7,0)</f>
        <v>1</v>
      </c>
      <c r="M185" s="75">
        <f>VLOOKUP(D:D,美团日报!C:F,4,0)</f>
        <v>238.0238938053</v>
      </c>
      <c r="N185" s="16">
        <f>VLOOKUP(D:D,美团日报!C:I,7,0)</f>
        <v>6</v>
      </c>
      <c r="O185" s="75">
        <f>VLOOKUP(D:D,饿了么日报!C:F,4,0)</f>
        <v>144.85840707964</v>
      </c>
      <c r="P185" s="16">
        <f>VLOOKUP(D:D,饿了么日报!C:I,7,0)</f>
        <v>4</v>
      </c>
      <c r="Q185" s="87">
        <f t="shared" si="8"/>
        <v>417.39557522122</v>
      </c>
      <c r="R185" s="88">
        <f t="shared" si="9"/>
        <v>11</v>
      </c>
      <c r="S185" s="89">
        <f t="shared" si="10"/>
        <v>0.189222179894908</v>
      </c>
      <c r="T185" s="90"/>
      <c r="U185" s="90"/>
    </row>
    <row r="186" ht="14.4" spans="1:21">
      <c r="A186" s="27" t="s">
        <v>19</v>
      </c>
      <c r="B186" s="26" t="s">
        <v>264</v>
      </c>
      <c r="C186" s="26" t="s">
        <v>350</v>
      </c>
      <c r="D186" s="16">
        <v>1814</v>
      </c>
      <c r="E186" s="27" t="s">
        <v>447</v>
      </c>
      <c r="F186" s="16" t="s">
        <v>40</v>
      </c>
      <c r="G186" s="26" t="s">
        <v>280</v>
      </c>
      <c r="H186" s="27" t="s">
        <v>448</v>
      </c>
      <c r="I186" s="27">
        <v>40</v>
      </c>
      <c r="J186" s="75">
        <f>VLOOKUP(D186,美团日报!$C:$E,3,0)</f>
        <v>713.7654</v>
      </c>
      <c r="K186" s="75">
        <f>VLOOKUP(D:D,秒达日报!C:F,4,0)</f>
        <v>0</v>
      </c>
      <c r="L186" s="16">
        <f>VLOOKUP(D:D,秒达日报!C:I,7,0)</f>
        <v>0</v>
      </c>
      <c r="M186" s="75">
        <f>VLOOKUP(D:D,美团日报!C:F,4,0)</f>
        <v>0</v>
      </c>
      <c r="N186" s="16">
        <f>VLOOKUP(D:D,美团日报!C:I,7,0)</f>
        <v>0</v>
      </c>
      <c r="O186" s="75">
        <f>VLOOKUP(D:D,饿了么日报!C:F,4,0)</f>
        <v>0</v>
      </c>
      <c r="P186" s="16">
        <f>VLOOKUP(D:D,饿了么日报!C:I,7,0)</f>
        <v>0</v>
      </c>
      <c r="Q186" s="87">
        <f t="shared" si="8"/>
        <v>0</v>
      </c>
      <c r="R186" s="88">
        <f t="shared" si="9"/>
        <v>0</v>
      </c>
      <c r="S186" s="89">
        <f t="shared" si="10"/>
        <v>0</v>
      </c>
      <c r="T186" s="90"/>
      <c r="U186" s="90"/>
    </row>
    <row r="187" ht="14.4" spans="1:21">
      <c r="A187" s="27" t="s">
        <v>19</v>
      </c>
      <c r="B187" s="26" t="s">
        <v>264</v>
      </c>
      <c r="C187" s="26" t="s">
        <v>296</v>
      </c>
      <c r="D187" s="16">
        <v>1826</v>
      </c>
      <c r="E187" s="27" t="s">
        <v>449</v>
      </c>
      <c r="F187" s="16" t="s">
        <v>40</v>
      </c>
      <c r="G187" s="26" t="s">
        <v>54</v>
      </c>
      <c r="H187" s="27" t="s">
        <v>450</v>
      </c>
      <c r="I187" s="27">
        <v>70</v>
      </c>
      <c r="J187" s="75">
        <f>VLOOKUP(D187,美团日报!$C:$E,3,0)</f>
        <v>1504.2081</v>
      </c>
      <c r="K187" s="75">
        <f>VLOOKUP(D:D,秒达日报!C:F,4,0)</f>
        <v>0</v>
      </c>
      <c r="L187" s="16">
        <f>VLOOKUP(D:D,秒达日报!C:I,7,0)</f>
        <v>0</v>
      </c>
      <c r="M187" s="75">
        <f>VLOOKUP(D:D,美团日报!C:F,4,0)</f>
        <v>0</v>
      </c>
      <c r="N187" s="16">
        <f>VLOOKUP(D:D,美团日报!C:I,7,0)</f>
        <v>0</v>
      </c>
      <c r="O187" s="75">
        <f>VLOOKUP(D:D,饿了么日报!C:F,4,0)</f>
        <v>0</v>
      </c>
      <c r="P187" s="16">
        <f>VLOOKUP(D:D,饿了么日报!C:I,7,0)</f>
        <v>0</v>
      </c>
      <c r="Q187" s="87">
        <f t="shared" si="8"/>
        <v>0</v>
      </c>
      <c r="R187" s="88">
        <f t="shared" si="9"/>
        <v>0</v>
      </c>
      <c r="S187" s="89">
        <f t="shared" si="10"/>
        <v>0</v>
      </c>
      <c r="T187" s="90"/>
      <c r="U187" s="90"/>
    </row>
    <row r="188" ht="14.4" spans="1:21">
      <c r="A188" s="27" t="s">
        <v>19</v>
      </c>
      <c r="B188" s="26" t="s">
        <v>264</v>
      </c>
      <c r="C188" s="26" t="s">
        <v>350</v>
      </c>
      <c r="D188" s="16">
        <v>1837</v>
      </c>
      <c r="E188" s="27" t="s">
        <v>451</v>
      </c>
      <c r="F188" s="16" t="s">
        <v>46</v>
      </c>
      <c r="G188" s="26" t="s">
        <v>66</v>
      </c>
      <c r="H188" s="27" t="s">
        <v>452</v>
      </c>
      <c r="I188" s="27">
        <v>126</v>
      </c>
      <c r="J188" s="75">
        <f>VLOOKUP(D188,美团日报!$C:$E,3,0)</f>
        <v>10350.2519</v>
      </c>
      <c r="K188" s="75">
        <f>VLOOKUP(D:D,秒达日报!C:F,4,0)</f>
        <v>290.63724933019</v>
      </c>
      <c r="L188" s="16">
        <f>VLOOKUP(D:D,秒达日报!C:I,7,0)</f>
        <v>7</v>
      </c>
      <c r="M188" s="75">
        <f>VLOOKUP(D:D,美团日报!C:F,4,0)</f>
        <v>3241.69310708767</v>
      </c>
      <c r="N188" s="16">
        <f>VLOOKUP(D:D,美团日报!C:I,7,0)</f>
        <v>76</v>
      </c>
      <c r="O188" s="75">
        <f>VLOOKUP(D:D,饿了么日报!C:F,4,0)</f>
        <v>1315.31858407078</v>
      </c>
      <c r="P188" s="16">
        <f>VLOOKUP(D:D,饿了么日报!C:I,7,0)</f>
        <v>36</v>
      </c>
      <c r="Q188" s="87">
        <f t="shared" si="8"/>
        <v>4847.64894048864</v>
      </c>
      <c r="R188" s="88">
        <f t="shared" si="9"/>
        <v>119</v>
      </c>
      <c r="S188" s="89">
        <f t="shared" si="10"/>
        <v>0.468360479273808</v>
      </c>
      <c r="T188" s="90"/>
      <c r="U188" s="90"/>
    </row>
    <row r="189" ht="14.4" spans="1:21">
      <c r="A189" s="27" t="s">
        <v>19</v>
      </c>
      <c r="B189" s="26" t="s">
        <v>264</v>
      </c>
      <c r="C189" s="26" t="s">
        <v>370</v>
      </c>
      <c r="D189" s="16">
        <v>1867</v>
      </c>
      <c r="E189" s="27" t="s">
        <v>453</v>
      </c>
      <c r="F189" s="16" t="s">
        <v>40</v>
      </c>
      <c r="G189" s="26" t="s">
        <v>54</v>
      </c>
      <c r="H189" s="27" t="s">
        <v>454</v>
      </c>
      <c r="I189" s="27">
        <v>50</v>
      </c>
      <c r="J189" s="75">
        <f>VLOOKUP(D189,美团日报!$C:$E,3,0)</f>
        <v>5169.2332</v>
      </c>
      <c r="K189" s="75">
        <f>VLOOKUP(D:D,秒达日报!C:F,4,0)</f>
        <v>0</v>
      </c>
      <c r="L189" s="16">
        <f>VLOOKUP(D:D,秒达日报!C:I,7,0)</f>
        <v>0</v>
      </c>
      <c r="M189" s="75">
        <f>VLOOKUP(D:D,美团日报!C:F,4,0)</f>
        <v>0</v>
      </c>
      <c r="N189" s="16">
        <f>VLOOKUP(D:D,美团日报!C:I,7,0)</f>
        <v>0</v>
      </c>
      <c r="O189" s="75">
        <f>VLOOKUP(D:D,饿了么日报!C:F,4,0)</f>
        <v>0</v>
      </c>
      <c r="P189" s="16">
        <f>VLOOKUP(D:D,饿了么日报!C:I,7,0)</f>
        <v>0</v>
      </c>
      <c r="Q189" s="87">
        <f t="shared" si="8"/>
        <v>0</v>
      </c>
      <c r="R189" s="88">
        <f t="shared" si="9"/>
        <v>0</v>
      </c>
      <c r="S189" s="89">
        <f t="shared" si="10"/>
        <v>0</v>
      </c>
      <c r="T189" s="90"/>
      <c r="U189" s="90"/>
    </row>
    <row r="190" ht="14.4" spans="1:21">
      <c r="A190" s="27" t="s">
        <v>19</v>
      </c>
      <c r="B190" s="26" t="s">
        <v>264</v>
      </c>
      <c r="C190" s="26" t="s">
        <v>359</v>
      </c>
      <c r="D190" s="16">
        <v>1868</v>
      </c>
      <c r="E190" s="27" t="s">
        <v>455</v>
      </c>
      <c r="F190" s="16" t="s">
        <v>40</v>
      </c>
      <c r="G190" s="26" t="s">
        <v>323</v>
      </c>
      <c r="H190" s="27" t="s">
        <v>456</v>
      </c>
      <c r="I190" s="27">
        <v>100</v>
      </c>
      <c r="J190" s="75">
        <f>VLOOKUP(D190,美团日报!$C:$E,3,0)</f>
        <v>1778.9884</v>
      </c>
      <c r="K190" s="75">
        <f>VLOOKUP(D:D,秒达日报!C:F,4,0)</f>
        <v>0</v>
      </c>
      <c r="L190" s="16">
        <f>VLOOKUP(D:D,秒达日报!C:I,7,0)</f>
        <v>0</v>
      </c>
      <c r="M190" s="75">
        <f>VLOOKUP(D:D,美团日报!C:F,4,0)</f>
        <v>0</v>
      </c>
      <c r="N190" s="16">
        <f>VLOOKUP(D:D,美团日报!C:I,7,0)</f>
        <v>0</v>
      </c>
      <c r="O190" s="75">
        <f>VLOOKUP(D:D,饿了么日报!C:F,4,0)</f>
        <v>0</v>
      </c>
      <c r="P190" s="16">
        <f>VLOOKUP(D:D,饿了么日报!C:I,7,0)</f>
        <v>0</v>
      </c>
      <c r="Q190" s="87">
        <f t="shared" si="8"/>
        <v>0</v>
      </c>
      <c r="R190" s="88">
        <f t="shared" si="9"/>
        <v>0</v>
      </c>
      <c r="S190" s="89">
        <f t="shared" si="10"/>
        <v>0</v>
      </c>
      <c r="T190" s="90"/>
      <c r="U190" s="90"/>
    </row>
    <row r="191" ht="14.4" spans="1:21">
      <c r="A191" s="27" t="s">
        <v>19</v>
      </c>
      <c r="B191" s="26" t="s">
        <v>264</v>
      </c>
      <c r="C191" s="26" t="s">
        <v>64</v>
      </c>
      <c r="D191" s="16">
        <v>1880</v>
      </c>
      <c r="E191" s="27" t="s">
        <v>457</v>
      </c>
      <c r="F191" s="16" t="s">
        <v>40</v>
      </c>
      <c r="G191" s="26" t="s">
        <v>66</v>
      </c>
      <c r="H191" s="27" t="s">
        <v>458</v>
      </c>
      <c r="I191" s="27">
        <v>60</v>
      </c>
      <c r="J191" s="75">
        <f>VLOOKUP(D191,美团日报!$C:$E,3,0)</f>
        <v>5766.639</v>
      </c>
      <c r="K191" s="75">
        <f>VLOOKUP(D:D,秒达日报!C:F,4,0)</f>
        <v>300.04075667771</v>
      </c>
      <c r="L191" s="16">
        <f>VLOOKUP(D:D,秒达日报!C:I,7,0)</f>
        <v>10</v>
      </c>
      <c r="M191" s="75">
        <f>VLOOKUP(D:D,美团日报!C:F,4,0)</f>
        <v>986.71559633019</v>
      </c>
      <c r="N191" s="16">
        <f>VLOOKUP(D:D,美团日报!C:I,7,0)</f>
        <v>28</v>
      </c>
      <c r="O191" s="75">
        <f>VLOOKUP(D:D,饿了么日报!C:F,4,0)</f>
        <v>836.53081107401</v>
      </c>
      <c r="P191" s="16">
        <f>VLOOKUP(D:D,饿了么日报!C:I,7,0)</f>
        <v>22</v>
      </c>
      <c r="Q191" s="87">
        <f t="shared" si="8"/>
        <v>2123.28716408191</v>
      </c>
      <c r="R191" s="88">
        <f t="shared" si="9"/>
        <v>60</v>
      </c>
      <c r="S191" s="89">
        <f t="shared" si="10"/>
        <v>0.368201852774538</v>
      </c>
      <c r="T191" s="90"/>
      <c r="U191" s="90"/>
    </row>
    <row r="192" ht="14.4" spans="1:21">
      <c r="A192" s="27" t="s">
        <v>19</v>
      </c>
      <c r="B192" s="26" t="s">
        <v>48</v>
      </c>
      <c r="C192" s="26" t="s">
        <v>304</v>
      </c>
      <c r="D192" s="16">
        <v>2120</v>
      </c>
      <c r="E192" s="27" t="s">
        <v>459</v>
      </c>
      <c r="F192" s="16" t="s">
        <v>40</v>
      </c>
      <c r="G192" s="26" t="s">
        <v>323</v>
      </c>
      <c r="H192" s="27" t="s">
        <v>460</v>
      </c>
      <c r="I192" s="27">
        <v>142.39</v>
      </c>
      <c r="J192" s="75">
        <f>VLOOKUP(D192,美团日报!$C:$E,3,0)</f>
        <v>3960.8435</v>
      </c>
      <c r="K192" s="75">
        <f>VLOOKUP(D:D,秒达日报!C:F,4,0)</f>
        <v>0</v>
      </c>
      <c r="L192" s="16">
        <f>VLOOKUP(D:D,秒达日报!C:I,7,0)</f>
        <v>0</v>
      </c>
      <c r="M192" s="75">
        <f>VLOOKUP(D:D,美团日报!C:F,4,0)</f>
        <v>0</v>
      </c>
      <c r="N192" s="16">
        <f>VLOOKUP(D:D,美团日报!C:I,7,0)</f>
        <v>0</v>
      </c>
      <c r="O192" s="75">
        <f>VLOOKUP(D:D,饿了么日报!C:F,4,0)</f>
        <v>0</v>
      </c>
      <c r="P192" s="16">
        <f>VLOOKUP(D:D,饿了么日报!C:I,7,0)</f>
        <v>0</v>
      </c>
      <c r="Q192" s="87">
        <f t="shared" si="8"/>
        <v>0</v>
      </c>
      <c r="R192" s="88">
        <f t="shared" si="9"/>
        <v>0</v>
      </c>
      <c r="S192" s="89">
        <f t="shared" si="10"/>
        <v>0</v>
      </c>
      <c r="T192" s="90"/>
      <c r="U192" s="90"/>
    </row>
    <row r="193" ht="14.4" spans="1:21">
      <c r="A193" s="27" t="s">
        <v>19</v>
      </c>
      <c r="B193" s="26" t="s">
        <v>264</v>
      </c>
      <c r="C193" s="26" t="s">
        <v>296</v>
      </c>
      <c r="D193" s="16">
        <v>2130</v>
      </c>
      <c r="E193" s="27" t="s">
        <v>461</v>
      </c>
      <c r="F193" s="16" t="s">
        <v>40</v>
      </c>
      <c r="G193" s="26" t="s">
        <v>66</v>
      </c>
      <c r="H193" s="27" t="s">
        <v>462</v>
      </c>
      <c r="I193" s="27">
        <v>50</v>
      </c>
      <c r="J193" s="75">
        <f>VLOOKUP(D193,美团日报!$C:$E,3,0)</f>
        <v>3749.9287</v>
      </c>
      <c r="K193" s="75">
        <f>VLOOKUP(D:D,秒达日报!C:F,4,0)</f>
        <v>56.5486725663801</v>
      </c>
      <c r="L193" s="16">
        <f>VLOOKUP(D:D,秒达日报!C:I,7,0)</f>
        <v>2</v>
      </c>
      <c r="M193" s="75">
        <f>VLOOKUP(D:D,美团日报!C:F,4,0)</f>
        <v>864.3864577413</v>
      </c>
      <c r="N193" s="16">
        <f>VLOOKUP(D:D,美团日报!C:I,7,0)</f>
        <v>19</v>
      </c>
      <c r="O193" s="75">
        <f>VLOOKUP(D:D,饿了么日报!C:F,4,0)</f>
        <v>492.35398230084</v>
      </c>
      <c r="P193" s="16">
        <f>VLOOKUP(D:D,饿了么日报!C:I,7,0)</f>
        <v>17</v>
      </c>
      <c r="Q193" s="87">
        <f t="shared" si="8"/>
        <v>1413.28911260852</v>
      </c>
      <c r="R193" s="88">
        <f t="shared" si="9"/>
        <v>38</v>
      </c>
      <c r="S193" s="89">
        <f t="shared" si="10"/>
        <v>0.376884262521717</v>
      </c>
      <c r="T193" s="90"/>
      <c r="U193" s="90"/>
    </row>
    <row r="194" ht="14.4" spans="1:21">
      <c r="A194" s="27" t="s">
        <v>19</v>
      </c>
      <c r="B194" s="26" t="s">
        <v>264</v>
      </c>
      <c r="C194" s="26" t="s">
        <v>359</v>
      </c>
      <c r="D194" s="16">
        <v>2149</v>
      </c>
      <c r="E194" s="27" t="s">
        <v>463</v>
      </c>
      <c r="F194" s="16" t="s">
        <v>40</v>
      </c>
      <c r="G194" s="26" t="s">
        <v>323</v>
      </c>
      <c r="H194" s="27" t="s">
        <v>464</v>
      </c>
      <c r="I194" s="27">
        <v>80</v>
      </c>
      <c r="J194" s="75">
        <f>VLOOKUP(D194,美团日报!$C:$E,3,0)</f>
        <v>6856.9406</v>
      </c>
      <c r="K194" s="75">
        <f>VLOOKUP(D:D,秒达日报!C:F,4,0)</f>
        <v>0</v>
      </c>
      <c r="L194" s="16">
        <f>VLOOKUP(D:D,秒达日报!C:I,7,0)</f>
        <v>0</v>
      </c>
      <c r="M194" s="75">
        <f>VLOOKUP(D:D,美团日报!C:F,4,0)</f>
        <v>0</v>
      </c>
      <c r="N194" s="16">
        <f>VLOOKUP(D:D,美团日报!C:I,7,0)</f>
        <v>0</v>
      </c>
      <c r="O194" s="75">
        <f>VLOOKUP(D:D,饿了么日报!C:F,4,0)</f>
        <v>0</v>
      </c>
      <c r="P194" s="16">
        <f>VLOOKUP(D:D,饿了么日报!C:I,7,0)</f>
        <v>0</v>
      </c>
      <c r="Q194" s="87">
        <f t="shared" si="8"/>
        <v>0</v>
      </c>
      <c r="R194" s="88">
        <f t="shared" si="9"/>
        <v>0</v>
      </c>
      <c r="S194" s="89">
        <f t="shared" si="10"/>
        <v>0</v>
      </c>
      <c r="T194" s="90"/>
      <c r="U194" s="90"/>
    </row>
    <row r="195" ht="14.4" spans="1:21">
      <c r="A195" s="27" t="s">
        <v>19</v>
      </c>
      <c r="B195" s="26" t="s">
        <v>264</v>
      </c>
      <c r="C195" s="26" t="s">
        <v>359</v>
      </c>
      <c r="D195" s="16">
        <v>2150</v>
      </c>
      <c r="E195" s="27" t="s">
        <v>465</v>
      </c>
      <c r="F195" s="16" t="s">
        <v>40</v>
      </c>
      <c r="G195" s="26" t="s">
        <v>323</v>
      </c>
      <c r="H195" s="27" t="s">
        <v>466</v>
      </c>
      <c r="I195" s="27">
        <v>125.45</v>
      </c>
      <c r="J195" s="75">
        <f>VLOOKUP(D195,美团日报!$C:$E,3,0)</f>
        <v>6986.1254</v>
      </c>
      <c r="K195" s="75">
        <f>VLOOKUP(D:D,秒达日报!C:F,4,0)</f>
        <v>0</v>
      </c>
      <c r="L195" s="16">
        <f>VLOOKUP(D:D,秒达日报!C:I,7,0)</f>
        <v>0</v>
      </c>
      <c r="M195" s="75">
        <f>VLOOKUP(D:D,美团日报!C:F,4,0)</f>
        <v>0</v>
      </c>
      <c r="N195" s="16">
        <f>VLOOKUP(D:D,美团日报!C:I,7,0)</f>
        <v>0</v>
      </c>
      <c r="O195" s="75">
        <f>VLOOKUP(D:D,饿了么日报!C:F,4,0)</f>
        <v>0</v>
      </c>
      <c r="P195" s="16">
        <f>VLOOKUP(D:D,饿了么日报!C:I,7,0)</f>
        <v>0</v>
      </c>
      <c r="Q195" s="87">
        <f t="shared" si="8"/>
        <v>0</v>
      </c>
      <c r="R195" s="88">
        <f t="shared" si="9"/>
        <v>0</v>
      </c>
      <c r="S195" s="89">
        <f t="shared" si="10"/>
        <v>0</v>
      </c>
      <c r="T195" s="90"/>
      <c r="U195" s="90"/>
    </row>
    <row r="196" ht="14.4" spans="1:21">
      <c r="A196" s="27" t="s">
        <v>19</v>
      </c>
      <c r="B196" s="26" t="s">
        <v>264</v>
      </c>
      <c r="C196" s="26" t="s">
        <v>49</v>
      </c>
      <c r="D196" s="16">
        <v>2207</v>
      </c>
      <c r="E196" s="27" t="s">
        <v>467</v>
      </c>
      <c r="F196" s="16" t="s">
        <v>40</v>
      </c>
      <c r="G196" s="26" t="s">
        <v>41</v>
      </c>
      <c r="H196" s="27" t="s">
        <v>468</v>
      </c>
      <c r="I196" s="27">
        <v>15</v>
      </c>
      <c r="J196" s="75">
        <f>VLOOKUP(D196,美团日报!$C:$E,3,0)</f>
        <v>4252.3534</v>
      </c>
      <c r="K196" s="75">
        <f>VLOOKUP(D:D,秒达日报!C:F,4,0)</f>
        <v>164.47332954455</v>
      </c>
      <c r="L196" s="16">
        <f>VLOOKUP(D:D,秒达日报!C:I,7,0)</f>
        <v>4</v>
      </c>
      <c r="M196" s="75">
        <f>VLOOKUP(D:D,美团日报!C:F,4,0)</f>
        <v>457.19249817321</v>
      </c>
      <c r="N196" s="16">
        <f>VLOOKUP(D:D,美团日报!C:I,7,0)</f>
        <v>13</v>
      </c>
      <c r="O196" s="75">
        <f>VLOOKUP(D:D,饿了么日报!C:F,4,0)</f>
        <v>443.13858894205</v>
      </c>
      <c r="P196" s="16">
        <f>VLOOKUP(D:D,饿了么日报!C:I,7,0)</f>
        <v>11</v>
      </c>
      <c r="Q196" s="87">
        <f t="shared" ref="Q196:Q216" si="11">K196+M196+O196</f>
        <v>1064.80441665981</v>
      </c>
      <c r="R196" s="88">
        <f t="shared" ref="R196:R216" si="12">L196+N196+P196</f>
        <v>28</v>
      </c>
      <c r="S196" s="89">
        <f t="shared" ref="S196:S259" si="13">Q196/J196</f>
        <v>0.250403556924457</v>
      </c>
      <c r="T196" s="90"/>
      <c r="U196" s="90"/>
    </row>
    <row r="197" ht="14.4" spans="1:21">
      <c r="A197" s="27" t="s">
        <v>19</v>
      </c>
      <c r="B197" s="26" t="s">
        <v>48</v>
      </c>
      <c r="C197" s="26" t="s">
        <v>301</v>
      </c>
      <c r="D197" s="16">
        <v>2213</v>
      </c>
      <c r="E197" s="27" t="s">
        <v>469</v>
      </c>
      <c r="F197" s="16" t="s">
        <v>40</v>
      </c>
      <c r="G197" s="26" t="s">
        <v>323</v>
      </c>
      <c r="H197" s="27" t="s">
        <v>470</v>
      </c>
      <c r="I197" s="27">
        <v>79</v>
      </c>
      <c r="J197" s="75">
        <f>VLOOKUP(D197,美团日报!$C:$E,3,0)</f>
        <v>6238.8782</v>
      </c>
      <c r="K197" s="75">
        <f>VLOOKUP(D:D,秒达日报!C:F,4,0)</f>
        <v>0</v>
      </c>
      <c r="L197" s="16">
        <f>VLOOKUP(D:D,秒达日报!C:I,7,0)</f>
        <v>0</v>
      </c>
      <c r="M197" s="75">
        <f>VLOOKUP(D:D,美团日报!C:F,4,0)</f>
        <v>0</v>
      </c>
      <c r="N197" s="16">
        <f>VLOOKUP(D:D,美团日报!C:I,7,0)</f>
        <v>0</v>
      </c>
      <c r="O197" s="75">
        <f>VLOOKUP(D:D,饿了么日报!C:F,4,0)</f>
        <v>0</v>
      </c>
      <c r="P197" s="16">
        <f>VLOOKUP(D:D,饿了么日报!C:I,7,0)</f>
        <v>0</v>
      </c>
      <c r="Q197" s="87">
        <f t="shared" si="11"/>
        <v>0</v>
      </c>
      <c r="R197" s="88">
        <f t="shared" si="12"/>
        <v>0</v>
      </c>
      <c r="S197" s="89">
        <f t="shared" si="13"/>
        <v>0</v>
      </c>
      <c r="T197" s="90"/>
      <c r="U197" s="90"/>
    </row>
    <row r="198" ht="14.4" spans="1:21">
      <c r="A198" s="27" t="s">
        <v>19</v>
      </c>
      <c r="B198" s="26" t="s">
        <v>264</v>
      </c>
      <c r="C198" s="26" t="s">
        <v>296</v>
      </c>
      <c r="D198" s="16">
        <v>2215</v>
      </c>
      <c r="E198" s="27" t="s">
        <v>471</v>
      </c>
      <c r="F198" s="16" t="s">
        <v>40</v>
      </c>
      <c r="G198" s="26" t="s">
        <v>66</v>
      </c>
      <c r="H198" s="27" t="s">
        <v>472</v>
      </c>
      <c r="I198" s="27">
        <v>40</v>
      </c>
      <c r="J198" s="75">
        <f>VLOOKUP(D198,美团日报!$C:$E,3,0)</f>
        <v>4388.977</v>
      </c>
      <c r="K198" s="75">
        <f>VLOOKUP(D:D,秒达日报!C:F,4,0)</f>
        <v>221.25663716814</v>
      </c>
      <c r="L198" s="16">
        <f>VLOOKUP(D:D,秒达日报!C:I,7,0)</f>
        <v>4</v>
      </c>
      <c r="M198" s="75">
        <f>VLOOKUP(D:D,美团日报!C:F,4,0)</f>
        <v>39.91150442478</v>
      </c>
      <c r="N198" s="16">
        <f>VLOOKUP(D:D,美团日报!C:I,7,0)</f>
        <v>1</v>
      </c>
      <c r="O198" s="75">
        <f>VLOOKUP(D:D,饿了么日报!C:F,4,0)</f>
        <v>101.93805309734</v>
      </c>
      <c r="P198" s="16">
        <f>VLOOKUP(D:D,饿了么日报!C:I,7,0)</f>
        <v>3</v>
      </c>
      <c r="Q198" s="87">
        <f t="shared" si="11"/>
        <v>363.10619469026</v>
      </c>
      <c r="R198" s="88">
        <f t="shared" si="12"/>
        <v>8</v>
      </c>
      <c r="S198" s="89">
        <f t="shared" si="13"/>
        <v>0.0827313961067146</v>
      </c>
      <c r="T198" s="90"/>
      <c r="U198" s="90"/>
    </row>
    <row r="199" ht="14.4" spans="1:21">
      <c r="A199" s="27" t="s">
        <v>19</v>
      </c>
      <c r="B199" s="26" t="s">
        <v>264</v>
      </c>
      <c r="C199" s="26" t="s">
        <v>304</v>
      </c>
      <c r="D199" s="16">
        <v>2223</v>
      </c>
      <c r="E199" s="27" t="s">
        <v>473</v>
      </c>
      <c r="F199" s="16" t="s">
        <v>40</v>
      </c>
      <c r="G199" s="26" t="s">
        <v>280</v>
      </c>
      <c r="H199" s="27" t="s">
        <v>474</v>
      </c>
      <c r="I199" s="27">
        <v>60</v>
      </c>
      <c r="J199" s="75">
        <f>VLOOKUP(D199,美团日报!$C:$E,3,0)</f>
        <v>2775.4281</v>
      </c>
      <c r="K199" s="75">
        <f>VLOOKUP(D:D,秒达日报!C:F,4,0)</f>
        <v>0</v>
      </c>
      <c r="L199" s="16">
        <f>VLOOKUP(D:D,秒达日报!C:I,7,0)</f>
        <v>0</v>
      </c>
      <c r="M199" s="75">
        <f>VLOOKUP(D:D,美团日报!C:F,4,0)</f>
        <v>0</v>
      </c>
      <c r="N199" s="16">
        <f>VLOOKUP(D:D,美团日报!C:I,7,0)</f>
        <v>0</v>
      </c>
      <c r="O199" s="75">
        <f>VLOOKUP(D:D,饿了么日报!C:F,4,0)</f>
        <v>0</v>
      </c>
      <c r="P199" s="16">
        <f>VLOOKUP(D:D,饿了么日报!C:I,7,0)</f>
        <v>0</v>
      </c>
      <c r="Q199" s="87">
        <f t="shared" si="11"/>
        <v>0</v>
      </c>
      <c r="R199" s="88">
        <f t="shared" si="12"/>
        <v>0</v>
      </c>
      <c r="S199" s="89">
        <f t="shared" si="13"/>
        <v>0</v>
      </c>
      <c r="T199" s="90"/>
      <c r="U199" s="90"/>
    </row>
    <row r="200" ht="14.4" spans="1:21">
      <c r="A200" s="27" t="s">
        <v>19</v>
      </c>
      <c r="B200" s="26" t="s">
        <v>264</v>
      </c>
      <c r="C200" s="26" t="s">
        <v>370</v>
      </c>
      <c r="D200" s="16">
        <v>2241</v>
      </c>
      <c r="E200" s="27" t="s">
        <v>475</v>
      </c>
      <c r="F200" s="16" t="s">
        <v>40</v>
      </c>
      <c r="G200" s="26" t="s">
        <v>323</v>
      </c>
      <c r="H200" s="27" t="s">
        <v>476</v>
      </c>
      <c r="I200" s="27">
        <v>130</v>
      </c>
      <c r="J200" s="75">
        <f>VLOOKUP(D200,美团日报!$C:$E,3,0)</f>
        <v>0</v>
      </c>
      <c r="K200" s="75">
        <f>VLOOKUP(D:D,秒达日报!C:F,4,0)</f>
        <v>0</v>
      </c>
      <c r="L200" s="16">
        <f>VLOOKUP(D:D,秒达日报!C:I,7,0)</f>
        <v>0</v>
      </c>
      <c r="M200" s="75">
        <f>VLOOKUP(D:D,美团日报!C:F,4,0)</f>
        <v>0</v>
      </c>
      <c r="N200" s="16">
        <f>VLOOKUP(D:D,美团日报!C:I,7,0)</f>
        <v>0</v>
      </c>
      <c r="O200" s="75">
        <f>VLOOKUP(D:D,饿了么日报!C:F,4,0)</f>
        <v>0</v>
      </c>
      <c r="P200" s="16">
        <f>VLOOKUP(D:D,饿了么日报!C:I,7,0)</f>
        <v>0</v>
      </c>
      <c r="Q200" s="87">
        <f t="shared" si="11"/>
        <v>0</v>
      </c>
      <c r="R200" s="88">
        <f t="shared" si="12"/>
        <v>0</v>
      </c>
      <c r="S200" s="89" t="e">
        <f t="shared" si="13"/>
        <v>#DIV/0!</v>
      </c>
      <c r="T200" s="90"/>
      <c r="U200" s="90"/>
    </row>
    <row r="201" ht="14.4" spans="1:21">
      <c r="A201" s="27" t="s">
        <v>19</v>
      </c>
      <c r="B201" s="26" t="s">
        <v>264</v>
      </c>
      <c r="C201" s="26" t="s">
        <v>370</v>
      </c>
      <c r="D201" s="16">
        <v>2244</v>
      </c>
      <c r="E201" s="27" t="s">
        <v>477</v>
      </c>
      <c r="F201" s="16" t="s">
        <v>40</v>
      </c>
      <c r="G201" s="26" t="s">
        <v>54</v>
      </c>
      <c r="H201" s="27" t="s">
        <v>478</v>
      </c>
      <c r="I201" s="27">
        <v>90</v>
      </c>
      <c r="J201" s="75">
        <f>VLOOKUP(D201,美团日报!$C:$E,3,0)</f>
        <v>13853.7463</v>
      </c>
      <c r="K201" s="75">
        <f>VLOOKUP(D:D,秒达日报!C:F,4,0)</f>
        <v>0</v>
      </c>
      <c r="L201" s="16">
        <f>VLOOKUP(D:D,秒达日报!C:I,7,0)</f>
        <v>0</v>
      </c>
      <c r="M201" s="75">
        <f>VLOOKUP(D:D,美团日报!C:F,4,0)</f>
        <v>0</v>
      </c>
      <c r="N201" s="16">
        <f>VLOOKUP(D:D,美团日报!C:I,7,0)</f>
        <v>0</v>
      </c>
      <c r="O201" s="75">
        <f>VLOOKUP(D:D,饿了么日报!C:F,4,0)</f>
        <v>0</v>
      </c>
      <c r="P201" s="16">
        <f>VLOOKUP(D:D,饿了么日报!C:I,7,0)</f>
        <v>0</v>
      </c>
      <c r="Q201" s="87">
        <f t="shared" si="11"/>
        <v>0</v>
      </c>
      <c r="R201" s="88">
        <f t="shared" si="12"/>
        <v>0</v>
      </c>
      <c r="S201" s="89">
        <f t="shared" si="13"/>
        <v>0</v>
      </c>
      <c r="T201" s="90"/>
      <c r="U201" s="90"/>
    </row>
    <row r="202" ht="14.4" spans="1:21">
      <c r="A202" s="27" t="s">
        <v>19</v>
      </c>
      <c r="B202" s="26" t="s">
        <v>264</v>
      </c>
      <c r="C202" s="26" t="s">
        <v>301</v>
      </c>
      <c r="D202" s="16">
        <v>2278</v>
      </c>
      <c r="E202" s="27" t="s">
        <v>479</v>
      </c>
      <c r="F202" s="16" t="s">
        <v>40</v>
      </c>
      <c r="G202" s="26" t="s">
        <v>54</v>
      </c>
      <c r="H202" s="27" t="s">
        <v>480</v>
      </c>
      <c r="I202" s="27">
        <v>62</v>
      </c>
      <c r="J202" s="75">
        <f>VLOOKUP(D202,美团日报!$C:$E,3,0)</f>
        <v>9721.1621</v>
      </c>
      <c r="K202" s="75">
        <f>VLOOKUP(D:D,秒达日报!C:F,4,0)</f>
        <v>0</v>
      </c>
      <c r="L202" s="16">
        <f>VLOOKUP(D:D,秒达日报!C:I,7,0)</f>
        <v>0</v>
      </c>
      <c r="M202" s="75">
        <f>VLOOKUP(D:D,美团日报!C:F,4,0)</f>
        <v>0</v>
      </c>
      <c r="N202" s="16">
        <f>VLOOKUP(D:D,美团日报!C:I,7,0)</f>
        <v>0</v>
      </c>
      <c r="O202" s="75">
        <f>VLOOKUP(D:D,饿了么日报!C:F,4,0)</f>
        <v>0</v>
      </c>
      <c r="P202" s="16">
        <f>VLOOKUP(D:D,饿了么日报!C:I,7,0)</f>
        <v>0</v>
      </c>
      <c r="Q202" s="87">
        <f t="shared" si="11"/>
        <v>0</v>
      </c>
      <c r="R202" s="88">
        <f t="shared" si="12"/>
        <v>0</v>
      </c>
      <c r="S202" s="89">
        <f t="shared" si="13"/>
        <v>0</v>
      </c>
      <c r="T202" s="90"/>
      <c r="U202" s="90"/>
    </row>
    <row r="203" ht="14.4" spans="1:21">
      <c r="A203" s="27" t="s">
        <v>19</v>
      </c>
      <c r="B203" s="26" t="s">
        <v>264</v>
      </c>
      <c r="C203" s="26" t="s">
        <v>89</v>
      </c>
      <c r="D203" s="16">
        <v>8747</v>
      </c>
      <c r="E203" s="27" t="s">
        <v>481</v>
      </c>
      <c r="F203" s="16" t="s">
        <v>46</v>
      </c>
      <c r="G203" s="26" t="s">
        <v>54</v>
      </c>
      <c r="H203" s="27" t="s">
        <v>482</v>
      </c>
      <c r="I203" s="27">
        <v>170</v>
      </c>
      <c r="J203" s="75">
        <f>VLOOKUP(D203,美团日报!$C:$E,3,0)</f>
        <v>12010.6812</v>
      </c>
      <c r="K203" s="75">
        <f>VLOOKUP(D:D,秒达日报!C:F,4,0)</f>
        <v>142.68165949501</v>
      </c>
      <c r="L203" s="16">
        <f>VLOOKUP(D:D,秒达日报!C:I,7,0)</f>
        <v>5</v>
      </c>
      <c r="M203" s="75">
        <f>VLOOKUP(D:D,美团日报!C:F,4,0)</f>
        <v>810.53649427618</v>
      </c>
      <c r="N203" s="16">
        <f>VLOOKUP(D:D,美团日报!C:I,7,0)</f>
        <v>21</v>
      </c>
      <c r="O203" s="75">
        <f>VLOOKUP(D:D,饿了么日报!C:F,4,0)</f>
        <v>249.86283185841</v>
      </c>
      <c r="P203" s="16">
        <f>VLOOKUP(D:D,饿了么日报!C:I,7,0)</f>
        <v>7</v>
      </c>
      <c r="Q203" s="87">
        <f t="shared" si="11"/>
        <v>1203.0809856296</v>
      </c>
      <c r="R203" s="88">
        <f t="shared" si="12"/>
        <v>33</v>
      </c>
      <c r="S203" s="89">
        <f t="shared" si="13"/>
        <v>0.100167589630936</v>
      </c>
      <c r="T203" s="90"/>
      <c r="U203" s="90"/>
    </row>
    <row r="204" ht="14.4" spans="1:21">
      <c r="A204" s="27" t="s">
        <v>19</v>
      </c>
      <c r="B204" s="26" t="s">
        <v>48</v>
      </c>
      <c r="C204" s="26" t="s">
        <v>143</v>
      </c>
      <c r="D204" s="16">
        <v>8749</v>
      </c>
      <c r="E204" s="27" t="s">
        <v>483</v>
      </c>
      <c r="F204" s="16" t="s">
        <v>40</v>
      </c>
      <c r="G204" s="26" t="s">
        <v>54</v>
      </c>
      <c r="H204" s="27" t="s">
        <v>484</v>
      </c>
      <c r="I204" s="27">
        <v>35</v>
      </c>
      <c r="J204" s="75">
        <f>VLOOKUP(D204,美团日报!$C:$E,3,0)</f>
        <v>2141.2804</v>
      </c>
      <c r="K204" s="75">
        <f>VLOOKUP(D:D,秒达日报!C:F,4,0)</f>
        <v>184.15929203539</v>
      </c>
      <c r="L204" s="16">
        <f>VLOOKUP(D:D,秒达日报!C:I,7,0)</f>
        <v>5</v>
      </c>
      <c r="M204" s="75">
        <f>VLOOKUP(D:D,美团日报!C:F,4,0)</f>
        <v>187.52212389381</v>
      </c>
      <c r="N204" s="16">
        <f>VLOOKUP(D:D,美团日报!C:I,7,0)</f>
        <v>4</v>
      </c>
      <c r="O204" s="75">
        <f>VLOOKUP(D:D,饿了么日报!C:F,4,0)</f>
        <v>51.67256637169</v>
      </c>
      <c r="P204" s="16">
        <f>VLOOKUP(D:D,饿了么日报!C:I,7,0)</f>
        <v>2</v>
      </c>
      <c r="Q204" s="87">
        <f t="shared" si="11"/>
        <v>423.35398230089</v>
      </c>
      <c r="R204" s="88">
        <f t="shared" si="12"/>
        <v>11</v>
      </c>
      <c r="S204" s="89">
        <f t="shared" si="13"/>
        <v>0.197710669887461</v>
      </c>
      <c r="T204" s="90"/>
      <c r="U204" s="90"/>
    </row>
    <row r="205" ht="14.4" spans="1:21">
      <c r="A205" s="27" t="s">
        <v>19</v>
      </c>
      <c r="B205" s="26" t="s">
        <v>43</v>
      </c>
      <c r="C205" s="26" t="s">
        <v>49</v>
      </c>
      <c r="D205" s="16">
        <v>8748</v>
      </c>
      <c r="E205" s="27" t="s">
        <v>485</v>
      </c>
      <c r="F205" s="16" t="s">
        <v>40</v>
      </c>
      <c r="G205" s="26" t="s">
        <v>41</v>
      </c>
      <c r="H205" s="27" t="s">
        <v>486</v>
      </c>
      <c r="I205" s="27">
        <v>30</v>
      </c>
      <c r="J205" s="75">
        <f>VLOOKUP(D205,美团日报!$C:$E,3,0)</f>
        <v>7281.8675</v>
      </c>
      <c r="K205" s="75">
        <f>VLOOKUP(D:D,秒达日报!C:F,4,0)</f>
        <v>270.84070796462</v>
      </c>
      <c r="L205" s="16">
        <f>VLOOKUP(D:D,秒达日报!C:I,7,0)</f>
        <v>14</v>
      </c>
      <c r="M205" s="75">
        <f>VLOOKUP(D:D,美团日报!C:F,4,0)</f>
        <v>617.66371681413</v>
      </c>
      <c r="N205" s="16">
        <f>VLOOKUP(D:D,美团日报!C:I,7,0)</f>
        <v>17</v>
      </c>
      <c r="O205" s="75">
        <f>VLOOKUP(D:D,饿了么日报!C:F,4,0)</f>
        <v>515.51327433625</v>
      </c>
      <c r="P205" s="16">
        <f>VLOOKUP(D:D,饿了么日报!C:I,7,0)</f>
        <v>13</v>
      </c>
      <c r="Q205" s="87">
        <f t="shared" si="11"/>
        <v>1404.017699115</v>
      </c>
      <c r="R205" s="88">
        <f t="shared" si="12"/>
        <v>44</v>
      </c>
      <c r="S205" s="89">
        <f t="shared" si="13"/>
        <v>0.192810113492864</v>
      </c>
      <c r="T205" s="90"/>
      <c r="U205" s="90"/>
    </row>
    <row r="206" ht="14.4" spans="1:21">
      <c r="A206" s="27" t="s">
        <v>19</v>
      </c>
      <c r="B206" s="26" t="s">
        <v>48</v>
      </c>
      <c r="C206" s="26" t="s">
        <v>304</v>
      </c>
      <c r="D206" s="16">
        <v>8753</v>
      </c>
      <c r="E206" s="27" t="s">
        <v>487</v>
      </c>
      <c r="F206" s="16" t="s">
        <v>40</v>
      </c>
      <c r="G206" s="26" t="s">
        <v>323</v>
      </c>
      <c r="H206" s="27" t="s">
        <v>488</v>
      </c>
      <c r="I206" s="27">
        <v>77</v>
      </c>
      <c r="J206" s="75">
        <f>VLOOKUP(D206,美团日报!$C:$E,3,0)</f>
        <v>5915.681</v>
      </c>
      <c r="K206" s="75">
        <f>VLOOKUP(D:D,秒达日报!C:F,4,0)</f>
        <v>0</v>
      </c>
      <c r="L206" s="16">
        <f>VLOOKUP(D:D,秒达日报!C:I,7,0)</f>
        <v>0</v>
      </c>
      <c r="M206" s="75">
        <f>VLOOKUP(D:D,美团日报!C:F,4,0)</f>
        <v>0</v>
      </c>
      <c r="N206" s="16">
        <f>VLOOKUP(D:D,美团日报!C:I,7,0)</f>
        <v>0</v>
      </c>
      <c r="O206" s="75">
        <f>VLOOKUP(D:D,饿了么日报!C:F,4,0)</f>
        <v>0</v>
      </c>
      <c r="P206" s="16">
        <f>VLOOKUP(D:D,饿了么日报!C:I,7,0)</f>
        <v>0</v>
      </c>
      <c r="Q206" s="87">
        <f t="shared" si="11"/>
        <v>0</v>
      </c>
      <c r="R206" s="88">
        <f t="shared" si="12"/>
        <v>0</v>
      </c>
      <c r="S206" s="89">
        <f t="shared" si="13"/>
        <v>0</v>
      </c>
      <c r="T206" s="90"/>
      <c r="U206" s="90"/>
    </row>
    <row r="207" ht="14.4" spans="1:21">
      <c r="A207" s="27" t="s">
        <v>13</v>
      </c>
      <c r="B207" s="26" t="s">
        <v>264</v>
      </c>
      <c r="C207" s="26" t="s">
        <v>161</v>
      </c>
      <c r="D207" s="16">
        <v>8755</v>
      </c>
      <c r="E207" s="27" t="s">
        <v>489</v>
      </c>
      <c r="F207" s="16" t="s">
        <v>40</v>
      </c>
      <c r="G207" s="26" t="s">
        <v>54</v>
      </c>
      <c r="H207" s="27" t="s">
        <v>490</v>
      </c>
      <c r="I207" s="27">
        <v>117.59</v>
      </c>
      <c r="J207" s="75">
        <f>VLOOKUP(D207,美团日报!$C:$E,3,0)</f>
        <v>17865.9022</v>
      </c>
      <c r="K207" s="75">
        <f>VLOOKUP(D:D,秒达日报!C:F,4,0)</f>
        <v>344.7771372899</v>
      </c>
      <c r="L207" s="16">
        <f>VLOOKUP(D:D,秒达日报!C:I,7,0)</f>
        <v>10</v>
      </c>
      <c r="M207" s="75">
        <f>VLOOKUP(D:D,美团日报!C:F,4,0)</f>
        <v>399.46902654862</v>
      </c>
      <c r="N207" s="16">
        <f>VLOOKUP(D:D,美团日报!C:I,7,0)</f>
        <v>9</v>
      </c>
      <c r="O207" s="75">
        <f>VLOOKUP(D:D,饿了么日报!C:F,4,0)</f>
        <v>370.51879516114</v>
      </c>
      <c r="P207" s="16">
        <f>VLOOKUP(D:D,饿了么日报!C:I,7,0)</f>
        <v>11</v>
      </c>
      <c r="Q207" s="87">
        <f t="shared" si="11"/>
        <v>1114.76495899966</v>
      </c>
      <c r="R207" s="88">
        <f t="shared" si="12"/>
        <v>30</v>
      </c>
      <c r="S207" s="89">
        <f t="shared" si="13"/>
        <v>0.0623962309051294</v>
      </c>
      <c r="T207" s="90"/>
      <c r="U207" s="90"/>
    </row>
    <row r="208" ht="14.4" spans="1:21">
      <c r="A208" s="27" t="s">
        <v>13</v>
      </c>
      <c r="B208" s="26" t="s">
        <v>43</v>
      </c>
      <c r="C208" s="26" t="s">
        <v>99</v>
      </c>
      <c r="D208" s="16">
        <v>8750</v>
      </c>
      <c r="E208" s="27" t="s">
        <v>491</v>
      </c>
      <c r="F208" s="16" t="s">
        <v>40</v>
      </c>
      <c r="G208" s="26" t="s">
        <v>66</v>
      </c>
      <c r="H208" s="27" t="s">
        <v>492</v>
      </c>
      <c r="I208" s="27">
        <v>92</v>
      </c>
      <c r="J208" s="75">
        <f>VLOOKUP(D208,美团日报!$C:$E,3,0)</f>
        <v>7242.8559</v>
      </c>
      <c r="K208" s="75">
        <f>VLOOKUP(D:D,秒达日报!C:F,4,0)</f>
        <v>48.1415929203499</v>
      </c>
      <c r="L208" s="16">
        <f>VLOOKUP(D:D,秒达日报!C:I,7,0)</f>
        <v>2</v>
      </c>
      <c r="M208" s="75">
        <f>VLOOKUP(D:D,美团日报!C:F,4,0)</f>
        <v>826.29049281476</v>
      </c>
      <c r="N208" s="16">
        <f>VLOOKUP(D:D,美团日报!C:I,7,0)</f>
        <v>19</v>
      </c>
      <c r="O208" s="75">
        <f>VLOOKUP(D:D,饿了么日报!C:F,4,0)</f>
        <v>1098.80230575623</v>
      </c>
      <c r="P208" s="16">
        <f>VLOOKUP(D:D,饿了么日报!C:I,7,0)</f>
        <v>27</v>
      </c>
      <c r="Q208" s="87">
        <f t="shared" si="11"/>
        <v>1973.23439149134</v>
      </c>
      <c r="R208" s="88">
        <f t="shared" si="12"/>
        <v>48</v>
      </c>
      <c r="S208" s="89">
        <f t="shared" si="13"/>
        <v>0.272438720131287</v>
      </c>
      <c r="T208" s="90"/>
      <c r="U208" s="90"/>
    </row>
    <row r="209" ht="14.4" spans="1:21">
      <c r="A209" s="27" t="s">
        <v>13</v>
      </c>
      <c r="B209" s="26" t="s">
        <v>63</v>
      </c>
      <c r="C209" s="26" t="s">
        <v>70</v>
      </c>
      <c r="D209" s="16">
        <v>8744</v>
      </c>
      <c r="E209" s="27" t="s">
        <v>493</v>
      </c>
      <c r="F209" s="16" t="s">
        <v>40</v>
      </c>
      <c r="G209" s="26" t="s">
        <v>41</v>
      </c>
      <c r="H209" s="27" t="s">
        <v>494</v>
      </c>
      <c r="I209" s="27">
        <v>140</v>
      </c>
      <c r="J209" s="75">
        <f>VLOOKUP(D209,美团日报!$C:$E,3,0)</f>
        <v>5621.8587</v>
      </c>
      <c r="K209" s="75">
        <f>VLOOKUP(D:D,秒达日报!C:F,4,0)</f>
        <v>66.37168141592</v>
      </c>
      <c r="L209" s="16">
        <f>VLOOKUP(D:D,秒达日报!C:I,7,0)</f>
        <v>2</v>
      </c>
      <c r="M209" s="75">
        <f>VLOOKUP(D:D,美团日报!C:F,4,0)</f>
        <v>819.28635219611</v>
      </c>
      <c r="N209" s="16">
        <f>VLOOKUP(D:D,美团日报!C:I,7,0)</f>
        <v>20</v>
      </c>
      <c r="O209" s="75">
        <f>VLOOKUP(D:D,饿了么日报!C:F,4,0)</f>
        <v>1153.26161402939</v>
      </c>
      <c r="P209" s="16">
        <f>VLOOKUP(D:D,饿了么日报!C:I,7,0)</f>
        <v>36</v>
      </c>
      <c r="Q209" s="87">
        <f t="shared" si="11"/>
        <v>2038.91964764142</v>
      </c>
      <c r="R209" s="88">
        <f t="shared" si="12"/>
        <v>58</v>
      </c>
      <c r="S209" s="89">
        <f t="shared" si="13"/>
        <v>0.362677142284174</v>
      </c>
      <c r="T209" s="90"/>
      <c r="U209" s="90"/>
    </row>
    <row r="210" ht="14.4" spans="1:21">
      <c r="A210" s="27" t="s">
        <v>13</v>
      </c>
      <c r="B210" s="26" t="s">
        <v>56</v>
      </c>
      <c r="C210" s="26" t="s">
        <v>38</v>
      </c>
      <c r="D210" s="16">
        <v>8751</v>
      </c>
      <c r="E210" s="27" t="s">
        <v>495</v>
      </c>
      <c r="F210" s="16" t="s">
        <v>46</v>
      </c>
      <c r="G210" s="26" t="s">
        <v>54</v>
      </c>
      <c r="H210" s="27" t="s">
        <v>496</v>
      </c>
      <c r="I210" s="27">
        <v>42.14</v>
      </c>
      <c r="J210" s="75">
        <f>VLOOKUP(D210,美团日报!$C:$E,3,0)</f>
        <v>7464.214</v>
      </c>
      <c r="K210" s="75">
        <f>VLOOKUP(D:D,秒达日报!C:F,4,0)</f>
        <v>27.43362831859</v>
      </c>
      <c r="L210" s="16">
        <f>VLOOKUP(D:D,秒达日报!C:I,7,0)</f>
        <v>1</v>
      </c>
      <c r="M210" s="75">
        <f>VLOOKUP(D:D,美团日报!C:F,4,0)</f>
        <v>118.7610619469</v>
      </c>
      <c r="N210" s="16">
        <f>VLOOKUP(D:D,美团日报!C:I,7,0)</f>
        <v>2</v>
      </c>
      <c r="O210" s="75">
        <f>VLOOKUP(D:D,饿了么日报!C:F,4,0)</f>
        <v>571.50807826579</v>
      </c>
      <c r="P210" s="16">
        <f>VLOOKUP(D:D,饿了么日报!C:I,7,0)</f>
        <v>17</v>
      </c>
      <c r="Q210" s="87">
        <f t="shared" si="11"/>
        <v>717.70276853128</v>
      </c>
      <c r="R210" s="88">
        <f t="shared" si="12"/>
        <v>20</v>
      </c>
      <c r="S210" s="89">
        <f t="shared" si="13"/>
        <v>0.096152490875969</v>
      </c>
      <c r="T210" s="90"/>
      <c r="U210" s="90"/>
    </row>
    <row r="211" ht="14.4" spans="1:21">
      <c r="A211" s="27" t="s">
        <v>13</v>
      </c>
      <c r="B211" s="26" t="s">
        <v>43</v>
      </c>
      <c r="C211" s="26" t="s">
        <v>89</v>
      </c>
      <c r="D211" s="16">
        <v>8754</v>
      </c>
      <c r="E211" s="27" t="s">
        <v>497</v>
      </c>
      <c r="F211" s="16" t="s">
        <v>40</v>
      </c>
      <c r="G211" s="26" t="s">
        <v>54</v>
      </c>
      <c r="H211" s="27" t="s">
        <v>498</v>
      </c>
      <c r="I211" s="27">
        <v>160</v>
      </c>
      <c r="J211" s="75">
        <f>VLOOKUP(D211,美团日报!$C:$E,3,0)</f>
        <v>8707.4412</v>
      </c>
      <c r="K211" s="75">
        <f>VLOOKUP(D:D,秒达日报!C:F,4,0)</f>
        <v>230.99861979372</v>
      </c>
      <c r="L211" s="16">
        <f>VLOOKUP(D:D,秒达日报!C:I,7,0)</f>
        <v>11</v>
      </c>
      <c r="M211" s="75">
        <f>VLOOKUP(D:D,美团日报!C:F,4,0)</f>
        <v>78.913696517</v>
      </c>
      <c r="N211" s="16">
        <f>VLOOKUP(D:D,美团日报!C:I,7,0)</f>
        <v>2</v>
      </c>
      <c r="O211" s="75">
        <f>VLOOKUP(D:D,饿了么日报!C:F,4,0)</f>
        <v>129.36283185841</v>
      </c>
      <c r="P211" s="16">
        <f>VLOOKUP(D:D,饿了么日报!C:I,7,0)</f>
        <v>3</v>
      </c>
      <c r="Q211" s="87">
        <f t="shared" si="11"/>
        <v>439.27514816913</v>
      </c>
      <c r="R211" s="88">
        <f t="shared" si="12"/>
        <v>16</v>
      </c>
      <c r="S211" s="89">
        <f t="shared" si="13"/>
        <v>0.0504482474333711</v>
      </c>
      <c r="T211" s="90"/>
      <c r="U211" s="90"/>
    </row>
    <row r="212" ht="14.4" spans="1:21">
      <c r="A212" s="27" t="s">
        <v>13</v>
      </c>
      <c r="B212" s="26" t="s">
        <v>48</v>
      </c>
      <c r="C212" s="26" t="s">
        <v>60</v>
      </c>
      <c r="D212" s="16">
        <v>8756</v>
      </c>
      <c r="E212" s="27" t="s">
        <v>499</v>
      </c>
      <c r="F212" s="16" t="s">
        <v>40</v>
      </c>
      <c r="G212" s="26" t="s">
        <v>54</v>
      </c>
      <c r="H212" s="27" t="s">
        <v>500</v>
      </c>
      <c r="I212" s="27">
        <v>187</v>
      </c>
      <c r="J212" s="75">
        <f>VLOOKUP(D212,美团日报!$C:$E,3,0)</f>
        <v>7614.8041</v>
      </c>
      <c r="K212" s="75">
        <f>VLOOKUP(D:D,秒达日报!C:F,4,0)</f>
        <v>181.32743362832</v>
      </c>
      <c r="L212" s="16">
        <f>VLOOKUP(D:D,秒达日报!C:I,7,0)</f>
        <v>2</v>
      </c>
      <c r="M212" s="75">
        <f>VLOOKUP(D:D,美团日报!C:F,4,0)</f>
        <v>699.87042299254</v>
      </c>
      <c r="N212" s="16">
        <f>VLOOKUP(D:D,美团日报!C:I,7,0)</f>
        <v>16</v>
      </c>
      <c r="O212" s="75">
        <f>VLOOKUP(D:D,饿了么日报!C:F,4,0)</f>
        <v>886.15718113178</v>
      </c>
      <c r="P212" s="16">
        <f>VLOOKUP(D:D,饿了么日报!C:I,7,0)</f>
        <v>23</v>
      </c>
      <c r="Q212" s="87">
        <f t="shared" si="11"/>
        <v>1767.35503775264</v>
      </c>
      <c r="R212" s="88">
        <f t="shared" si="12"/>
        <v>41</v>
      </c>
      <c r="S212" s="89">
        <f t="shared" si="13"/>
        <v>0.232094616557849</v>
      </c>
      <c r="T212" s="90"/>
      <c r="U212" s="90"/>
    </row>
    <row r="213" ht="14.4" spans="1:21">
      <c r="A213" s="27" t="s">
        <v>13</v>
      </c>
      <c r="B213" s="26" t="s">
        <v>63</v>
      </c>
      <c r="C213" s="26" t="s">
        <v>359</v>
      </c>
      <c r="D213" s="16">
        <v>8758</v>
      </c>
      <c r="E213" s="27" t="s">
        <v>501</v>
      </c>
      <c r="F213" s="16" t="s">
        <v>40</v>
      </c>
      <c r="G213" s="26" t="s">
        <v>280</v>
      </c>
      <c r="H213" s="27" t="s">
        <v>502</v>
      </c>
      <c r="I213" s="27">
        <v>115</v>
      </c>
      <c r="J213" s="75">
        <f>VLOOKUP(D213,美团日报!$C:$E,3,0)</f>
        <v>855.3635</v>
      </c>
      <c r="K213" s="75">
        <f>VLOOKUP(D:D,秒达日报!C:F,4,0)</f>
        <v>0</v>
      </c>
      <c r="L213" s="16">
        <f>VLOOKUP(D:D,秒达日报!C:I,7,0)</f>
        <v>0</v>
      </c>
      <c r="M213" s="75">
        <f>VLOOKUP(D:D,美团日报!C:F,4,0)</f>
        <v>0</v>
      </c>
      <c r="N213" s="16">
        <f>VLOOKUP(D:D,美团日报!C:I,7,0)</f>
        <v>0</v>
      </c>
      <c r="O213" s="75">
        <f>VLOOKUP(D:D,饿了么日报!C:F,4,0)</f>
        <v>0</v>
      </c>
      <c r="P213" s="16">
        <f>VLOOKUP(D:D,饿了么日报!C:I,7,0)</f>
        <v>0</v>
      </c>
      <c r="Q213" s="87">
        <f t="shared" si="11"/>
        <v>0</v>
      </c>
      <c r="R213" s="88">
        <f t="shared" si="12"/>
        <v>0</v>
      </c>
      <c r="S213" s="89">
        <f t="shared" si="13"/>
        <v>0</v>
      </c>
      <c r="T213" s="90"/>
      <c r="U213" s="90"/>
    </row>
    <row r="214" ht="14.4" spans="1:21">
      <c r="A214" s="27" t="s">
        <v>13</v>
      </c>
      <c r="B214" s="26" t="s">
        <v>264</v>
      </c>
      <c r="C214" s="26" t="s">
        <v>370</v>
      </c>
      <c r="D214" s="16">
        <v>8759</v>
      </c>
      <c r="E214" s="27" t="s">
        <v>503</v>
      </c>
      <c r="F214" s="16" t="s">
        <v>40</v>
      </c>
      <c r="G214" s="26" t="s">
        <v>280</v>
      </c>
      <c r="H214" s="27" t="s">
        <v>504</v>
      </c>
      <c r="I214" s="27">
        <v>188</v>
      </c>
      <c r="J214" s="75">
        <f>VLOOKUP(D214,美团日报!$C:$E,3,0)</f>
        <v>120.7078</v>
      </c>
      <c r="K214" s="75">
        <f>VLOOKUP(D:D,秒达日报!C:F,4,0)</f>
        <v>0</v>
      </c>
      <c r="L214" s="16">
        <f>VLOOKUP(D:D,秒达日报!C:I,7,0)</f>
        <v>0</v>
      </c>
      <c r="M214" s="75">
        <f>VLOOKUP(D:D,美团日报!C:F,4,0)</f>
        <v>0</v>
      </c>
      <c r="N214" s="16">
        <f>VLOOKUP(D:D,美团日报!C:I,7,0)</f>
        <v>0</v>
      </c>
      <c r="O214" s="75">
        <f>VLOOKUP(D:D,饿了么日报!C:F,4,0)</f>
        <v>0</v>
      </c>
      <c r="P214" s="16">
        <f>VLOOKUP(D:D,饿了么日报!C:I,7,0)</f>
        <v>0</v>
      </c>
      <c r="Q214" s="87">
        <f t="shared" si="11"/>
        <v>0</v>
      </c>
      <c r="R214" s="88">
        <f t="shared" si="12"/>
        <v>0</v>
      </c>
      <c r="S214" s="89">
        <f t="shared" si="13"/>
        <v>0</v>
      </c>
      <c r="T214" s="90"/>
      <c r="U214" s="90"/>
    </row>
    <row r="215" ht="14.4" spans="1:21">
      <c r="A215" s="27" t="s">
        <v>13</v>
      </c>
      <c r="B215" s="26" t="s">
        <v>264</v>
      </c>
      <c r="C215" s="26" t="s">
        <v>370</v>
      </c>
      <c r="D215" s="16">
        <v>8760</v>
      </c>
      <c r="E215" s="27" t="s">
        <v>505</v>
      </c>
      <c r="F215" s="16" t="s">
        <v>40</v>
      </c>
      <c r="G215" s="26" t="s">
        <v>280</v>
      </c>
      <c r="H215" s="27" t="s">
        <v>506</v>
      </c>
      <c r="I215" s="27">
        <v>74.22</v>
      </c>
      <c r="J215" s="75">
        <f>VLOOKUP(D215,美团日报!$C:$E,3,0)</f>
        <v>11283.0733</v>
      </c>
      <c r="K215" s="75">
        <f>VLOOKUP(D:D,秒达日报!C:F,4,0)</f>
        <v>0</v>
      </c>
      <c r="L215" s="16">
        <f>VLOOKUP(D:D,秒达日报!C:I,7,0)</f>
        <v>0</v>
      </c>
      <c r="M215" s="75">
        <f>VLOOKUP(D:D,美团日报!C:F,4,0)</f>
        <v>0</v>
      </c>
      <c r="N215" s="16">
        <f>VLOOKUP(D:D,美团日报!C:I,7,0)</f>
        <v>0</v>
      </c>
      <c r="O215" s="75">
        <f>VLOOKUP(D:D,饿了么日报!C:F,4,0)</f>
        <v>0</v>
      </c>
      <c r="P215" s="16">
        <f>VLOOKUP(D:D,饿了么日报!C:I,7,0)</f>
        <v>0</v>
      </c>
      <c r="Q215" s="87">
        <f t="shared" si="11"/>
        <v>0</v>
      </c>
      <c r="R215" s="88">
        <f t="shared" si="12"/>
        <v>0</v>
      </c>
      <c r="S215" s="89">
        <f t="shared" si="13"/>
        <v>0</v>
      </c>
      <c r="T215" s="90"/>
      <c r="U215" s="90"/>
    </row>
    <row r="216" ht="14.4" spans="1:21">
      <c r="A216" s="27" t="s">
        <v>13</v>
      </c>
      <c r="B216" s="26" t="s">
        <v>264</v>
      </c>
      <c r="C216" s="26" t="s">
        <v>401</v>
      </c>
      <c r="D216" s="16">
        <v>8761</v>
      </c>
      <c r="E216" s="27" t="s">
        <v>507</v>
      </c>
      <c r="F216" s="16" t="s">
        <v>46</v>
      </c>
      <c r="G216" s="26" t="s">
        <v>280</v>
      </c>
      <c r="H216" s="27" t="s">
        <v>508</v>
      </c>
      <c r="I216" s="27">
        <v>128.26</v>
      </c>
      <c r="J216" s="75">
        <f>VLOOKUP(D216,美团日报!$C:$E,3,0)</f>
        <v>2974.729</v>
      </c>
      <c r="K216" s="75">
        <f>VLOOKUP(D:D,秒达日报!C:F,4,0)</f>
        <v>0</v>
      </c>
      <c r="L216" s="16">
        <f>VLOOKUP(D:D,秒达日报!C:I,7,0)</f>
        <v>0</v>
      </c>
      <c r="M216" s="75">
        <f>VLOOKUP(D:D,美团日报!C:F,4,0)</f>
        <v>0</v>
      </c>
      <c r="N216" s="16">
        <f>VLOOKUP(D:D,美团日报!C:I,7,0)</f>
        <v>0</v>
      </c>
      <c r="O216" s="75">
        <f>VLOOKUP(D:D,饿了么日报!C:F,4,0)</f>
        <v>17.61061946902</v>
      </c>
      <c r="P216" s="16">
        <f>VLOOKUP(D:D,饿了么日报!C:I,7,0)</f>
        <v>1</v>
      </c>
      <c r="Q216" s="87">
        <f t="shared" si="11"/>
        <v>17.61061946902</v>
      </c>
      <c r="R216" s="88">
        <f t="shared" si="12"/>
        <v>1</v>
      </c>
      <c r="S216" s="89">
        <f t="shared" si="13"/>
        <v>0.00592007523005289</v>
      </c>
      <c r="T216" s="90"/>
      <c r="U216" s="90"/>
    </row>
    <row r="217" ht="14.4" spans="1:21">
      <c r="A217" s="27" t="s">
        <v>13</v>
      </c>
      <c r="B217" s="26" t="s">
        <v>264</v>
      </c>
      <c r="C217" s="26" t="s">
        <v>111</v>
      </c>
      <c r="D217" s="16">
        <v>8764</v>
      </c>
      <c r="E217" s="27" t="s">
        <v>509</v>
      </c>
      <c r="F217" s="16" t="s">
        <v>46</v>
      </c>
      <c r="G217" s="26" t="s">
        <v>54</v>
      </c>
      <c r="H217" s="27"/>
      <c r="I217" s="27"/>
      <c r="J217" s="75">
        <f>VLOOKUP(D217,美团日报!$C:$E,3,0)</f>
        <v>12454.5095</v>
      </c>
      <c r="K217" s="75">
        <f>VLOOKUP(D:D,秒达日报!C:F,4,0)</f>
        <v>0</v>
      </c>
      <c r="L217" s="16">
        <f>VLOOKUP(D:D,秒达日报!C:I,7,0)</f>
        <v>0</v>
      </c>
      <c r="M217" s="75">
        <f>VLOOKUP(D:D,美团日报!C:F,4,0)</f>
        <v>0</v>
      </c>
      <c r="N217" s="16">
        <f>VLOOKUP(D:D,美团日报!C:I,7,0)</f>
        <v>0</v>
      </c>
      <c r="O217" s="75">
        <f>VLOOKUP(D:D,饿了么日报!C:F,4,0)</f>
        <v>0</v>
      </c>
      <c r="P217" s="16">
        <f>VLOOKUP(D:D,饿了么日报!C:I,7,0)</f>
        <v>0</v>
      </c>
      <c r="Q217" s="87">
        <f t="shared" ref="Q217:Q263" si="14">K217+M217+O217</f>
        <v>0</v>
      </c>
      <c r="R217" s="88">
        <f t="shared" ref="R217:R263" si="15">L217+N217+P217</f>
        <v>0</v>
      </c>
      <c r="S217" s="89">
        <f t="shared" si="13"/>
        <v>0</v>
      </c>
      <c r="T217" s="90"/>
      <c r="U217" s="90"/>
    </row>
    <row r="218" ht="14.4" spans="1:21">
      <c r="A218" s="27" t="s">
        <v>13</v>
      </c>
      <c r="B218" s="26" t="s">
        <v>48</v>
      </c>
      <c r="C218" s="26" t="s">
        <v>38</v>
      </c>
      <c r="D218" s="16">
        <v>8763</v>
      </c>
      <c r="E218" s="27" t="s">
        <v>510</v>
      </c>
      <c r="F218" s="16" t="s">
        <v>40</v>
      </c>
      <c r="G218" s="26" t="s">
        <v>54</v>
      </c>
      <c r="H218" s="27"/>
      <c r="I218" s="27"/>
      <c r="J218" s="75">
        <f>VLOOKUP(D218,美团日报!$C:$E,3,0)</f>
        <v>1327.6932</v>
      </c>
      <c r="K218" s="75">
        <f>VLOOKUP(D:D,秒达日报!C:F,4,0)</f>
        <v>0</v>
      </c>
      <c r="L218" s="16">
        <f>VLOOKUP(D:D,秒达日报!C:I,7,0)</f>
        <v>0</v>
      </c>
      <c r="M218" s="75">
        <f>VLOOKUP(D:D,美团日报!C:F,4,0)</f>
        <v>0</v>
      </c>
      <c r="N218" s="16">
        <f>VLOOKUP(D:D,美团日报!C:I,7,0)</f>
        <v>0</v>
      </c>
      <c r="O218" s="75">
        <f>VLOOKUP(D:D,饿了么日报!C:F,4,0)</f>
        <v>0</v>
      </c>
      <c r="P218" s="16">
        <f>VLOOKUP(D:D,饿了么日报!C:I,7,0)</f>
        <v>0</v>
      </c>
      <c r="Q218" s="87">
        <f t="shared" si="14"/>
        <v>0</v>
      </c>
      <c r="R218" s="88">
        <f t="shared" si="15"/>
        <v>0</v>
      </c>
      <c r="S218" s="89">
        <f t="shared" si="13"/>
        <v>0</v>
      </c>
      <c r="T218" s="90"/>
      <c r="U218" s="90"/>
    </row>
    <row r="219" ht="14.4" spans="1:21">
      <c r="A219" s="27" t="s">
        <v>13</v>
      </c>
      <c r="B219" s="26" t="s">
        <v>43</v>
      </c>
      <c r="C219" s="26" t="s">
        <v>401</v>
      </c>
      <c r="D219" s="16">
        <v>8767</v>
      </c>
      <c r="E219" s="27" t="s">
        <v>511</v>
      </c>
      <c r="F219" s="16" t="s">
        <v>46</v>
      </c>
      <c r="G219" s="26" t="s">
        <v>280</v>
      </c>
      <c r="H219" s="27"/>
      <c r="I219" s="27"/>
      <c r="J219" s="75">
        <f>VLOOKUP(D219,美团日报!$C:$E,3,0)</f>
        <v>51490.8945</v>
      </c>
      <c r="K219" s="75">
        <f>VLOOKUP(D:D,秒达日报!C:F,4,0)</f>
        <v>1340.45960867113</v>
      </c>
      <c r="L219" s="16">
        <f>VLOOKUP(D:D,秒达日报!C:I,7,0)</f>
        <v>40</v>
      </c>
      <c r="M219" s="75">
        <f>VLOOKUP(D:D,美团日报!C:F,4,0)</f>
        <v>0</v>
      </c>
      <c r="N219" s="16">
        <f>VLOOKUP(D:D,美团日报!C:I,7,0)</f>
        <v>0</v>
      </c>
      <c r="O219" s="75">
        <f>VLOOKUP(D:D,饿了么日报!C:F,4,0)</f>
        <v>0</v>
      </c>
      <c r="P219" s="16">
        <f>VLOOKUP(D:D,饿了么日报!C:I,7,0)</f>
        <v>0</v>
      </c>
      <c r="Q219" s="87">
        <f t="shared" si="14"/>
        <v>1340.45960867113</v>
      </c>
      <c r="R219" s="88">
        <f t="shared" si="15"/>
        <v>40</v>
      </c>
      <c r="S219" s="89">
        <f t="shared" si="13"/>
        <v>0.0260329446922141</v>
      </c>
      <c r="T219" s="90"/>
      <c r="U219" s="90"/>
    </row>
    <row r="220" ht="14.4" spans="1:21">
      <c r="A220" s="27" t="s">
        <v>13</v>
      </c>
      <c r="B220" s="26" t="s">
        <v>264</v>
      </c>
      <c r="C220" s="26" t="s">
        <v>89</v>
      </c>
      <c r="D220" s="28">
        <v>8762</v>
      </c>
      <c r="E220" s="27" t="s">
        <v>512</v>
      </c>
      <c r="F220" s="16" t="s">
        <v>40</v>
      </c>
      <c r="G220" s="26" t="s">
        <v>54</v>
      </c>
      <c r="H220" s="27"/>
      <c r="I220" s="27"/>
      <c r="J220" s="75">
        <f>VLOOKUP(D220,美团日报!$C:$E,3,0)</f>
        <v>3111.6859</v>
      </c>
      <c r="K220" s="75">
        <f>VLOOKUP(D:D,秒达日报!C:F,4,0)</f>
        <v>0</v>
      </c>
      <c r="L220" s="16">
        <f>VLOOKUP(D:D,秒达日报!C:I,7,0)</f>
        <v>0</v>
      </c>
      <c r="M220" s="75">
        <f>VLOOKUP(D:D,美团日报!C:F,4,0)</f>
        <v>0</v>
      </c>
      <c r="N220" s="16">
        <f>VLOOKUP(D:D,美团日报!C:I,7,0)</f>
        <v>0</v>
      </c>
      <c r="O220" s="75">
        <f>VLOOKUP(D:D,饿了么日报!C:F,4,0)</f>
        <v>0</v>
      </c>
      <c r="P220" s="16">
        <f>VLOOKUP(D:D,饿了么日报!C:I,7,0)</f>
        <v>0</v>
      </c>
      <c r="Q220" s="87">
        <f t="shared" si="14"/>
        <v>0</v>
      </c>
      <c r="R220" s="88">
        <f t="shared" si="15"/>
        <v>0</v>
      </c>
      <c r="S220" s="89">
        <f t="shared" si="13"/>
        <v>0</v>
      </c>
      <c r="T220" s="90"/>
      <c r="U220" s="90"/>
    </row>
    <row r="221" ht="14.4" spans="1:21">
      <c r="A221" s="27" t="s">
        <v>13</v>
      </c>
      <c r="B221" s="26" t="s">
        <v>48</v>
      </c>
      <c r="C221" s="26" t="e">
        <v>#N/A</v>
      </c>
      <c r="D221" s="28">
        <v>8699</v>
      </c>
      <c r="E221" s="27" t="s">
        <v>513</v>
      </c>
      <c r="F221" s="16" t="e">
        <v>#N/A</v>
      </c>
      <c r="G221" s="26" t="e">
        <v>#N/A</v>
      </c>
      <c r="H221" s="27"/>
      <c r="I221" s="27"/>
      <c r="J221" s="75">
        <f>VLOOKUP(D221,美团日报!$C:$E,3,0)</f>
        <v>0</v>
      </c>
      <c r="K221" s="75">
        <f>VLOOKUP(D:D,秒达日报!C:F,4,0)</f>
        <v>0</v>
      </c>
      <c r="L221" s="16">
        <f>VLOOKUP(D:D,秒达日报!C:I,7,0)</f>
        <v>0</v>
      </c>
      <c r="M221" s="75">
        <f>VLOOKUP(D:D,美团日报!C:F,4,0)</f>
        <v>0</v>
      </c>
      <c r="N221" s="16">
        <f>VLOOKUP(D:D,美团日报!C:I,7,0)</f>
        <v>0</v>
      </c>
      <c r="O221" s="75">
        <f>VLOOKUP(D:D,饿了么日报!C:F,4,0)</f>
        <v>0</v>
      </c>
      <c r="P221" s="16">
        <f>VLOOKUP(D:D,饿了么日报!C:I,7,0)</f>
        <v>0</v>
      </c>
      <c r="Q221" s="87">
        <f t="shared" si="14"/>
        <v>0</v>
      </c>
      <c r="R221" s="88">
        <f t="shared" si="15"/>
        <v>0</v>
      </c>
      <c r="S221" s="89" t="e">
        <f t="shared" si="13"/>
        <v>#DIV/0!</v>
      </c>
      <c r="T221" s="90"/>
      <c r="U221" s="90"/>
    </row>
    <row r="222" ht="14.4" spans="1:21">
      <c r="A222" s="27" t="s">
        <v>13</v>
      </c>
      <c r="B222" s="26" t="e">
        <v>#N/A</v>
      </c>
      <c r="C222" s="26" t="e">
        <v>#N/A</v>
      </c>
      <c r="D222" s="28">
        <v>8712</v>
      </c>
      <c r="E222" s="27" t="s">
        <v>514</v>
      </c>
      <c r="F222" s="16" t="e">
        <v>#N/A</v>
      </c>
      <c r="G222" s="26" t="e">
        <v>#N/A</v>
      </c>
      <c r="H222" s="27"/>
      <c r="I222" s="27"/>
      <c r="J222" s="75">
        <f>VLOOKUP(D222,美团日报!$C:$E,3,0)</f>
        <v>0</v>
      </c>
      <c r="K222" s="75">
        <f>VLOOKUP(D:D,秒达日报!C:F,4,0)</f>
        <v>0</v>
      </c>
      <c r="L222" s="16">
        <f>VLOOKUP(D:D,秒达日报!C:I,7,0)</f>
        <v>0</v>
      </c>
      <c r="M222" s="75">
        <f>VLOOKUP(D:D,美团日报!C:F,4,0)</f>
        <v>0</v>
      </c>
      <c r="N222" s="16">
        <f>VLOOKUP(D:D,美团日报!C:I,7,0)</f>
        <v>0</v>
      </c>
      <c r="O222" s="75">
        <f>VLOOKUP(D:D,饿了么日报!C:F,4,0)</f>
        <v>0</v>
      </c>
      <c r="P222" s="16">
        <f>VLOOKUP(D:D,饿了么日报!C:I,7,0)</f>
        <v>0</v>
      </c>
      <c r="Q222" s="87">
        <f t="shared" si="14"/>
        <v>0</v>
      </c>
      <c r="R222" s="88">
        <f t="shared" si="15"/>
        <v>0</v>
      </c>
      <c r="S222" s="89" t="e">
        <f t="shared" si="13"/>
        <v>#DIV/0!</v>
      </c>
      <c r="T222" s="90"/>
      <c r="U222" s="90"/>
    </row>
    <row r="223" ht="14.4" spans="1:21">
      <c r="A223" s="27" t="s">
        <v>13</v>
      </c>
      <c r="B223" s="26" t="e">
        <v>#N/A</v>
      </c>
      <c r="C223" s="26" t="s">
        <v>401</v>
      </c>
      <c r="D223" s="25">
        <v>8780</v>
      </c>
      <c r="E223" s="26" t="s">
        <v>515</v>
      </c>
      <c r="F223" s="16" t="s">
        <v>46</v>
      </c>
      <c r="G223" s="26" t="s">
        <v>280</v>
      </c>
      <c r="H223" s="27"/>
      <c r="I223" s="27"/>
      <c r="J223" s="75">
        <f>VLOOKUP(D223,美团日报!$C:$E,3,0)</f>
        <v>7416.5769</v>
      </c>
      <c r="K223" s="75">
        <f>VLOOKUP(D:D,秒达日报!C:F,4,0)</f>
        <v>0</v>
      </c>
      <c r="L223" s="16">
        <f>VLOOKUP(D:D,秒达日报!C:I,7,0)</f>
        <v>0</v>
      </c>
      <c r="M223" s="75">
        <f>VLOOKUP(D:D,美团日报!C:F,4,0)</f>
        <v>0</v>
      </c>
      <c r="N223" s="16">
        <f>VLOOKUP(D:D,美团日报!C:I,7,0)</f>
        <v>0</v>
      </c>
      <c r="O223" s="75">
        <f>VLOOKUP(D:D,饿了么日报!C:F,4,0)</f>
        <v>0</v>
      </c>
      <c r="P223" s="16">
        <f>VLOOKUP(D:D,饿了么日报!C:I,7,0)</f>
        <v>0</v>
      </c>
      <c r="Q223" s="87">
        <f t="shared" si="14"/>
        <v>0</v>
      </c>
      <c r="R223" s="88">
        <f t="shared" si="15"/>
        <v>0</v>
      </c>
      <c r="S223" s="89">
        <f t="shared" si="13"/>
        <v>0</v>
      </c>
      <c r="T223" s="90"/>
      <c r="U223" s="90"/>
    </row>
    <row r="224" ht="14.4" spans="1:21">
      <c r="A224" s="27" t="s">
        <v>13</v>
      </c>
      <c r="B224" s="26" t="s">
        <v>264</v>
      </c>
      <c r="C224" s="26" t="s">
        <v>350</v>
      </c>
      <c r="D224" s="25">
        <v>8768</v>
      </c>
      <c r="E224" s="26" t="s">
        <v>516</v>
      </c>
      <c r="F224" s="16" t="s">
        <v>46</v>
      </c>
      <c r="G224" s="26" t="s">
        <v>280</v>
      </c>
      <c r="H224" s="27"/>
      <c r="I224" s="27"/>
      <c r="J224" s="75">
        <f>VLOOKUP(D224,美团日报!$C:$E,3,0)</f>
        <v>0</v>
      </c>
      <c r="K224" s="75">
        <f>VLOOKUP(D:D,秒达日报!C:F,4,0)</f>
        <v>0</v>
      </c>
      <c r="L224" s="16">
        <f>VLOOKUP(D:D,秒达日报!C:I,7,0)</f>
        <v>0</v>
      </c>
      <c r="M224" s="75">
        <f>VLOOKUP(D:D,美团日报!C:F,4,0)</f>
        <v>0</v>
      </c>
      <c r="N224" s="16">
        <f>VLOOKUP(D:D,美团日报!C:I,7,0)</f>
        <v>0</v>
      </c>
      <c r="O224" s="75">
        <f>VLOOKUP(D:D,饿了么日报!C:F,4,0)</f>
        <v>0</v>
      </c>
      <c r="P224" s="16">
        <f>VLOOKUP(D:D,饿了么日报!C:I,7,0)</f>
        <v>0</v>
      </c>
      <c r="Q224" s="87">
        <f t="shared" si="14"/>
        <v>0</v>
      </c>
      <c r="R224" s="88">
        <f t="shared" si="15"/>
        <v>0</v>
      </c>
      <c r="S224" s="89" t="e">
        <f t="shared" si="13"/>
        <v>#DIV/0!</v>
      </c>
      <c r="T224" s="90"/>
      <c r="U224" s="90"/>
    </row>
    <row r="225" ht="14.4" spans="1:21">
      <c r="A225" s="27" t="s">
        <v>13</v>
      </c>
      <c r="B225" s="26" t="s">
        <v>264</v>
      </c>
      <c r="C225" s="26" t="s">
        <v>131</v>
      </c>
      <c r="D225" s="28">
        <v>8766</v>
      </c>
      <c r="E225" s="29" t="s">
        <v>517</v>
      </c>
      <c r="F225" s="16" t="s">
        <v>40</v>
      </c>
      <c r="G225" s="26" t="s">
        <v>54</v>
      </c>
      <c r="H225" s="27"/>
      <c r="I225" s="27"/>
      <c r="J225" s="75">
        <f>VLOOKUP(D225,美团日报!$C:$E,3,0)</f>
        <v>7161.6856</v>
      </c>
      <c r="K225" s="75">
        <f>VLOOKUP(D:D,秒达日报!C:F,4,0)</f>
        <v>175.97223349844</v>
      </c>
      <c r="L225" s="16">
        <f>VLOOKUP(D:D,秒达日报!C:I,7,0)</f>
        <v>7</v>
      </c>
      <c r="M225" s="75">
        <f>VLOOKUP(D:D,美团日报!C:F,4,0)</f>
        <v>251.23893805307</v>
      </c>
      <c r="N225" s="16">
        <f>VLOOKUP(D:D,美团日报!C:I,7,0)</f>
        <v>7</v>
      </c>
      <c r="O225" s="75">
        <f>VLOOKUP(D:D,饿了么日报!C:F,4,0)</f>
        <v>467.5810668182</v>
      </c>
      <c r="P225" s="16">
        <f>VLOOKUP(D:D,饿了么日报!C:I,7,0)</f>
        <v>13</v>
      </c>
      <c r="Q225" s="87">
        <f t="shared" si="14"/>
        <v>894.79223836971</v>
      </c>
      <c r="R225" s="88">
        <f t="shared" si="15"/>
        <v>27</v>
      </c>
      <c r="S225" s="89">
        <f t="shared" si="13"/>
        <v>0.124941569393902</v>
      </c>
      <c r="T225" s="90"/>
      <c r="U225" s="90"/>
    </row>
    <row r="226" ht="14.4" spans="1:21">
      <c r="A226" s="27" t="s">
        <v>13</v>
      </c>
      <c r="B226" s="26" t="s">
        <v>43</v>
      </c>
      <c r="C226" s="26" t="s">
        <v>168</v>
      </c>
      <c r="D226" s="25">
        <v>8765</v>
      </c>
      <c r="E226" s="26" t="s">
        <v>518</v>
      </c>
      <c r="F226" s="16" t="s">
        <v>40</v>
      </c>
      <c r="G226" s="26" t="s">
        <v>54</v>
      </c>
      <c r="H226" s="27"/>
      <c r="I226" s="27"/>
      <c r="J226" s="75">
        <f>VLOOKUP(D226,美团日报!$C:$E,3,0)</f>
        <v>16482.8543</v>
      </c>
      <c r="K226" s="75">
        <f>VLOOKUP(D:D,秒达日报!C:F,4,0)</f>
        <v>171.85840707961</v>
      </c>
      <c r="L226" s="16">
        <f>VLOOKUP(D:D,秒达日报!C:I,7,0)</f>
        <v>12</v>
      </c>
      <c r="M226" s="75">
        <f>VLOOKUP(D:D,美团日报!C:F,4,0)</f>
        <v>474.95575221232</v>
      </c>
      <c r="N226" s="16">
        <f>VLOOKUP(D:D,美团日报!C:I,7,0)</f>
        <v>15</v>
      </c>
      <c r="O226" s="75">
        <f>VLOOKUP(D:D,饿了么日报!C:F,4,0)</f>
        <v>549.60639766172</v>
      </c>
      <c r="P226" s="16">
        <f>VLOOKUP(D:D,饿了么日报!C:I,7,0)</f>
        <v>13</v>
      </c>
      <c r="Q226" s="87">
        <f t="shared" si="14"/>
        <v>1196.42055695365</v>
      </c>
      <c r="R226" s="88">
        <f t="shared" si="15"/>
        <v>40</v>
      </c>
      <c r="S226" s="89">
        <f t="shared" si="13"/>
        <v>0.0725857630710022</v>
      </c>
      <c r="T226" s="90"/>
      <c r="U226" s="90"/>
    </row>
    <row r="227" ht="14.4" spans="1:21">
      <c r="A227" s="27" t="s">
        <v>13</v>
      </c>
      <c r="B227" s="26" t="s">
        <v>63</v>
      </c>
      <c r="C227" s="26" t="s">
        <v>73</v>
      </c>
      <c r="D227" s="31">
        <v>8772</v>
      </c>
      <c r="E227" s="30" t="s">
        <v>519</v>
      </c>
      <c r="F227" s="16" t="s">
        <v>40</v>
      </c>
      <c r="G227" s="26" t="s">
        <v>66</v>
      </c>
      <c r="H227" s="27"/>
      <c r="I227" s="27"/>
      <c r="J227" s="75">
        <f>VLOOKUP(D227,美团日报!$C:$E,3,0)</f>
        <v>4597.4832</v>
      </c>
      <c r="K227" s="75">
        <f>VLOOKUP(D:D,秒达日报!C:F,4,0)</f>
        <v>80.1769911504199</v>
      </c>
      <c r="L227" s="16">
        <f>VLOOKUP(D:D,秒达日报!C:I,7,0)</f>
        <v>3</v>
      </c>
      <c r="M227" s="75">
        <f>VLOOKUP(D:D,美团日报!C:F,4,0)</f>
        <v>372.48924251026</v>
      </c>
      <c r="N227" s="16">
        <f>VLOOKUP(D:D,美团日报!C:I,7,0)</f>
        <v>9</v>
      </c>
      <c r="O227" s="75">
        <f>VLOOKUP(D:D,饿了么日报!C:F,4,0)</f>
        <v>559.75805796872</v>
      </c>
      <c r="P227" s="16">
        <f>VLOOKUP(D:D,饿了么日报!C:I,7,0)</f>
        <v>14</v>
      </c>
      <c r="Q227" s="87">
        <f t="shared" si="14"/>
        <v>1012.4242916294</v>
      </c>
      <c r="R227" s="88">
        <f t="shared" si="15"/>
        <v>26</v>
      </c>
      <c r="S227" s="89">
        <f t="shared" si="13"/>
        <v>0.220212722393287</v>
      </c>
      <c r="T227" s="90"/>
      <c r="U227" s="90"/>
    </row>
    <row r="228" ht="14.4" spans="1:21">
      <c r="A228" s="27" t="s">
        <v>13</v>
      </c>
      <c r="B228" s="26" t="s">
        <v>56</v>
      </c>
      <c r="C228" s="26" t="s">
        <v>70</v>
      </c>
      <c r="D228" s="31">
        <v>8773</v>
      </c>
      <c r="E228" s="30" t="s">
        <v>520</v>
      </c>
      <c r="F228" s="16" t="s">
        <v>40</v>
      </c>
      <c r="G228" s="26" t="s">
        <v>54</v>
      </c>
      <c r="H228" s="27"/>
      <c r="I228" s="27"/>
      <c r="J228" s="75">
        <f>VLOOKUP(D228,美团日报!$C:$E,3,0)</f>
        <v>6674.0584</v>
      </c>
      <c r="K228" s="75">
        <f>VLOOKUP(D:D,秒达日报!C:F,4,0)</f>
        <v>205.43395307297</v>
      </c>
      <c r="L228" s="16">
        <f>VLOOKUP(D:D,秒达日报!C:I,7,0)</f>
        <v>5</v>
      </c>
      <c r="M228" s="75">
        <f>VLOOKUP(D:D,美团日报!C:F,4,0)</f>
        <v>1030.64138994863</v>
      </c>
      <c r="N228" s="16">
        <f>VLOOKUP(D:D,美团日报!C:I,7,0)</f>
        <v>29</v>
      </c>
      <c r="O228" s="75">
        <f>VLOOKUP(D:D,饿了么日报!C:F,4,0)</f>
        <v>938.13420475756</v>
      </c>
      <c r="P228" s="16">
        <f>VLOOKUP(D:D,饿了么日报!C:I,7,0)</f>
        <v>26</v>
      </c>
      <c r="Q228" s="87">
        <f t="shared" si="14"/>
        <v>2174.20954777916</v>
      </c>
      <c r="R228" s="88">
        <f t="shared" si="15"/>
        <v>60</v>
      </c>
      <c r="S228" s="89">
        <f t="shared" si="13"/>
        <v>0.325770231165367</v>
      </c>
      <c r="T228" s="90"/>
      <c r="U228" s="90"/>
    </row>
    <row r="229" ht="14.4" spans="1:21">
      <c r="A229" s="27" t="s">
        <v>13</v>
      </c>
      <c r="B229" s="26" t="s">
        <v>56</v>
      </c>
      <c r="C229" s="26" t="s">
        <v>111</v>
      </c>
      <c r="D229" s="16">
        <v>8778</v>
      </c>
      <c r="E229" s="29" t="s">
        <v>521</v>
      </c>
      <c r="F229" s="16" t="s">
        <v>40</v>
      </c>
      <c r="G229" s="26" t="s">
        <v>280</v>
      </c>
      <c r="H229" s="27"/>
      <c r="I229" s="27"/>
      <c r="J229" s="75">
        <f>VLOOKUP(D229,美团日报!$C:$E,3,0)</f>
        <v>5334.5526</v>
      </c>
      <c r="K229" s="75">
        <f>VLOOKUP(D:D,秒达日报!C:F,4,0)</f>
        <v>52.21238938053</v>
      </c>
      <c r="L229" s="16">
        <f>VLOOKUP(D:D,秒达日报!C:I,7,0)</f>
        <v>1</v>
      </c>
      <c r="M229" s="75">
        <f>VLOOKUP(D:D,美团日报!C:F,4,0)</f>
        <v>0</v>
      </c>
      <c r="N229" s="16">
        <f>VLOOKUP(D:D,美团日报!C:I,7,0)</f>
        <v>0</v>
      </c>
      <c r="O229" s="75">
        <f>VLOOKUP(D:D,饿了么日报!C:F,4,0)</f>
        <v>0</v>
      </c>
      <c r="P229" s="16">
        <f>VLOOKUP(D:D,饿了么日报!C:I,7,0)</f>
        <v>0</v>
      </c>
      <c r="Q229" s="87">
        <f t="shared" si="14"/>
        <v>52.21238938053</v>
      </c>
      <c r="R229" s="88">
        <f t="shared" si="15"/>
        <v>1</v>
      </c>
      <c r="S229" s="89">
        <f t="shared" si="13"/>
        <v>0.00978758544447195</v>
      </c>
      <c r="T229" s="90"/>
      <c r="U229" s="90"/>
    </row>
    <row r="230" ht="14.4" spans="1:21">
      <c r="A230" s="27" t="s">
        <v>13</v>
      </c>
      <c r="B230" s="26" t="s">
        <v>48</v>
      </c>
      <c r="C230" s="26" t="s">
        <v>57</v>
      </c>
      <c r="D230" s="16">
        <v>8732</v>
      </c>
      <c r="E230" s="29" t="s">
        <v>522</v>
      </c>
      <c r="F230" s="16" t="s">
        <v>40</v>
      </c>
      <c r="G230" s="26" t="s">
        <v>41</v>
      </c>
      <c r="H230" s="27"/>
      <c r="I230" s="27"/>
      <c r="J230" s="75">
        <f>VLOOKUP(D230,美团日报!$C:$E,3,0)</f>
        <v>9888.7962</v>
      </c>
      <c r="K230" s="75">
        <f>VLOOKUP(D:D,秒达日报!C:F,4,0)</f>
        <v>0</v>
      </c>
      <c r="L230" s="16">
        <f>VLOOKUP(D:D,秒达日报!C:I,7,0)</f>
        <v>0</v>
      </c>
      <c r="M230" s="75">
        <f>VLOOKUP(D:D,美团日报!C:F,4,0)</f>
        <v>218.14159292034</v>
      </c>
      <c r="N230" s="16">
        <f>VLOOKUP(D:D,美团日报!C:I,7,0)</f>
        <v>5</v>
      </c>
      <c r="O230" s="75">
        <f>VLOOKUP(D:D,饿了么日报!C:F,4,0)</f>
        <v>297.0295526508</v>
      </c>
      <c r="P230" s="16">
        <f>VLOOKUP(D:D,饿了么日报!C:I,7,0)</f>
        <v>8</v>
      </c>
      <c r="Q230" s="87">
        <f t="shared" si="14"/>
        <v>515.17114557114</v>
      </c>
      <c r="R230" s="88">
        <f t="shared" si="15"/>
        <v>13</v>
      </c>
      <c r="S230" s="89">
        <f t="shared" si="13"/>
        <v>0.0520964468426541</v>
      </c>
      <c r="T230" s="90"/>
      <c r="U230" s="90"/>
    </row>
    <row r="231" ht="14.4" spans="1:21">
      <c r="A231" s="27" t="s">
        <v>13</v>
      </c>
      <c r="B231" s="26" t="s">
        <v>56</v>
      </c>
      <c r="C231" s="26" t="s">
        <v>64</v>
      </c>
      <c r="D231" s="16">
        <v>8776</v>
      </c>
      <c r="E231" s="29" t="s">
        <v>523</v>
      </c>
      <c r="F231" s="16" t="s">
        <v>40</v>
      </c>
      <c r="G231" s="26" t="s">
        <v>524</v>
      </c>
      <c r="H231" s="27"/>
      <c r="I231" s="27"/>
      <c r="J231" s="75">
        <f>VLOOKUP(D231,美团日报!$C:$E,3,0)</f>
        <v>533.071</v>
      </c>
      <c r="K231" s="75">
        <f>VLOOKUP(D:D,秒达日报!C:F,4,0)</f>
        <v>0</v>
      </c>
      <c r="L231" s="16">
        <f>VLOOKUP(D:D,秒达日报!C:I,7,0)</f>
        <v>0</v>
      </c>
      <c r="M231" s="75">
        <f>VLOOKUP(D:D,美团日报!C:F,4,0)</f>
        <v>0</v>
      </c>
      <c r="N231" s="16">
        <f>VLOOKUP(D:D,美团日报!C:I,7,0)</f>
        <v>0</v>
      </c>
      <c r="O231" s="75">
        <f>VLOOKUP(D:D,饿了么日报!C:F,4,0)</f>
        <v>0</v>
      </c>
      <c r="P231" s="16">
        <f>VLOOKUP(D:D,饿了么日报!C:I,7,0)</f>
        <v>0</v>
      </c>
      <c r="Q231" s="87">
        <f t="shared" si="14"/>
        <v>0</v>
      </c>
      <c r="R231" s="88">
        <f t="shared" si="15"/>
        <v>0</v>
      </c>
      <c r="S231" s="89">
        <f t="shared" si="13"/>
        <v>0</v>
      </c>
      <c r="T231" s="90"/>
      <c r="U231" s="90"/>
    </row>
    <row r="232" ht="14.4" spans="1:21">
      <c r="A232" s="27" t="s">
        <v>13</v>
      </c>
      <c r="B232" s="26" t="s">
        <v>48</v>
      </c>
      <c r="C232" s="26" t="s">
        <v>301</v>
      </c>
      <c r="D232" s="16">
        <v>8777</v>
      </c>
      <c r="E232" s="29" t="s">
        <v>525</v>
      </c>
      <c r="F232" s="16" t="s">
        <v>46</v>
      </c>
      <c r="G232" s="26" t="s">
        <v>524</v>
      </c>
      <c r="H232" s="27"/>
      <c r="I232" s="27"/>
      <c r="J232" s="75">
        <f>VLOOKUP(D232,美团日报!$C:$E,3,0)</f>
        <v>314.0535</v>
      </c>
      <c r="K232" s="75">
        <f>VLOOKUP(D:D,秒达日报!C:F,4,0)</f>
        <v>0</v>
      </c>
      <c r="L232" s="16">
        <f>VLOOKUP(D:D,秒达日报!C:I,7,0)</f>
        <v>0</v>
      </c>
      <c r="M232" s="75">
        <f>VLOOKUP(D:D,美团日报!C:F,4,0)</f>
        <v>0</v>
      </c>
      <c r="N232" s="16">
        <f>VLOOKUP(D:D,美团日报!C:I,7,0)</f>
        <v>0</v>
      </c>
      <c r="O232" s="75">
        <f>VLOOKUP(D:D,饿了么日报!C:F,4,0)</f>
        <v>0</v>
      </c>
      <c r="P232" s="16">
        <f>VLOOKUP(D:D,饿了么日报!C:I,7,0)</f>
        <v>0</v>
      </c>
      <c r="Q232" s="87">
        <f t="shared" si="14"/>
        <v>0</v>
      </c>
      <c r="R232" s="88">
        <f t="shared" si="15"/>
        <v>0</v>
      </c>
      <c r="S232" s="89">
        <f t="shared" si="13"/>
        <v>0</v>
      </c>
      <c r="T232" s="90"/>
      <c r="U232" s="90"/>
    </row>
    <row r="233" ht="14.4" spans="1:21">
      <c r="A233" s="27" t="s">
        <v>13</v>
      </c>
      <c r="B233" s="26" t="s">
        <v>264</v>
      </c>
      <c r="C233" s="26" t="s">
        <v>401</v>
      </c>
      <c r="D233" s="31">
        <v>8781</v>
      </c>
      <c r="E233" s="30" t="s">
        <v>526</v>
      </c>
      <c r="F233" s="16" t="s">
        <v>46</v>
      </c>
      <c r="G233" s="26" t="s">
        <v>280</v>
      </c>
      <c r="H233" s="27"/>
      <c r="I233" s="27"/>
      <c r="J233" s="75">
        <f>VLOOKUP(D233,美团日报!$C:$E,3,0)</f>
        <v>64906.9152</v>
      </c>
      <c r="K233" s="75">
        <f>VLOOKUP(D:D,秒达日报!C:F,4,0)</f>
        <v>0</v>
      </c>
      <c r="L233" s="16">
        <f>VLOOKUP(D:D,秒达日报!C:I,7,0)</f>
        <v>0</v>
      </c>
      <c r="M233" s="75">
        <f>VLOOKUP(D:D,美团日报!C:F,4,0)</f>
        <v>0</v>
      </c>
      <c r="N233" s="16">
        <f>VLOOKUP(D:D,美团日报!C:I,7,0)</f>
        <v>0</v>
      </c>
      <c r="O233" s="75">
        <f>VLOOKUP(D:D,饿了么日报!C:F,4,0)</f>
        <v>0</v>
      </c>
      <c r="P233" s="16">
        <f>VLOOKUP(D:D,饿了么日报!C:I,7,0)</f>
        <v>0</v>
      </c>
      <c r="Q233" s="87">
        <f t="shared" si="14"/>
        <v>0</v>
      </c>
      <c r="R233" s="88">
        <f t="shared" si="15"/>
        <v>0</v>
      </c>
      <c r="S233" s="89">
        <f t="shared" si="13"/>
        <v>0</v>
      </c>
      <c r="T233" s="90"/>
      <c r="U233" s="90"/>
    </row>
    <row r="234" ht="14.4" spans="1:21">
      <c r="A234" s="27" t="s">
        <v>13</v>
      </c>
      <c r="B234" s="26" t="s">
        <v>264</v>
      </c>
      <c r="C234" s="26" t="s">
        <v>86</v>
      </c>
      <c r="D234" s="31">
        <v>8779</v>
      </c>
      <c r="E234" s="30" t="s">
        <v>527</v>
      </c>
      <c r="F234" s="16" t="s">
        <v>40</v>
      </c>
      <c r="G234" s="26" t="s">
        <v>41</v>
      </c>
      <c r="H234" s="27"/>
      <c r="I234" s="27"/>
      <c r="J234" s="75">
        <f>VLOOKUP(D234,美团日报!$C:$E,3,0)</f>
        <v>2895.3975</v>
      </c>
      <c r="K234" s="75">
        <f>VLOOKUP(D:D,秒达日报!C:F,4,0)</f>
        <v>0</v>
      </c>
      <c r="L234" s="16">
        <f>VLOOKUP(D:D,秒达日报!C:I,7,0)</f>
        <v>0</v>
      </c>
      <c r="M234" s="75">
        <f>VLOOKUP(D:D,美团日报!C:F,4,0)</f>
        <v>0</v>
      </c>
      <c r="N234" s="16">
        <f>VLOOKUP(D:D,美团日报!C:I,7,0)</f>
        <v>0</v>
      </c>
      <c r="O234" s="75">
        <f>VLOOKUP(D:D,饿了么日报!C:F,4,0)</f>
        <v>0</v>
      </c>
      <c r="P234" s="16">
        <f>VLOOKUP(D:D,饿了么日报!C:I,7,0)</f>
        <v>0</v>
      </c>
      <c r="Q234" s="87">
        <f t="shared" si="14"/>
        <v>0</v>
      </c>
      <c r="R234" s="88">
        <f t="shared" si="15"/>
        <v>0</v>
      </c>
      <c r="S234" s="89">
        <f t="shared" si="13"/>
        <v>0</v>
      </c>
      <c r="T234" s="90"/>
      <c r="U234" s="90"/>
    </row>
    <row r="235" ht="14.4" spans="1:21">
      <c r="A235" s="27" t="s">
        <v>13</v>
      </c>
      <c r="B235" s="26" t="s">
        <v>63</v>
      </c>
      <c r="C235" s="26" t="s">
        <v>168</v>
      </c>
      <c r="D235" s="31">
        <v>8792</v>
      </c>
      <c r="E235" s="30" t="s">
        <v>528</v>
      </c>
      <c r="F235" s="16" t="s">
        <v>40</v>
      </c>
      <c r="G235" s="26" t="s">
        <v>54</v>
      </c>
      <c r="H235" s="27"/>
      <c r="I235" s="27"/>
      <c r="J235" s="75">
        <f>VLOOKUP(D235,美团日报!$C:$E,3,0)</f>
        <v>8377.1846</v>
      </c>
      <c r="K235" s="75">
        <f>VLOOKUP(D:D,秒达日报!C:F,4,0)</f>
        <v>0</v>
      </c>
      <c r="L235" s="16">
        <f>VLOOKUP(D:D,秒达日报!C:I,7,0)</f>
        <v>0</v>
      </c>
      <c r="M235" s="75">
        <f>VLOOKUP(D:D,美团日报!C:F,4,0)</f>
        <v>0</v>
      </c>
      <c r="N235" s="16">
        <f>VLOOKUP(D:D,美团日报!C:I,7,0)</f>
        <v>0</v>
      </c>
      <c r="O235" s="75">
        <f>VLOOKUP(D:D,饿了么日报!C:F,4,0)</f>
        <v>0</v>
      </c>
      <c r="P235" s="16">
        <f>VLOOKUP(D:D,饿了么日报!C:I,7,0)</f>
        <v>0</v>
      </c>
      <c r="Q235" s="87">
        <f t="shared" si="14"/>
        <v>0</v>
      </c>
      <c r="R235" s="88">
        <f t="shared" si="15"/>
        <v>0</v>
      </c>
      <c r="S235" s="89">
        <f t="shared" si="13"/>
        <v>0</v>
      </c>
      <c r="T235" s="90"/>
      <c r="U235" s="90"/>
    </row>
    <row r="236" ht="14.4" spans="1:21">
      <c r="A236" s="27" t="s">
        <v>13</v>
      </c>
      <c r="B236" s="26" t="s">
        <v>63</v>
      </c>
      <c r="C236" s="26" t="s">
        <v>168</v>
      </c>
      <c r="D236" s="31">
        <v>8774</v>
      </c>
      <c r="E236" s="30" t="s">
        <v>529</v>
      </c>
      <c r="F236" s="16" t="s">
        <v>530</v>
      </c>
      <c r="G236" s="26">
        <v>0</v>
      </c>
      <c r="H236" s="27"/>
      <c r="I236" s="27"/>
      <c r="J236" s="75">
        <f>VLOOKUP(D236,美团日报!$C:$E,3,0)</f>
        <v>3246.8189</v>
      </c>
      <c r="K236" s="75">
        <f>VLOOKUP(D:D,秒达日报!C:F,4,0)</f>
        <v>0</v>
      </c>
      <c r="L236" s="16">
        <f>VLOOKUP(D:D,秒达日报!C:I,7,0)</f>
        <v>0</v>
      </c>
      <c r="M236" s="75">
        <f>VLOOKUP(D:D,美团日报!C:F,4,0)</f>
        <v>0</v>
      </c>
      <c r="N236" s="16">
        <f>VLOOKUP(D:D,美团日报!C:I,7,0)</f>
        <v>0</v>
      </c>
      <c r="O236" s="75">
        <f>VLOOKUP(D:D,饿了么日报!C:F,4,0)</f>
        <v>0</v>
      </c>
      <c r="P236" s="16">
        <f>VLOOKUP(D:D,饿了么日报!C:I,7,0)</f>
        <v>0</v>
      </c>
      <c r="Q236" s="87">
        <f t="shared" si="14"/>
        <v>0</v>
      </c>
      <c r="R236" s="88">
        <f t="shared" si="15"/>
        <v>0</v>
      </c>
      <c r="S236" s="89">
        <f t="shared" si="13"/>
        <v>0</v>
      </c>
      <c r="T236" s="90"/>
      <c r="U236" s="90"/>
    </row>
    <row r="237" ht="14.4" spans="1:21">
      <c r="A237" s="27" t="s">
        <v>13</v>
      </c>
      <c r="B237" s="26" t="s">
        <v>63</v>
      </c>
      <c r="C237" s="26" t="s">
        <v>350</v>
      </c>
      <c r="D237" s="31">
        <v>8770</v>
      </c>
      <c r="E237" s="30" t="s">
        <v>531</v>
      </c>
      <c r="F237" s="16" t="s">
        <v>46</v>
      </c>
      <c r="G237" s="26" t="s">
        <v>280</v>
      </c>
      <c r="H237" s="27"/>
      <c r="I237" s="27"/>
      <c r="J237" s="75">
        <f>VLOOKUP(D237,美团日报!$C:$E,3,0)</f>
        <v>0</v>
      </c>
      <c r="K237" s="75">
        <f>VLOOKUP(D:D,秒达日报!C:F,4,0)</f>
        <v>0</v>
      </c>
      <c r="L237" s="16">
        <f>VLOOKUP(D:D,秒达日报!C:I,7,0)</f>
        <v>0</v>
      </c>
      <c r="M237" s="75">
        <f>VLOOKUP(D:D,美团日报!C:F,4,0)</f>
        <v>0</v>
      </c>
      <c r="N237" s="16">
        <f>VLOOKUP(D:D,美团日报!C:I,7,0)</f>
        <v>0</v>
      </c>
      <c r="O237" s="75">
        <f>VLOOKUP(D:D,饿了么日报!C:F,4,0)</f>
        <v>0</v>
      </c>
      <c r="P237" s="16">
        <f>VLOOKUP(D:D,饿了么日报!C:I,7,0)</f>
        <v>0</v>
      </c>
      <c r="Q237" s="87">
        <f t="shared" si="14"/>
        <v>0</v>
      </c>
      <c r="R237" s="88">
        <f t="shared" si="15"/>
        <v>0</v>
      </c>
      <c r="S237" s="89" t="e">
        <f t="shared" si="13"/>
        <v>#DIV/0!</v>
      </c>
      <c r="T237" s="90"/>
      <c r="U237" s="90"/>
    </row>
    <row r="238" ht="14.4" spans="1:21">
      <c r="A238" s="27" t="s">
        <v>13</v>
      </c>
      <c r="B238" s="26" t="s">
        <v>264</v>
      </c>
      <c r="C238" s="26" t="s">
        <v>350</v>
      </c>
      <c r="D238" s="31">
        <v>8769</v>
      </c>
      <c r="E238" s="30" t="s">
        <v>532</v>
      </c>
      <c r="F238" s="16" t="s">
        <v>46</v>
      </c>
      <c r="G238" s="26" t="s">
        <v>280</v>
      </c>
      <c r="H238" s="27"/>
      <c r="I238" s="27"/>
      <c r="J238" s="75">
        <f>VLOOKUP(D238,美团日报!$C:$E,3,0)</f>
        <v>0</v>
      </c>
      <c r="K238" s="75">
        <f>VLOOKUP(D:D,秒达日报!C:F,4,0)</f>
        <v>0</v>
      </c>
      <c r="L238" s="16">
        <f>VLOOKUP(D:D,秒达日报!C:I,7,0)</f>
        <v>0</v>
      </c>
      <c r="M238" s="75">
        <f>VLOOKUP(D:D,美团日报!C:F,4,0)</f>
        <v>0</v>
      </c>
      <c r="N238" s="16">
        <f>VLOOKUP(D:D,美团日报!C:I,7,0)</f>
        <v>0</v>
      </c>
      <c r="O238" s="75">
        <f>VLOOKUP(D:D,饿了么日报!C:F,4,0)</f>
        <v>0</v>
      </c>
      <c r="P238" s="16">
        <f>VLOOKUP(D:D,饿了么日报!C:I,7,0)</f>
        <v>0</v>
      </c>
      <c r="Q238" s="87">
        <f t="shared" si="14"/>
        <v>0</v>
      </c>
      <c r="R238" s="88">
        <f t="shared" si="15"/>
        <v>0</v>
      </c>
      <c r="S238" s="89" t="e">
        <f t="shared" si="13"/>
        <v>#DIV/0!</v>
      </c>
      <c r="T238" s="90"/>
      <c r="U238" s="90"/>
    </row>
    <row r="239" ht="14.4" spans="1:21">
      <c r="A239" s="27" t="s">
        <v>13</v>
      </c>
      <c r="B239" s="26" t="s">
        <v>264</v>
      </c>
      <c r="C239" s="26" t="s">
        <v>83</v>
      </c>
      <c r="D239" s="31">
        <v>8775</v>
      </c>
      <c r="E239" s="30" t="s">
        <v>533</v>
      </c>
      <c r="F239" s="16" t="s">
        <v>530</v>
      </c>
      <c r="G239" s="26">
        <v>0</v>
      </c>
      <c r="H239" s="27"/>
      <c r="I239" s="27"/>
      <c r="J239" s="75">
        <f>VLOOKUP(D239,美团日报!$C:$E,3,0)</f>
        <v>0</v>
      </c>
      <c r="K239" s="75">
        <f>VLOOKUP(D:D,秒达日报!C:F,4,0)</f>
        <v>0</v>
      </c>
      <c r="L239" s="16">
        <f>VLOOKUP(D:D,秒达日报!C:I,7,0)</f>
        <v>0</v>
      </c>
      <c r="M239" s="75">
        <f>VLOOKUP(D:D,美团日报!C:F,4,0)</f>
        <v>0</v>
      </c>
      <c r="N239" s="16">
        <f>VLOOKUP(D:D,美团日报!C:I,7,0)</f>
        <v>0</v>
      </c>
      <c r="O239" s="75">
        <f>VLOOKUP(D:D,饿了么日报!C:F,4,0)</f>
        <v>0</v>
      </c>
      <c r="P239" s="16">
        <f>VLOOKUP(D:D,饿了么日报!C:I,7,0)</f>
        <v>0</v>
      </c>
      <c r="Q239" s="87">
        <f t="shared" si="14"/>
        <v>0</v>
      </c>
      <c r="R239" s="88">
        <f t="shared" si="15"/>
        <v>0</v>
      </c>
      <c r="S239" s="89" t="e">
        <f t="shared" si="13"/>
        <v>#DIV/0!</v>
      </c>
      <c r="T239" s="90"/>
      <c r="U239" s="90"/>
    </row>
    <row r="240" ht="14.4" spans="1:21">
      <c r="A240" s="27" t="s">
        <v>13</v>
      </c>
      <c r="B240" s="26" t="s">
        <v>48</v>
      </c>
      <c r="C240" s="26" t="s">
        <v>264</v>
      </c>
      <c r="D240" s="33">
        <v>8789</v>
      </c>
      <c r="E240" s="32" t="s">
        <v>534</v>
      </c>
      <c r="F240" s="16" t="s">
        <v>530</v>
      </c>
      <c r="G240" s="26" t="s">
        <v>535</v>
      </c>
      <c r="H240" s="27"/>
      <c r="I240" s="27"/>
      <c r="J240" s="75">
        <f>VLOOKUP(D240,美团日报!$C:$E,3,0)</f>
        <v>4155.7465</v>
      </c>
      <c r="K240" s="75">
        <f>VLOOKUP(D:D,秒达日报!C:F,4,0)</f>
        <v>0</v>
      </c>
      <c r="L240" s="16">
        <f>VLOOKUP(D:D,秒达日报!C:I,7,0)</f>
        <v>0</v>
      </c>
      <c r="M240" s="75">
        <f>VLOOKUP(D:D,美团日报!C:F,4,0)</f>
        <v>0</v>
      </c>
      <c r="N240" s="16">
        <f>VLOOKUP(D:D,美团日报!C:I,7,0)</f>
        <v>0</v>
      </c>
      <c r="O240" s="75">
        <f>VLOOKUP(D:D,饿了么日报!C:F,4,0)</f>
        <v>0</v>
      </c>
      <c r="P240" s="16">
        <f>VLOOKUP(D:D,饿了么日报!C:I,7,0)</f>
        <v>0</v>
      </c>
      <c r="Q240" s="87">
        <f t="shared" si="14"/>
        <v>0</v>
      </c>
      <c r="R240" s="88">
        <f t="shared" si="15"/>
        <v>0</v>
      </c>
      <c r="S240" s="89">
        <f t="shared" si="13"/>
        <v>0</v>
      </c>
      <c r="T240" s="90"/>
      <c r="U240" s="90"/>
    </row>
    <row r="241" ht="14.4" spans="1:21">
      <c r="A241" s="27" t="s">
        <v>13</v>
      </c>
      <c r="B241" s="26" t="s">
        <v>264</v>
      </c>
      <c r="C241" s="26" t="s">
        <v>161</v>
      </c>
      <c r="D241" s="33">
        <v>8798</v>
      </c>
      <c r="E241" s="32" t="s">
        <v>536</v>
      </c>
      <c r="F241" s="16" t="s">
        <v>530</v>
      </c>
      <c r="G241" s="26" t="s">
        <v>537</v>
      </c>
      <c r="H241" s="27"/>
      <c r="I241" s="27"/>
      <c r="J241" s="75">
        <f>VLOOKUP(D241,美团日报!$C:$E,3,0)</f>
        <v>4611.6069</v>
      </c>
      <c r="K241" s="75">
        <f>VLOOKUP(D:D,秒达日报!C:F,4,0)</f>
        <v>0</v>
      </c>
      <c r="L241" s="16">
        <f>VLOOKUP(D:D,秒达日报!C:I,7,0)</f>
        <v>0</v>
      </c>
      <c r="M241" s="75">
        <f>VLOOKUP(D:D,美团日报!C:F,4,0)</f>
        <v>0</v>
      </c>
      <c r="N241" s="16">
        <f>VLOOKUP(D:D,美团日报!C:I,7,0)</f>
        <v>0</v>
      </c>
      <c r="O241" s="75">
        <f>VLOOKUP(D:D,饿了么日报!C:F,4,0)</f>
        <v>0</v>
      </c>
      <c r="P241" s="16">
        <f>VLOOKUP(D:D,饿了么日报!C:I,7,0)</f>
        <v>0</v>
      </c>
      <c r="Q241" s="87">
        <f t="shared" si="14"/>
        <v>0</v>
      </c>
      <c r="R241" s="88">
        <f t="shared" si="15"/>
        <v>0</v>
      </c>
      <c r="S241" s="89">
        <f t="shared" si="13"/>
        <v>0</v>
      </c>
      <c r="T241" s="90"/>
      <c r="U241" s="90"/>
    </row>
    <row r="242" ht="14.4" spans="1:21">
      <c r="A242" s="27" t="s">
        <v>13</v>
      </c>
      <c r="B242" s="26" t="s">
        <v>43</v>
      </c>
      <c r="C242" s="26" t="s">
        <v>161</v>
      </c>
      <c r="D242" s="33">
        <v>8800</v>
      </c>
      <c r="E242" s="32" t="s">
        <v>538</v>
      </c>
      <c r="F242" s="16" t="s">
        <v>530</v>
      </c>
      <c r="G242" s="26" t="s">
        <v>537</v>
      </c>
      <c r="H242" s="27"/>
      <c r="I242" s="27"/>
      <c r="J242" s="75">
        <f>VLOOKUP(D242,美团日报!$C:$E,3,0)</f>
        <v>4055.4092</v>
      </c>
      <c r="K242" s="75">
        <f>VLOOKUP(D:D,秒达日报!C:F,4,0)</f>
        <v>0</v>
      </c>
      <c r="L242" s="16">
        <f>VLOOKUP(D:D,秒达日报!C:I,7,0)</f>
        <v>0</v>
      </c>
      <c r="M242" s="75">
        <f>VLOOKUP(D:D,美团日报!C:F,4,0)</f>
        <v>0</v>
      </c>
      <c r="N242" s="16">
        <f>VLOOKUP(D:D,美团日报!C:I,7,0)</f>
        <v>0</v>
      </c>
      <c r="O242" s="75">
        <f>VLOOKUP(D:D,饿了么日报!C:F,4,0)</f>
        <v>0</v>
      </c>
      <c r="P242" s="16">
        <f>VLOOKUP(D:D,饿了么日报!C:I,7,0)</f>
        <v>0</v>
      </c>
      <c r="Q242" s="87">
        <f t="shared" si="14"/>
        <v>0</v>
      </c>
      <c r="R242" s="88">
        <f t="shared" si="15"/>
        <v>0</v>
      </c>
      <c r="S242" s="89">
        <f t="shared" si="13"/>
        <v>0</v>
      </c>
      <c r="T242" s="90"/>
      <c r="U242" s="90"/>
    </row>
    <row r="243" ht="14.4" spans="1:21">
      <c r="A243" s="27" t="s">
        <v>13</v>
      </c>
      <c r="B243" s="26" t="s">
        <v>43</v>
      </c>
      <c r="C243" s="26">
        <v>0</v>
      </c>
      <c r="D243" s="33">
        <v>8790</v>
      </c>
      <c r="E243" s="32" t="s">
        <v>539</v>
      </c>
      <c r="F243" s="16" t="s">
        <v>530</v>
      </c>
      <c r="G243" s="26">
        <v>0</v>
      </c>
      <c r="H243" s="27"/>
      <c r="I243" s="27"/>
      <c r="J243" s="75">
        <f>VLOOKUP(D243,美团日报!$C:$E,3,0)</f>
        <v>2548.7954</v>
      </c>
      <c r="K243" s="75">
        <f>VLOOKUP(D:D,秒达日报!C:F,4,0)</f>
        <v>0</v>
      </c>
      <c r="L243" s="16">
        <f>VLOOKUP(D:D,秒达日报!C:I,7,0)</f>
        <v>0</v>
      </c>
      <c r="M243" s="75">
        <f>VLOOKUP(D:D,美团日报!C:F,4,0)</f>
        <v>0</v>
      </c>
      <c r="N243" s="16">
        <f>VLOOKUP(D:D,美团日报!C:I,7,0)</f>
        <v>0</v>
      </c>
      <c r="O243" s="75">
        <f>VLOOKUP(D:D,饿了么日报!C:F,4,0)</f>
        <v>0</v>
      </c>
      <c r="P243" s="16">
        <f>VLOOKUP(D:D,饿了么日报!C:I,7,0)</f>
        <v>0</v>
      </c>
      <c r="Q243" s="87">
        <f t="shared" si="14"/>
        <v>0</v>
      </c>
      <c r="R243" s="88">
        <f t="shared" si="15"/>
        <v>0</v>
      </c>
      <c r="S243" s="89">
        <f t="shared" si="13"/>
        <v>0</v>
      </c>
      <c r="T243" s="90"/>
      <c r="U243" s="90"/>
    </row>
    <row r="244" ht="14.4" spans="1:21">
      <c r="A244" s="27" t="s">
        <v>13</v>
      </c>
      <c r="B244" s="26">
        <v>0</v>
      </c>
      <c r="C244" s="26" t="s">
        <v>49</v>
      </c>
      <c r="D244" s="33">
        <v>8796</v>
      </c>
      <c r="E244" s="32" t="s">
        <v>540</v>
      </c>
      <c r="F244" s="16" t="s">
        <v>530</v>
      </c>
      <c r="G244" s="26" t="s">
        <v>537</v>
      </c>
      <c r="H244" s="27"/>
      <c r="I244" s="27"/>
      <c r="J244" s="75">
        <f>VLOOKUP(D244,美团日报!$C:$E,3,0)</f>
        <v>1029.4834</v>
      </c>
      <c r="K244" s="75">
        <f>VLOOKUP(D:D,秒达日报!C:F,4,0)</f>
        <v>0</v>
      </c>
      <c r="L244" s="16">
        <f>VLOOKUP(D:D,秒达日报!C:I,7,0)</f>
        <v>0</v>
      </c>
      <c r="M244" s="75">
        <f>VLOOKUP(D:D,美团日报!C:F,4,0)</f>
        <v>0</v>
      </c>
      <c r="N244" s="16">
        <f>VLOOKUP(D:D,美团日报!C:I,7,0)</f>
        <v>0</v>
      </c>
      <c r="O244" s="75">
        <f>VLOOKUP(D:D,饿了么日报!C:F,4,0)</f>
        <v>0</v>
      </c>
      <c r="P244" s="16">
        <f>VLOOKUP(D:D,饿了么日报!C:I,7,0)</f>
        <v>0</v>
      </c>
      <c r="Q244" s="87">
        <f t="shared" si="14"/>
        <v>0</v>
      </c>
      <c r="R244" s="88">
        <f t="shared" si="15"/>
        <v>0</v>
      </c>
      <c r="S244" s="89">
        <f t="shared" si="13"/>
        <v>0</v>
      </c>
      <c r="T244" s="90"/>
      <c r="U244" s="90"/>
    </row>
    <row r="245" ht="14.4" spans="1:21">
      <c r="A245" s="27" t="s">
        <v>13</v>
      </c>
      <c r="B245" s="26" t="s">
        <v>48</v>
      </c>
      <c r="C245" s="26" t="s">
        <v>89</v>
      </c>
      <c r="D245" s="33">
        <v>8803</v>
      </c>
      <c r="E245" s="32" t="s">
        <v>541</v>
      </c>
      <c r="F245" s="16" t="s">
        <v>530</v>
      </c>
      <c r="G245" s="26" t="s">
        <v>537</v>
      </c>
      <c r="H245" s="27"/>
      <c r="I245" s="27"/>
      <c r="J245" s="75">
        <f>VLOOKUP(D245,美团日报!$C:$E,3,0)</f>
        <v>1940.8555</v>
      </c>
      <c r="K245" s="75">
        <f>VLOOKUP(D:D,秒达日报!C:F,4,0)</f>
        <v>0</v>
      </c>
      <c r="L245" s="16">
        <f>VLOOKUP(D:D,秒达日报!C:I,7,0)</f>
        <v>0</v>
      </c>
      <c r="M245" s="75">
        <f>VLOOKUP(D:D,美团日报!C:F,4,0)</f>
        <v>0</v>
      </c>
      <c r="N245" s="16">
        <f>VLOOKUP(D:D,美团日报!C:I,7,0)</f>
        <v>0</v>
      </c>
      <c r="O245" s="75">
        <f>VLOOKUP(D:D,饿了么日报!C:F,4,0)</f>
        <v>0</v>
      </c>
      <c r="P245" s="16">
        <f>VLOOKUP(D:D,饿了么日报!C:I,7,0)</f>
        <v>0</v>
      </c>
      <c r="Q245" s="87">
        <f t="shared" si="14"/>
        <v>0</v>
      </c>
      <c r="R245" s="88">
        <f t="shared" si="15"/>
        <v>0</v>
      </c>
      <c r="S245" s="89">
        <f t="shared" si="13"/>
        <v>0</v>
      </c>
      <c r="T245" s="90"/>
      <c r="U245" s="90"/>
    </row>
    <row r="246" ht="14.4" spans="1:21">
      <c r="A246" s="27" t="s">
        <v>13</v>
      </c>
      <c r="B246" s="26" t="s">
        <v>48</v>
      </c>
      <c r="C246" s="26" t="s">
        <v>401</v>
      </c>
      <c r="D246" s="33">
        <v>8810</v>
      </c>
      <c r="E246" s="32" t="s">
        <v>542</v>
      </c>
      <c r="F246" s="16" t="s">
        <v>530</v>
      </c>
      <c r="G246" s="26" t="s">
        <v>280</v>
      </c>
      <c r="H246" s="27"/>
      <c r="I246" s="27"/>
      <c r="J246" s="75">
        <f>VLOOKUP(D246,美团日报!$C:$E,3,0)</f>
        <v>23884.7035</v>
      </c>
      <c r="K246" s="75">
        <f>VLOOKUP(D:D,秒达日报!C:F,4,0)</f>
        <v>0</v>
      </c>
      <c r="L246" s="16">
        <f>VLOOKUP(D:D,秒达日报!C:I,7,0)</f>
        <v>0</v>
      </c>
      <c r="M246" s="75">
        <f>VLOOKUP(D:D,美团日报!C:F,4,0)</f>
        <v>0</v>
      </c>
      <c r="N246" s="16">
        <f>VLOOKUP(D:D,美团日报!C:I,7,0)</f>
        <v>0</v>
      </c>
      <c r="O246" s="75">
        <f>VLOOKUP(D:D,饿了么日报!C:F,4,0)</f>
        <v>0</v>
      </c>
      <c r="P246" s="16">
        <f>VLOOKUP(D:D,饿了么日报!C:I,7,0)</f>
        <v>0</v>
      </c>
      <c r="Q246" s="87">
        <f t="shared" si="14"/>
        <v>0</v>
      </c>
      <c r="R246" s="88">
        <f t="shared" si="15"/>
        <v>0</v>
      </c>
      <c r="S246" s="89">
        <f t="shared" si="13"/>
        <v>0</v>
      </c>
      <c r="T246" s="90"/>
      <c r="U246" s="90"/>
    </row>
    <row r="247" ht="14.4" spans="1:21">
      <c r="A247" s="27" t="s">
        <v>13</v>
      </c>
      <c r="B247" s="26" t="s">
        <v>264</v>
      </c>
      <c r="C247" s="26" t="s">
        <v>111</v>
      </c>
      <c r="D247" s="33">
        <v>8801</v>
      </c>
      <c r="E247" s="32" t="s">
        <v>543</v>
      </c>
      <c r="F247" s="16" t="s">
        <v>530</v>
      </c>
      <c r="G247" s="26" t="s">
        <v>537</v>
      </c>
      <c r="H247" s="27"/>
      <c r="I247" s="27"/>
      <c r="J247" s="75">
        <f>VLOOKUP(D247,美团日报!$C:$E,3,0)</f>
        <v>806.8885</v>
      </c>
      <c r="K247" s="75">
        <f>VLOOKUP(D:D,秒达日报!C:F,4,0)</f>
        <v>0</v>
      </c>
      <c r="L247" s="16">
        <f>VLOOKUP(D:D,秒达日报!C:I,7,0)</f>
        <v>0</v>
      </c>
      <c r="M247" s="75">
        <f>VLOOKUP(D:D,美团日报!C:F,4,0)</f>
        <v>0</v>
      </c>
      <c r="N247" s="16">
        <f>VLOOKUP(D:D,美团日报!C:I,7,0)</f>
        <v>0</v>
      </c>
      <c r="O247" s="75">
        <f>VLOOKUP(D:D,饿了么日报!C:F,4,0)</f>
        <v>0</v>
      </c>
      <c r="P247" s="16">
        <f>VLOOKUP(D:D,饿了么日报!C:I,7,0)</f>
        <v>0</v>
      </c>
      <c r="Q247" s="87">
        <f t="shared" si="14"/>
        <v>0</v>
      </c>
      <c r="R247" s="88">
        <f t="shared" si="15"/>
        <v>0</v>
      </c>
      <c r="S247" s="89">
        <f t="shared" si="13"/>
        <v>0</v>
      </c>
      <c r="T247" s="90"/>
      <c r="U247" s="90"/>
    </row>
    <row r="248" ht="14.4" spans="1:21">
      <c r="A248" s="27" t="s">
        <v>13</v>
      </c>
      <c r="B248" s="26" t="s">
        <v>48</v>
      </c>
      <c r="C248" s="26" t="s">
        <v>152</v>
      </c>
      <c r="D248" s="33">
        <v>8797</v>
      </c>
      <c r="E248" s="32" t="s">
        <v>544</v>
      </c>
      <c r="F248" s="16" t="s">
        <v>530</v>
      </c>
      <c r="G248" s="26" t="s">
        <v>537</v>
      </c>
      <c r="H248" s="27"/>
      <c r="I248" s="27"/>
      <c r="J248" s="75">
        <f>VLOOKUP(D248,美团日报!$C:$E,3,0)</f>
        <v>840.3365</v>
      </c>
      <c r="K248" s="75">
        <f>VLOOKUP(D:D,秒达日报!C:F,4,0)</f>
        <v>0</v>
      </c>
      <c r="L248" s="16">
        <f>VLOOKUP(D:D,秒达日报!C:I,7,0)</f>
        <v>0</v>
      </c>
      <c r="M248" s="75">
        <f>VLOOKUP(D:D,美团日报!C:F,4,0)</f>
        <v>0</v>
      </c>
      <c r="N248" s="16">
        <f>VLOOKUP(D:D,美团日报!C:I,7,0)</f>
        <v>0</v>
      </c>
      <c r="O248" s="75">
        <f>VLOOKUP(D:D,饿了么日报!C:F,4,0)</f>
        <v>0</v>
      </c>
      <c r="P248" s="16">
        <f>VLOOKUP(D:D,饿了么日报!C:I,7,0)</f>
        <v>0</v>
      </c>
      <c r="Q248" s="87">
        <f t="shared" si="14"/>
        <v>0</v>
      </c>
      <c r="R248" s="88">
        <f t="shared" si="15"/>
        <v>0</v>
      </c>
      <c r="S248" s="89">
        <f t="shared" si="13"/>
        <v>0</v>
      </c>
      <c r="T248" s="90"/>
      <c r="U248" s="90"/>
    </row>
    <row r="249" ht="14.4" spans="1:21">
      <c r="A249" s="27" t="s">
        <v>13</v>
      </c>
      <c r="B249" s="26" t="s">
        <v>63</v>
      </c>
      <c r="C249" s="26" t="s">
        <v>38</v>
      </c>
      <c r="D249" s="33">
        <v>8806</v>
      </c>
      <c r="E249" s="32" t="s">
        <v>545</v>
      </c>
      <c r="F249" s="16" t="s">
        <v>530</v>
      </c>
      <c r="G249" s="26" t="s">
        <v>537</v>
      </c>
      <c r="H249" s="27"/>
      <c r="I249" s="27"/>
      <c r="J249" s="75">
        <f>VLOOKUP(D249,美团日报!$C:$E,3,0)</f>
        <v>969.9726</v>
      </c>
      <c r="K249" s="75">
        <f>VLOOKUP(D:D,秒达日报!C:F,4,0)</f>
        <v>0</v>
      </c>
      <c r="L249" s="16">
        <f>VLOOKUP(D:D,秒达日报!C:I,7,0)</f>
        <v>0</v>
      </c>
      <c r="M249" s="75">
        <f>VLOOKUP(D:D,美团日报!C:F,4,0)</f>
        <v>0</v>
      </c>
      <c r="N249" s="16">
        <f>VLOOKUP(D:D,美团日报!C:I,7,0)</f>
        <v>0</v>
      </c>
      <c r="O249" s="75">
        <f>VLOOKUP(D:D,饿了么日报!C:F,4,0)</f>
        <v>0</v>
      </c>
      <c r="P249" s="16">
        <f>VLOOKUP(D:D,饿了么日报!C:I,7,0)</f>
        <v>0</v>
      </c>
      <c r="Q249" s="87">
        <f t="shared" si="14"/>
        <v>0</v>
      </c>
      <c r="R249" s="88">
        <f t="shared" si="15"/>
        <v>0</v>
      </c>
      <c r="S249" s="89">
        <f t="shared" si="13"/>
        <v>0</v>
      </c>
      <c r="T249" s="90"/>
      <c r="U249" s="90"/>
    </row>
    <row r="250" ht="14.4" spans="1:21">
      <c r="A250" s="27" t="s">
        <v>13</v>
      </c>
      <c r="B250" s="26" t="s">
        <v>43</v>
      </c>
      <c r="C250" s="26" t="s">
        <v>64</v>
      </c>
      <c r="D250" s="33">
        <v>8802</v>
      </c>
      <c r="E250" s="32" t="s">
        <v>546</v>
      </c>
      <c r="F250" s="16" t="s">
        <v>530</v>
      </c>
      <c r="G250" s="26" t="s">
        <v>537</v>
      </c>
      <c r="H250" s="27"/>
      <c r="I250" s="27"/>
      <c r="J250" s="75">
        <f>VLOOKUP(D250,美团日报!$C:$E,3,0)</f>
        <v>1137.8884</v>
      </c>
      <c r="K250" s="75">
        <f>VLOOKUP(D:D,秒达日报!C:F,4,0)</f>
        <v>0</v>
      </c>
      <c r="L250" s="16">
        <f>VLOOKUP(D:D,秒达日报!C:I,7,0)</f>
        <v>0</v>
      </c>
      <c r="M250" s="75">
        <f>VLOOKUP(D:D,美团日报!C:F,4,0)</f>
        <v>0</v>
      </c>
      <c r="N250" s="16">
        <f>VLOOKUP(D:D,美团日报!C:I,7,0)</f>
        <v>0</v>
      </c>
      <c r="O250" s="75">
        <f>VLOOKUP(D:D,饿了么日报!C:F,4,0)</f>
        <v>0</v>
      </c>
      <c r="P250" s="16">
        <f>VLOOKUP(D:D,饿了么日报!C:I,7,0)</f>
        <v>0</v>
      </c>
      <c r="Q250" s="87">
        <f t="shared" si="14"/>
        <v>0</v>
      </c>
      <c r="R250" s="88">
        <f t="shared" si="15"/>
        <v>0</v>
      </c>
      <c r="S250" s="89">
        <f t="shared" si="13"/>
        <v>0</v>
      </c>
      <c r="T250" s="90"/>
      <c r="U250" s="90"/>
    </row>
    <row r="251" ht="14.4" spans="1:21">
      <c r="A251" s="27" t="s">
        <v>13</v>
      </c>
      <c r="B251" s="26" t="s">
        <v>48</v>
      </c>
      <c r="C251" s="26" t="s">
        <v>370</v>
      </c>
      <c r="D251" s="33">
        <v>8799</v>
      </c>
      <c r="E251" s="32" t="s">
        <v>547</v>
      </c>
      <c r="F251" s="16" t="s">
        <v>530</v>
      </c>
      <c r="G251" s="26" t="s">
        <v>537</v>
      </c>
      <c r="H251" s="27"/>
      <c r="I251" s="27"/>
      <c r="J251" s="75">
        <f>VLOOKUP(D251,美团日报!$C:$E,3,0)</f>
        <v>3447.4034</v>
      </c>
      <c r="K251" s="75">
        <f>VLOOKUP(D:D,秒达日报!C:F,4,0)</f>
        <v>0</v>
      </c>
      <c r="L251" s="16">
        <f>VLOOKUP(D:D,秒达日报!C:I,7,0)</f>
        <v>0</v>
      </c>
      <c r="M251" s="75">
        <f>VLOOKUP(D:D,美团日报!C:F,4,0)</f>
        <v>0</v>
      </c>
      <c r="N251" s="16">
        <f>VLOOKUP(D:D,美团日报!C:I,7,0)</f>
        <v>0</v>
      </c>
      <c r="O251" s="75">
        <f>VLOOKUP(D:D,饿了么日报!C:F,4,0)</f>
        <v>0</v>
      </c>
      <c r="P251" s="16">
        <f>VLOOKUP(D:D,饿了么日报!C:I,7,0)</f>
        <v>0</v>
      </c>
      <c r="Q251" s="87">
        <f t="shared" si="14"/>
        <v>0</v>
      </c>
      <c r="R251" s="88">
        <f t="shared" si="15"/>
        <v>0</v>
      </c>
      <c r="S251" s="89">
        <f t="shared" si="13"/>
        <v>0</v>
      </c>
      <c r="T251" s="90"/>
      <c r="U251" s="90"/>
    </row>
    <row r="252" ht="14.4" spans="1:21">
      <c r="A252" s="27" t="s">
        <v>13</v>
      </c>
      <c r="B252" s="26" t="s">
        <v>264</v>
      </c>
      <c r="C252" s="26" t="s">
        <v>73</v>
      </c>
      <c r="D252" s="33">
        <v>8805</v>
      </c>
      <c r="E252" s="32" t="s">
        <v>548</v>
      </c>
      <c r="F252" s="16" t="s">
        <v>530</v>
      </c>
      <c r="G252" s="26" t="s">
        <v>537</v>
      </c>
      <c r="H252" s="27"/>
      <c r="I252" s="27"/>
      <c r="J252" s="75">
        <f>VLOOKUP(D252,美团日报!$C:$E,3,0)</f>
        <v>1336.0695</v>
      </c>
      <c r="K252" s="75">
        <f>VLOOKUP(D:D,秒达日报!C:F,4,0)</f>
        <v>0</v>
      </c>
      <c r="L252" s="16">
        <f>VLOOKUP(D:D,秒达日报!C:I,7,0)</f>
        <v>0</v>
      </c>
      <c r="M252" s="75">
        <f>VLOOKUP(D:D,美团日报!C:F,4,0)</f>
        <v>0</v>
      </c>
      <c r="N252" s="16">
        <f>VLOOKUP(D:D,美团日报!C:I,7,0)</f>
        <v>0</v>
      </c>
      <c r="O252" s="75">
        <f>VLOOKUP(D:D,饿了么日报!C:F,4,0)</f>
        <v>0</v>
      </c>
      <c r="P252" s="16">
        <f>VLOOKUP(D:D,饿了么日报!C:I,7,0)</f>
        <v>0</v>
      </c>
      <c r="Q252" s="87">
        <f t="shared" si="14"/>
        <v>0</v>
      </c>
      <c r="R252" s="88">
        <f t="shared" si="15"/>
        <v>0</v>
      </c>
      <c r="S252" s="89">
        <f t="shared" si="13"/>
        <v>0</v>
      </c>
      <c r="T252" s="90"/>
      <c r="U252" s="90"/>
    </row>
    <row r="253" ht="14.4" spans="1:21">
      <c r="A253" s="27" t="s">
        <v>13</v>
      </c>
      <c r="B253" s="26"/>
      <c r="C253" s="26"/>
      <c r="D253" s="33">
        <v>8791</v>
      </c>
      <c r="E253" s="32" t="s">
        <v>549</v>
      </c>
      <c r="F253" s="16"/>
      <c r="G253" s="26"/>
      <c r="H253" s="27"/>
      <c r="I253" s="27"/>
      <c r="J253" s="75">
        <f>VLOOKUP(D253,美团日报!$C:$E,3,0)</f>
        <v>4379.2147</v>
      </c>
      <c r="K253" s="75">
        <f>VLOOKUP(D:D,秒达日报!C:F,4,0)</f>
        <v>0</v>
      </c>
      <c r="L253" s="16">
        <f>VLOOKUP(D:D,秒达日报!C:I,7,0)</f>
        <v>0</v>
      </c>
      <c r="M253" s="75">
        <f>VLOOKUP(D:D,美团日报!C:F,4,0)</f>
        <v>0</v>
      </c>
      <c r="N253" s="16">
        <f>VLOOKUP(D:D,美团日报!C:I,7,0)</f>
        <v>0</v>
      </c>
      <c r="O253" s="75">
        <f>VLOOKUP(D:D,饿了么日报!C:F,4,0)</f>
        <v>0</v>
      </c>
      <c r="P253" s="16">
        <f>VLOOKUP(D:D,饿了么日报!C:I,7,0)</f>
        <v>0</v>
      </c>
      <c r="Q253" s="87">
        <f t="shared" si="14"/>
        <v>0</v>
      </c>
      <c r="R253" s="88">
        <f t="shared" si="15"/>
        <v>0</v>
      </c>
      <c r="S253" s="89">
        <f t="shared" si="13"/>
        <v>0</v>
      </c>
      <c r="T253" s="90"/>
      <c r="U253" s="90"/>
    </row>
    <row r="254" ht="14.4" spans="1:21">
      <c r="A254" s="27" t="s">
        <v>13</v>
      </c>
      <c r="B254" s="26"/>
      <c r="C254" s="26"/>
      <c r="D254" s="33">
        <v>8807</v>
      </c>
      <c r="E254" s="32" t="s">
        <v>550</v>
      </c>
      <c r="F254" s="16"/>
      <c r="G254" s="26"/>
      <c r="H254" s="27"/>
      <c r="I254" s="27"/>
      <c r="J254" s="75">
        <f>VLOOKUP(D254,美团日报!$C:$E,3,0)</f>
        <v>1030.0879</v>
      </c>
      <c r="K254" s="75">
        <f>VLOOKUP(D:D,秒达日报!C:F,4,0)</f>
        <v>0</v>
      </c>
      <c r="L254" s="16">
        <f>VLOOKUP(D:D,秒达日报!C:I,7,0)</f>
        <v>0</v>
      </c>
      <c r="M254" s="75">
        <f>VLOOKUP(D:D,美团日报!C:F,4,0)</f>
        <v>0</v>
      </c>
      <c r="N254" s="16">
        <f>VLOOKUP(D:D,美团日报!C:I,7,0)</f>
        <v>0</v>
      </c>
      <c r="O254" s="75">
        <f>VLOOKUP(D:D,饿了么日报!C:F,4,0)</f>
        <v>0</v>
      </c>
      <c r="P254" s="16">
        <f>VLOOKUP(D:D,饿了么日报!C:I,7,0)</f>
        <v>0</v>
      </c>
      <c r="Q254" s="87">
        <f t="shared" si="14"/>
        <v>0</v>
      </c>
      <c r="R254" s="88">
        <f t="shared" si="15"/>
        <v>0</v>
      </c>
      <c r="S254" s="89">
        <f t="shared" si="13"/>
        <v>0</v>
      </c>
      <c r="T254" s="90"/>
      <c r="U254" s="90"/>
    </row>
    <row r="255" ht="14.4" spans="1:21">
      <c r="A255" s="27" t="s">
        <v>13</v>
      </c>
      <c r="B255" s="26"/>
      <c r="C255" s="26"/>
      <c r="D255" s="33">
        <v>8808</v>
      </c>
      <c r="E255" s="32" t="s">
        <v>551</v>
      </c>
      <c r="F255" s="16"/>
      <c r="G255" s="26"/>
      <c r="H255" s="27"/>
      <c r="I255" s="27"/>
      <c r="J255" s="75">
        <f>VLOOKUP(D255,美团日报!$C:$E,3,0)</f>
        <v>3983.0242</v>
      </c>
      <c r="K255" s="75">
        <f>VLOOKUP(D:D,秒达日报!C:F,4,0)</f>
        <v>0</v>
      </c>
      <c r="L255" s="16">
        <f>VLOOKUP(D:D,秒达日报!C:I,7,0)</f>
        <v>0</v>
      </c>
      <c r="M255" s="75">
        <f>VLOOKUP(D:D,美团日报!C:F,4,0)</f>
        <v>0</v>
      </c>
      <c r="N255" s="16">
        <f>VLOOKUP(D:D,美团日报!C:I,7,0)</f>
        <v>0</v>
      </c>
      <c r="O255" s="75">
        <f>VLOOKUP(D:D,饿了么日报!C:F,4,0)</f>
        <v>0</v>
      </c>
      <c r="P255" s="16">
        <f>VLOOKUP(D:D,饿了么日报!C:I,7,0)</f>
        <v>0</v>
      </c>
      <c r="Q255" s="87">
        <f t="shared" si="14"/>
        <v>0</v>
      </c>
      <c r="R255" s="88">
        <f t="shared" si="15"/>
        <v>0</v>
      </c>
      <c r="S255" s="89">
        <f t="shared" si="13"/>
        <v>0</v>
      </c>
      <c r="T255" s="90"/>
      <c r="U255" s="90"/>
    </row>
    <row r="256" ht="14.4" spans="1:21">
      <c r="A256" s="27" t="s">
        <v>13</v>
      </c>
      <c r="B256" s="26"/>
      <c r="C256" s="26"/>
      <c r="D256" s="33">
        <v>8809</v>
      </c>
      <c r="E256" s="32" t="s">
        <v>552</v>
      </c>
      <c r="F256" s="16"/>
      <c r="G256" s="26"/>
      <c r="H256" s="27"/>
      <c r="I256" s="27"/>
      <c r="J256" s="75">
        <f>VLOOKUP(D256,美团日报!$C:$E,3,0)</f>
        <v>5197.3052</v>
      </c>
      <c r="K256" s="75">
        <f>VLOOKUP(D:D,秒达日报!C:F,4,0)</f>
        <v>0</v>
      </c>
      <c r="L256" s="16">
        <f>VLOOKUP(D:D,秒达日报!C:I,7,0)</f>
        <v>0</v>
      </c>
      <c r="M256" s="75">
        <f>VLOOKUP(D:D,美团日报!C:F,4,0)</f>
        <v>0</v>
      </c>
      <c r="N256" s="16">
        <f>VLOOKUP(D:D,美团日报!C:I,7,0)</f>
        <v>0</v>
      </c>
      <c r="O256" s="75">
        <f>VLOOKUP(D:D,饿了么日报!C:F,4,0)</f>
        <v>0</v>
      </c>
      <c r="P256" s="16">
        <f>VLOOKUP(D:D,饿了么日报!C:I,7,0)</f>
        <v>0</v>
      </c>
      <c r="Q256" s="87">
        <f t="shared" si="14"/>
        <v>0</v>
      </c>
      <c r="R256" s="88">
        <f t="shared" si="15"/>
        <v>0</v>
      </c>
      <c r="S256" s="89">
        <f t="shared" si="13"/>
        <v>0</v>
      </c>
      <c r="T256" s="90"/>
      <c r="U256" s="90"/>
    </row>
    <row r="257" ht="14.4" spans="1:21">
      <c r="A257" s="27" t="s">
        <v>13</v>
      </c>
      <c r="B257" s="26"/>
      <c r="C257" s="26"/>
      <c r="D257" s="33">
        <v>8794</v>
      </c>
      <c r="E257" s="32" t="s">
        <v>553</v>
      </c>
      <c r="F257" s="16"/>
      <c r="G257" s="26"/>
      <c r="H257" s="27"/>
      <c r="I257" s="27"/>
      <c r="J257" s="75">
        <f>VLOOKUP(D257,美团日报!$C:$E,3,0)</f>
        <v>1239.4563</v>
      </c>
      <c r="K257" s="75">
        <f>VLOOKUP(D:D,秒达日报!C:F,4,0)</f>
        <v>0</v>
      </c>
      <c r="L257" s="16">
        <f>VLOOKUP(D:D,秒达日报!C:I,7,0)</f>
        <v>0</v>
      </c>
      <c r="M257" s="75">
        <f>VLOOKUP(D:D,美团日报!C:F,4,0)</f>
        <v>0</v>
      </c>
      <c r="N257" s="16">
        <f>VLOOKUP(D:D,美团日报!C:I,7,0)</f>
        <v>0</v>
      </c>
      <c r="O257" s="75">
        <f>VLOOKUP(D:D,饿了么日报!C:F,4,0)</f>
        <v>0</v>
      </c>
      <c r="P257" s="16">
        <f>VLOOKUP(D:D,饿了么日报!C:I,7,0)</f>
        <v>0</v>
      </c>
      <c r="Q257" s="87">
        <f t="shared" si="14"/>
        <v>0</v>
      </c>
      <c r="R257" s="88">
        <f t="shared" si="15"/>
        <v>0</v>
      </c>
      <c r="S257" s="89">
        <f t="shared" si="13"/>
        <v>0</v>
      </c>
      <c r="T257" s="90"/>
      <c r="U257" s="90"/>
    </row>
    <row r="258" ht="14.4" spans="1:21">
      <c r="A258" s="27" t="s">
        <v>13</v>
      </c>
      <c r="B258" s="26"/>
      <c r="C258" s="26"/>
      <c r="D258" s="33">
        <v>8815</v>
      </c>
      <c r="E258" s="32" t="s">
        <v>554</v>
      </c>
      <c r="F258" s="16"/>
      <c r="G258" s="26"/>
      <c r="H258" s="27"/>
      <c r="I258" s="27"/>
      <c r="J258" s="75">
        <f>VLOOKUP(D258,美团日报!$C:$E,3,0)</f>
        <v>261.982</v>
      </c>
      <c r="K258" s="75">
        <f>VLOOKUP(D:D,秒达日报!C:F,4,0)</f>
        <v>0</v>
      </c>
      <c r="L258" s="16">
        <f>VLOOKUP(D:D,秒达日报!C:I,7,0)</f>
        <v>0</v>
      </c>
      <c r="M258" s="75">
        <f>VLOOKUP(D:D,美团日报!C:F,4,0)</f>
        <v>0</v>
      </c>
      <c r="N258" s="16">
        <f>VLOOKUP(D:D,美团日报!C:I,7,0)</f>
        <v>0</v>
      </c>
      <c r="O258" s="75">
        <f>VLOOKUP(D:D,饿了么日报!C:F,4,0)</f>
        <v>0</v>
      </c>
      <c r="P258" s="16">
        <f>VLOOKUP(D:D,饿了么日报!C:I,7,0)</f>
        <v>0</v>
      </c>
      <c r="Q258" s="87">
        <f t="shared" si="14"/>
        <v>0</v>
      </c>
      <c r="R258" s="88">
        <f t="shared" si="15"/>
        <v>0</v>
      </c>
      <c r="S258" s="89">
        <f t="shared" si="13"/>
        <v>0</v>
      </c>
      <c r="T258" s="90"/>
      <c r="U258" s="90"/>
    </row>
    <row r="259" ht="14.4" spans="1:21">
      <c r="A259" s="27" t="s">
        <v>13</v>
      </c>
      <c r="B259" s="26"/>
      <c r="C259" s="26"/>
      <c r="D259" s="33">
        <v>8816</v>
      </c>
      <c r="E259" s="32" t="s">
        <v>555</v>
      </c>
      <c r="F259" s="16"/>
      <c r="G259" s="26"/>
      <c r="H259" s="27"/>
      <c r="I259" s="27"/>
      <c r="J259" s="75">
        <f>VLOOKUP(D259,美团日报!$C:$E,3,0)</f>
        <v>316.7169</v>
      </c>
      <c r="K259" s="75">
        <f>VLOOKUP(D:D,秒达日报!C:F,4,0)</f>
        <v>0</v>
      </c>
      <c r="L259" s="16">
        <f>VLOOKUP(D:D,秒达日报!C:I,7,0)</f>
        <v>0</v>
      </c>
      <c r="M259" s="75">
        <f>VLOOKUP(D:D,美团日报!C:F,4,0)</f>
        <v>0</v>
      </c>
      <c r="N259" s="16">
        <f>VLOOKUP(D:D,美团日报!C:I,7,0)</f>
        <v>0</v>
      </c>
      <c r="O259" s="75">
        <f>VLOOKUP(D:D,饿了么日报!C:F,4,0)</f>
        <v>0</v>
      </c>
      <c r="P259" s="16">
        <f>VLOOKUP(D:D,饿了么日报!C:I,7,0)</f>
        <v>0</v>
      </c>
      <c r="Q259" s="87">
        <f t="shared" si="14"/>
        <v>0</v>
      </c>
      <c r="R259" s="88">
        <f t="shared" si="15"/>
        <v>0</v>
      </c>
      <c r="S259" s="89">
        <f t="shared" si="13"/>
        <v>0</v>
      </c>
      <c r="T259" s="90"/>
      <c r="U259" s="90"/>
    </row>
    <row r="260" ht="14.4" spans="1:21">
      <c r="A260" s="27" t="s">
        <v>13</v>
      </c>
      <c r="B260" s="26"/>
      <c r="C260" s="26"/>
      <c r="D260" s="33">
        <v>8814</v>
      </c>
      <c r="E260" s="32" t="s">
        <v>556</v>
      </c>
      <c r="F260" s="16"/>
      <c r="G260" s="26"/>
      <c r="H260" s="27"/>
      <c r="I260" s="27"/>
      <c r="J260" s="75">
        <f>VLOOKUP(D260,美团日报!$C:$E,3,0)</f>
        <v>96.3717</v>
      </c>
      <c r="K260" s="75">
        <f>VLOOKUP(D:D,秒达日报!C:F,4,0)</f>
        <v>0</v>
      </c>
      <c r="L260" s="16">
        <f>VLOOKUP(D:D,秒达日报!C:I,7,0)</f>
        <v>0</v>
      </c>
      <c r="M260" s="75">
        <f>VLOOKUP(D:D,美团日报!C:F,4,0)</f>
        <v>0</v>
      </c>
      <c r="N260" s="16">
        <f>VLOOKUP(D:D,美团日报!C:I,7,0)</f>
        <v>0</v>
      </c>
      <c r="O260" s="75">
        <f>VLOOKUP(D:D,饿了么日报!C:F,4,0)</f>
        <v>0</v>
      </c>
      <c r="P260" s="16">
        <f>VLOOKUP(D:D,饿了么日报!C:I,7,0)</f>
        <v>0</v>
      </c>
      <c r="Q260" s="87">
        <f t="shared" si="14"/>
        <v>0</v>
      </c>
      <c r="R260" s="88">
        <f t="shared" si="15"/>
        <v>0</v>
      </c>
      <c r="S260" s="89">
        <f>Q260/J260</f>
        <v>0</v>
      </c>
      <c r="T260" s="90"/>
      <c r="U260" s="90"/>
    </row>
    <row r="261" ht="14.4" spans="1:21">
      <c r="A261" s="27" t="s">
        <v>13</v>
      </c>
      <c r="B261" s="26"/>
      <c r="C261" s="26"/>
      <c r="D261" s="33">
        <v>8811</v>
      </c>
      <c r="E261" s="32" t="s">
        <v>557</v>
      </c>
      <c r="F261" s="16"/>
      <c r="G261" s="26"/>
      <c r="H261" s="27"/>
      <c r="I261" s="27"/>
      <c r="J261" s="75">
        <f>VLOOKUP(D261,美团日报!$C:$E,3,0)</f>
        <v>3800.7928</v>
      </c>
      <c r="K261" s="75">
        <f>VLOOKUP(D:D,秒达日报!C:F,4,0)</f>
        <v>177.56637168139</v>
      </c>
      <c r="L261" s="16">
        <f>VLOOKUP(D:D,秒达日报!C:I,7,0)</f>
        <v>5</v>
      </c>
      <c r="M261" s="75">
        <f>VLOOKUP(D:D,美团日报!C:F,4,0)</f>
        <v>706.70861411051</v>
      </c>
      <c r="N261" s="16">
        <f>VLOOKUP(D:D,美团日报!C:I,7,0)</f>
        <v>23</v>
      </c>
      <c r="O261" s="75">
        <f>VLOOKUP(D:D,饿了么日报!C:F,4,0)</f>
        <v>232.8256880734</v>
      </c>
      <c r="P261" s="16">
        <f>VLOOKUP(D:D,饿了么日报!C:I,7,0)</f>
        <v>6</v>
      </c>
      <c r="Q261" s="87">
        <f t="shared" si="14"/>
        <v>1117.1006738653</v>
      </c>
      <c r="R261" s="88">
        <f t="shared" si="15"/>
        <v>34</v>
      </c>
      <c r="S261" s="89">
        <f>Q261/J261</f>
        <v>0.293912542105768</v>
      </c>
      <c r="T261" s="90"/>
      <c r="U261" s="90"/>
    </row>
    <row r="262" ht="14.4" spans="1:21">
      <c r="A262" s="27" t="s">
        <v>13</v>
      </c>
      <c r="B262" s="26"/>
      <c r="C262" s="26"/>
      <c r="D262" s="33">
        <v>8813</v>
      </c>
      <c r="E262" s="33" t="s">
        <v>558</v>
      </c>
      <c r="F262" s="16"/>
      <c r="G262" s="26"/>
      <c r="H262" s="27"/>
      <c r="I262" s="27"/>
      <c r="J262" s="75">
        <f>VLOOKUP(D262,美团日报!$C:$E,3,0)</f>
        <v>38731.4666</v>
      </c>
      <c r="K262" s="75">
        <f>VLOOKUP(D:D,秒达日报!C:F,4,0)</f>
        <v>0</v>
      </c>
      <c r="L262" s="16">
        <f>VLOOKUP(D:D,秒达日报!C:I,7,0)</f>
        <v>0</v>
      </c>
      <c r="M262" s="75">
        <f>VLOOKUP(D:D,美团日报!C:F,4,0)</f>
        <v>0</v>
      </c>
      <c r="N262" s="16">
        <f>VLOOKUP(D:D,美团日报!C:I,7,0)</f>
        <v>0</v>
      </c>
      <c r="O262" s="75">
        <f>VLOOKUP(D:D,饿了么日报!C:F,4,0)</f>
        <v>0</v>
      </c>
      <c r="P262" s="16">
        <f>VLOOKUP(D:D,饿了么日报!C:I,7,0)</f>
        <v>0</v>
      </c>
      <c r="Q262" s="87">
        <f t="shared" si="14"/>
        <v>0</v>
      </c>
      <c r="R262" s="88">
        <f t="shared" si="15"/>
        <v>0</v>
      </c>
      <c r="S262" s="89">
        <f>Q262/J262</f>
        <v>0</v>
      </c>
      <c r="T262" s="90"/>
      <c r="U262" s="90"/>
    </row>
    <row r="263" ht="14.4" spans="1:21">
      <c r="A263" s="27" t="s">
        <v>13</v>
      </c>
      <c r="B263" s="26" t="s">
        <v>56</v>
      </c>
      <c r="C263" s="26" t="e">
        <v>#N/A</v>
      </c>
      <c r="D263" s="28">
        <v>8706</v>
      </c>
      <c r="E263" s="27" t="s">
        <v>559</v>
      </c>
      <c r="F263" s="16" t="e">
        <v>#N/A</v>
      </c>
      <c r="G263" s="27" t="e">
        <v>#N/A</v>
      </c>
      <c r="H263" s="27"/>
      <c r="I263" s="27"/>
      <c r="J263" s="75">
        <f>VLOOKUP(D263,美团日报!$C:$E,3,0)</f>
        <v>0</v>
      </c>
      <c r="K263" s="75">
        <f>VLOOKUP(D:D,秒达日报!C:F,4,0)</f>
        <v>0</v>
      </c>
      <c r="L263" s="16">
        <f>VLOOKUP(D:D,秒达日报!C:I,7,0)</f>
        <v>0</v>
      </c>
      <c r="M263" s="75">
        <f>VLOOKUP(D:D,美团日报!C:F,4,0)</f>
        <v>0</v>
      </c>
      <c r="N263" s="16">
        <f>VLOOKUP(D:D,美团日报!C:I,7,0)</f>
        <v>0</v>
      </c>
      <c r="O263" s="75">
        <f>VLOOKUP(D:D,饿了么日报!C:F,4,0)</f>
        <v>0</v>
      </c>
      <c r="P263" s="16">
        <f>VLOOKUP(D:D,饿了么日报!C:I,7,0)</f>
        <v>0</v>
      </c>
      <c r="Q263" s="87">
        <f t="shared" si="14"/>
        <v>0</v>
      </c>
      <c r="R263" s="88">
        <f t="shared" si="15"/>
        <v>0</v>
      </c>
      <c r="S263" s="89" t="e">
        <f>Q263/J263</f>
        <v>#DIV/0!</v>
      </c>
      <c r="T263" s="90"/>
      <c r="U263" s="90"/>
    </row>
    <row r="264" spans="1:21">
      <c r="A264" s="92" t="s">
        <v>29</v>
      </c>
      <c r="B264" s="93"/>
      <c r="C264" s="93"/>
      <c r="D264" s="94"/>
      <c r="E264" s="95"/>
      <c r="F264" s="95"/>
      <c r="G264" s="95"/>
      <c r="H264" s="95"/>
      <c r="I264" s="95"/>
      <c r="J264" s="96">
        <f>SUM(J3:J263)</f>
        <v>1781819.6355</v>
      </c>
      <c r="K264" s="96">
        <f t="shared" ref="J264:R264" si="16">SUM(K3:K263)</f>
        <v>43384.9573297053</v>
      </c>
      <c r="L264" s="97">
        <f t="shared" si="16"/>
        <v>974</v>
      </c>
      <c r="M264" s="96">
        <f t="shared" si="16"/>
        <v>136989.054193384</v>
      </c>
      <c r="N264" s="98">
        <f t="shared" si="16"/>
        <v>3277</v>
      </c>
      <c r="O264" s="96">
        <f t="shared" si="16"/>
        <v>98361.5761549039</v>
      </c>
      <c r="P264" s="97">
        <f t="shared" si="16"/>
        <v>2678</v>
      </c>
      <c r="Q264" s="96">
        <f t="shared" si="16"/>
        <v>278735.587677993</v>
      </c>
      <c r="R264" s="97">
        <f t="shared" si="16"/>
        <v>6929</v>
      </c>
      <c r="S264" s="99">
        <f>Q264/J264</f>
        <v>0.156433110357871</v>
      </c>
      <c r="T264" s="95"/>
      <c r="U264" s="95"/>
    </row>
  </sheetData>
  <mergeCells count="16">
    <mergeCell ref="K1:L1"/>
    <mergeCell ref="M1:N1"/>
    <mergeCell ref="O1:P1"/>
    <mergeCell ref="Q1:S1"/>
    <mergeCell ref="T1:U1"/>
    <mergeCell ref="A264:D264"/>
    <mergeCell ref="A1:A2"/>
    <mergeCell ref="B1:B2"/>
    <mergeCell ref="C1:C2"/>
    <mergeCell ref="D1:D2"/>
    <mergeCell ref="E1:E2"/>
    <mergeCell ref="F1:F2"/>
    <mergeCell ref="G1:G2"/>
    <mergeCell ref="H1:H2"/>
    <mergeCell ref="I1:I2"/>
    <mergeCell ref="J1:J2"/>
  </mergeCells>
  <conditionalFormatting sqref="E1:H1">
    <cfRule type="duplicateValues" dxfId="0" priority="585"/>
    <cfRule type="duplicateValues" dxfId="0" priority="587"/>
    <cfRule type="duplicateValues" dxfId="0" priority="588"/>
    <cfRule type="duplicateValues" dxfId="1" priority="589"/>
    <cfRule type="duplicateValues" dxfId="0" priority="590"/>
    <cfRule type="duplicateValues" dxfId="0" priority="591"/>
  </conditionalFormatting>
  <conditionalFormatting sqref="I1">
    <cfRule type="duplicateValues" dxfId="0" priority="579"/>
    <cfRule type="duplicateValues" dxfId="0" priority="580"/>
    <cfRule type="duplicateValues" dxfId="0" priority="581"/>
    <cfRule type="duplicateValues" dxfId="1" priority="582"/>
    <cfRule type="duplicateValues" dxfId="0" priority="583"/>
    <cfRule type="duplicateValues" dxfId="0" priority="584"/>
  </conditionalFormatting>
  <conditionalFormatting sqref="T3:T210">
    <cfRule type="expression" dxfId="2" priority="101">
      <formula>T3="TRUE"</formula>
    </cfRule>
  </conditionalFormatting>
  <conditionalFormatting sqref="U3:U210">
    <cfRule type="expression" dxfId="3" priority="100">
      <formula>U3="TRUE"</formula>
    </cfRule>
  </conditionalFormatting>
  <pageMargins left="0.699305555555556" right="0.699305555555556"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3"/>
  <sheetViews>
    <sheetView showGridLines="0" workbookViewId="0">
      <pane xSplit="4" ySplit="1" topLeftCell="E237" activePane="bottomRight" state="frozen"/>
      <selection/>
      <selection pane="topRight"/>
      <selection pane="bottomLeft"/>
      <selection pane="bottomRight" activeCell="C261" sqref="C261"/>
    </sheetView>
  </sheetViews>
  <sheetFormatPr defaultColWidth="9" defaultRowHeight="12.4"/>
  <cols>
    <col min="1" max="2" width="6.88392857142857" style="11" customWidth="1"/>
    <col min="3" max="3" width="9.63392857142857" style="11" customWidth="1"/>
    <col min="4" max="4" width="25.6339285714286" style="11" customWidth="1"/>
    <col min="5" max="5" width="13.1339285714286" style="57" customWidth="1"/>
    <col min="6" max="6" width="15.3839285714286" style="11" customWidth="1"/>
    <col min="7" max="7" width="7.88392857142857" style="11" customWidth="1"/>
    <col min="8" max="9" width="9.63392857142857" style="11" customWidth="1"/>
    <col min="10" max="10" width="8.63392857142857" style="11" customWidth="1"/>
    <col min="11" max="11" width="14.3839285714286" style="11" customWidth="1"/>
    <col min="12" max="12" width="8.63392857142857" style="11" customWidth="1"/>
    <col min="13" max="14" width="7.38392857142857" style="11" customWidth="1"/>
    <col min="15" max="15" width="7.5" style="11" customWidth="1"/>
    <col min="16" max="16" width="9.38392857142857" style="11" customWidth="1"/>
    <col min="17" max="17" width="9.13392857142857" style="11" customWidth="1"/>
    <col min="18" max="18" width="7.38392857142857" style="11" customWidth="1"/>
    <col min="19" max="21" width="7.5" style="11" customWidth="1"/>
    <col min="22" max="22" width="7.63392857142857" style="11" customWidth="1"/>
    <col min="23" max="23" width="8.88392857142857" style="11" customWidth="1"/>
    <col min="24" max="16384" width="9" style="11"/>
  </cols>
  <sheetData>
    <row r="1" s="56" customFormat="1" ht="44" spans="1:24">
      <c r="A1" s="15" t="s">
        <v>20</v>
      </c>
      <c r="B1" s="15" t="s">
        <v>21</v>
      </c>
      <c r="C1" s="15" t="s">
        <v>22</v>
      </c>
      <c r="D1" s="15" t="s">
        <v>23</v>
      </c>
      <c r="E1" s="20" t="s">
        <v>28</v>
      </c>
      <c r="F1" s="15" t="s">
        <v>31</v>
      </c>
      <c r="G1" s="15" t="s">
        <v>35</v>
      </c>
      <c r="H1" s="15" t="s">
        <v>560</v>
      </c>
      <c r="I1" s="15" t="s">
        <v>32</v>
      </c>
      <c r="J1" s="15" t="s">
        <v>8</v>
      </c>
      <c r="K1" s="15" t="s">
        <v>561</v>
      </c>
      <c r="L1" s="15" t="s">
        <v>562</v>
      </c>
      <c r="M1" s="15" t="s">
        <v>563</v>
      </c>
      <c r="N1" s="15" t="s">
        <v>564</v>
      </c>
      <c r="O1" s="15" t="s">
        <v>565</v>
      </c>
      <c r="P1" s="15" t="s">
        <v>566</v>
      </c>
      <c r="Q1" s="15" t="s">
        <v>567</v>
      </c>
      <c r="R1" s="15" t="s">
        <v>568</v>
      </c>
      <c r="S1" s="15" t="s">
        <v>569</v>
      </c>
      <c r="T1" s="15" t="s">
        <v>570</v>
      </c>
      <c r="U1" s="15" t="s">
        <v>571</v>
      </c>
      <c r="V1" s="15" t="s">
        <v>572</v>
      </c>
      <c r="W1" s="15" t="s">
        <v>1</v>
      </c>
      <c r="X1" s="60"/>
    </row>
    <row r="2" ht="14.4" spans="1:23">
      <c r="A2" s="16" t="s">
        <v>43</v>
      </c>
      <c r="B2" s="16" t="s">
        <v>143</v>
      </c>
      <c r="C2" s="16">
        <v>8613</v>
      </c>
      <c r="D2" s="16" t="s">
        <v>39</v>
      </c>
      <c r="E2" s="58">
        <f>_xlfn.IFNA(VLOOKUP(C:C,线上线下销售!B:D,3,0),0)</f>
        <v>3915.4358</v>
      </c>
      <c r="F2" s="18">
        <f>SUMIFS(线上订单!$E:$E,线上订单!$B:$B,美团日报!$C2,线上订单!$D:$D,"美团")</f>
        <v>296.41990744498</v>
      </c>
      <c r="G2" s="59">
        <f>IFERROR(F2/E2,0)</f>
        <v>0.0757054699875248</v>
      </c>
      <c r="H2" s="18">
        <f>SUMIFS(线上订单!$F:$F,线上订单!$B:$B,美团日报!$C2,线上订单!$D:$D,"美团")</f>
        <v>8</v>
      </c>
      <c r="I2" s="18">
        <f>SUMIFS(线上订单!$F:$F,线上订单!$B:$B,美团日报!$C2,线上订单!$D:$D,"美团")</f>
        <v>8</v>
      </c>
      <c r="J2" s="18">
        <f>IFERROR(F2/I2,0)</f>
        <v>37.0524884306225</v>
      </c>
      <c r="K2" s="18" t="e">
        <f t="shared" ref="K2:K33" si="0">H2*L2</f>
        <v>#REF!</v>
      </c>
      <c r="L2" s="59" t="e">
        <f>SUMIFS(#REF!,#REF!,美团日报!$C2,#REF!,"美团")</f>
        <v>#REF!</v>
      </c>
      <c r="M2" s="18"/>
      <c r="N2" s="18"/>
      <c r="O2" s="18" t="e">
        <f>H2*(1-P2)</f>
        <v>#REF!</v>
      </c>
      <c r="P2" s="59" t="e">
        <f>SUMIFS(#REF!,#REF!,美团日报!$C2,#REF!,"美团")</f>
        <v>#REF!</v>
      </c>
      <c r="Q2" s="18"/>
      <c r="R2" s="18"/>
      <c r="S2" s="18" t="e">
        <f>H2*T2</f>
        <v>#REF!</v>
      </c>
      <c r="T2" s="59" t="e">
        <f>SUMIFS(#REF!,#REF!,美团日报!$C2,#REF!,"美团")</f>
        <v>#REF!</v>
      </c>
      <c r="U2" s="18" t="e">
        <f>H2*V2</f>
        <v>#REF!</v>
      </c>
      <c r="V2" s="59" t="e">
        <f>SUMIFS(#REF!,#REF!,美团日报!$C2,#REF!,"美团")</f>
        <v>#REF!</v>
      </c>
      <c r="W2" s="16" t="s">
        <v>13</v>
      </c>
    </row>
    <row r="3" ht="14.4" spans="1:23">
      <c r="A3" s="16" t="s">
        <v>48</v>
      </c>
      <c r="B3" s="16" t="s">
        <v>64</v>
      </c>
      <c r="C3" s="16">
        <v>8620</v>
      </c>
      <c r="D3" s="16" t="s">
        <v>45</v>
      </c>
      <c r="E3" s="58">
        <f>_xlfn.IFNA(VLOOKUP(C:C,线上线下销售!B:D,3,0),0)</f>
        <v>0</v>
      </c>
      <c r="F3" s="18">
        <f>SUMIFS(线上订单!$E:$E,线上订单!$B:$B,美团日报!$C3,线上订单!$D:$D,"美团")</f>
        <v>0</v>
      </c>
      <c r="G3" s="59">
        <f t="shared" ref="G3:G66" si="1">IFERROR(F3/E3,0)</f>
        <v>0</v>
      </c>
      <c r="H3" s="18">
        <f>SUMIFS(线上订单!$F:$F,线上订单!$B:$B,美团日报!$C3,线上订单!$D:$D,"美团")</f>
        <v>0</v>
      </c>
      <c r="I3" s="18">
        <f>SUMIFS(线上订单!$F:$F,线上订单!$B:$B,美团日报!$C3,线上订单!$D:$D,"美团")</f>
        <v>0</v>
      </c>
      <c r="J3" s="18">
        <f t="shared" ref="J3:J66" si="2">IFERROR(F3/I3,0)</f>
        <v>0</v>
      </c>
      <c r="K3" s="18" t="e">
        <f t="shared" si="0"/>
        <v>#REF!</v>
      </c>
      <c r="L3" s="59" t="e">
        <f>SUMIFS(#REF!,#REF!,美团日报!$C3,#REF!,"美团")</f>
        <v>#REF!</v>
      </c>
      <c r="M3" s="18"/>
      <c r="N3" s="18"/>
      <c r="O3" s="18" t="e">
        <f t="shared" ref="O3:O66" si="3">H3*(1-P3)</f>
        <v>#REF!</v>
      </c>
      <c r="P3" s="59" t="e">
        <f>SUMIFS(#REF!,#REF!,美团日报!$C3,#REF!,"美团")</f>
        <v>#REF!</v>
      </c>
      <c r="Q3" s="18"/>
      <c r="R3" s="18"/>
      <c r="S3" s="18" t="e">
        <f t="shared" ref="S3:S66" si="4">H3*T3</f>
        <v>#REF!</v>
      </c>
      <c r="T3" s="59" t="e">
        <f>SUMIFS(#REF!,#REF!,美团日报!$C3,#REF!,"美团")</f>
        <v>#REF!</v>
      </c>
      <c r="U3" s="18" t="e">
        <f t="shared" ref="U3:U66" si="5">H3*V3</f>
        <v>#REF!</v>
      </c>
      <c r="V3" s="59" t="e">
        <f>SUMIFS(#REF!,#REF!,美团日报!$C3,#REF!,"美团")</f>
        <v>#REF!</v>
      </c>
      <c r="W3" s="16" t="s">
        <v>13</v>
      </c>
    </row>
    <row r="4" ht="14.4" spans="1:23">
      <c r="A4" s="16" t="s">
        <v>48</v>
      </c>
      <c r="B4" s="16" t="s">
        <v>49</v>
      </c>
      <c r="C4" s="16">
        <v>8608</v>
      </c>
      <c r="D4" s="16" t="s">
        <v>50</v>
      </c>
      <c r="E4" s="58">
        <f>_xlfn.IFNA(VLOOKUP(C:C,线上线下销售!B:D,3,0),0)</f>
        <v>12874.7361</v>
      </c>
      <c r="F4" s="18">
        <f>SUMIFS(线上订单!$E:$E,线上订单!$B:$B,美团日报!$C4,线上订单!$D:$D,"美团")</f>
        <v>1012.7704798245</v>
      </c>
      <c r="G4" s="59">
        <f t="shared" si="1"/>
        <v>0.078663397211264</v>
      </c>
      <c r="H4" s="18">
        <f>SUMIFS(线上订单!$F:$F,线上订单!$B:$B,美团日报!$C4,线上订单!$D:$D,"美团")</f>
        <v>28</v>
      </c>
      <c r="I4" s="18">
        <f>SUMIFS(线上订单!$F:$F,线上订单!$B:$B,美团日报!$C4,线上订单!$D:$D,"美团")</f>
        <v>28</v>
      </c>
      <c r="J4" s="18">
        <f t="shared" si="2"/>
        <v>36.1703742794464</v>
      </c>
      <c r="K4" s="18" t="e">
        <f t="shared" si="0"/>
        <v>#REF!</v>
      </c>
      <c r="L4" s="59" t="e">
        <f>SUMIFS(#REF!,#REF!,美团日报!$C4,#REF!,"美团")</f>
        <v>#REF!</v>
      </c>
      <c r="M4" s="18"/>
      <c r="N4" s="18"/>
      <c r="O4" s="18" t="e">
        <f t="shared" si="3"/>
        <v>#REF!</v>
      </c>
      <c r="P4" s="59" t="e">
        <f>SUMIFS(#REF!,#REF!,美团日报!$C4,#REF!,"美团")</f>
        <v>#REF!</v>
      </c>
      <c r="Q4" s="18"/>
      <c r="R4" s="18"/>
      <c r="S4" s="18" t="e">
        <f t="shared" si="4"/>
        <v>#REF!</v>
      </c>
      <c r="T4" s="59" t="e">
        <f>SUMIFS(#REF!,#REF!,美团日报!$C4,#REF!,"美团")</f>
        <v>#REF!</v>
      </c>
      <c r="U4" s="18" t="e">
        <f t="shared" si="5"/>
        <v>#REF!</v>
      </c>
      <c r="V4" s="59" t="e">
        <f>SUMIFS(#REF!,#REF!,美团日报!$C4,#REF!,"美团")</f>
        <v>#REF!</v>
      </c>
      <c r="W4" s="16" t="s">
        <v>13</v>
      </c>
    </row>
    <row r="5" ht="14.4" spans="1:23">
      <c r="A5" s="16" t="s">
        <v>56</v>
      </c>
      <c r="B5" s="16" t="s">
        <v>52</v>
      </c>
      <c r="C5" s="16">
        <v>8600</v>
      </c>
      <c r="D5" s="16" t="s">
        <v>53</v>
      </c>
      <c r="E5" s="58">
        <f>_xlfn.IFNA(VLOOKUP(C:C,线上线下销售!B:D,3,0),0)</f>
        <v>11494.6114</v>
      </c>
      <c r="F5" s="18">
        <f>SUMIFS(线上订单!$E:$E,线上订单!$B:$B,美团日报!$C5,线上订单!$D:$D,"美团")</f>
        <v>615.55622310623</v>
      </c>
      <c r="G5" s="59">
        <f t="shared" si="1"/>
        <v>0.0535517210356698</v>
      </c>
      <c r="H5" s="18">
        <f>SUMIFS(线上订单!$F:$F,线上订单!$B:$B,美团日报!$C5,线上订单!$D:$D,"美团")</f>
        <v>13</v>
      </c>
      <c r="I5" s="18">
        <f>SUMIFS(线上订单!$F:$F,线上订单!$B:$B,美团日报!$C5,线上订单!$D:$D,"美团")</f>
        <v>13</v>
      </c>
      <c r="J5" s="18">
        <f t="shared" si="2"/>
        <v>47.3504787004792</v>
      </c>
      <c r="K5" s="18" t="e">
        <f t="shared" si="0"/>
        <v>#REF!</v>
      </c>
      <c r="L5" s="59" t="e">
        <f>SUMIFS(#REF!,#REF!,美团日报!$C5,#REF!,"美团")</f>
        <v>#REF!</v>
      </c>
      <c r="M5" s="18"/>
      <c r="N5" s="18"/>
      <c r="O5" s="18" t="e">
        <f t="shared" si="3"/>
        <v>#REF!</v>
      </c>
      <c r="P5" s="59" t="e">
        <f>SUMIFS(#REF!,#REF!,美团日报!$C5,#REF!,"美团")</f>
        <v>#REF!</v>
      </c>
      <c r="Q5" s="18"/>
      <c r="R5" s="18"/>
      <c r="S5" s="18" t="e">
        <f t="shared" si="4"/>
        <v>#REF!</v>
      </c>
      <c r="T5" s="59" t="e">
        <f>SUMIFS(#REF!,#REF!,美团日报!$C5,#REF!,"美团")</f>
        <v>#REF!</v>
      </c>
      <c r="U5" s="18" t="e">
        <f t="shared" si="5"/>
        <v>#REF!</v>
      </c>
      <c r="V5" s="59" t="e">
        <f>SUMIFS(#REF!,#REF!,美团日报!$C5,#REF!,"美团")</f>
        <v>#REF!</v>
      </c>
      <c r="W5" s="16" t="s">
        <v>13</v>
      </c>
    </row>
    <row r="6" ht="14.4" spans="1:23">
      <c r="A6" s="16" t="s">
        <v>56</v>
      </c>
      <c r="B6" s="16" t="s">
        <v>57</v>
      </c>
      <c r="C6" s="16">
        <v>8615</v>
      </c>
      <c r="D6" s="16" t="s">
        <v>58</v>
      </c>
      <c r="E6" s="58">
        <f>_xlfn.IFNA(VLOOKUP(C:C,线上线下销售!B:D,3,0),0)</f>
        <v>6964.3807</v>
      </c>
      <c r="F6" s="18">
        <f>SUMIFS(线上订单!$E:$E,线上订单!$B:$B,美团日报!$C6,线上订单!$D:$D,"美团")</f>
        <v>2157.01857595194</v>
      </c>
      <c r="G6" s="59">
        <f t="shared" si="1"/>
        <v>0.309721519955384</v>
      </c>
      <c r="H6" s="18">
        <f>SUMIFS(线上订单!$F:$F,线上订单!$B:$B,美团日报!$C6,线上订单!$D:$D,"美团")</f>
        <v>46</v>
      </c>
      <c r="I6" s="18">
        <f>SUMIFS(线上订单!$F:$F,线上订单!$B:$B,美团日报!$C6,线上订单!$D:$D,"美团")</f>
        <v>46</v>
      </c>
      <c r="J6" s="18">
        <f t="shared" si="2"/>
        <v>46.8917081728683</v>
      </c>
      <c r="K6" s="18" t="e">
        <f t="shared" si="0"/>
        <v>#REF!</v>
      </c>
      <c r="L6" s="59" t="e">
        <f>SUMIFS(#REF!,#REF!,美团日报!$C6,#REF!,"美团")</f>
        <v>#REF!</v>
      </c>
      <c r="M6" s="18"/>
      <c r="N6" s="18"/>
      <c r="O6" s="18" t="e">
        <f t="shared" si="3"/>
        <v>#REF!</v>
      </c>
      <c r="P6" s="59" t="e">
        <f>SUMIFS(#REF!,#REF!,美团日报!$C6,#REF!,"美团")</f>
        <v>#REF!</v>
      </c>
      <c r="Q6" s="18"/>
      <c r="R6" s="18"/>
      <c r="S6" s="18" t="e">
        <f t="shared" si="4"/>
        <v>#REF!</v>
      </c>
      <c r="T6" s="59" t="e">
        <f>SUMIFS(#REF!,#REF!,美团日报!$C6,#REF!,"美团")</f>
        <v>#REF!</v>
      </c>
      <c r="U6" s="18" t="e">
        <f t="shared" si="5"/>
        <v>#REF!</v>
      </c>
      <c r="V6" s="59" t="e">
        <f>SUMIFS(#REF!,#REF!,美团日报!$C6,#REF!,"美团")</f>
        <v>#REF!</v>
      </c>
      <c r="W6" s="16" t="s">
        <v>13</v>
      </c>
    </row>
    <row r="7" ht="14.4" spans="1:23">
      <c r="A7" s="16" t="s">
        <v>63</v>
      </c>
      <c r="B7" s="16" t="s">
        <v>60</v>
      </c>
      <c r="C7" s="16">
        <v>8603</v>
      </c>
      <c r="D7" s="16" t="s">
        <v>61</v>
      </c>
      <c r="E7" s="58">
        <f>_xlfn.IFNA(VLOOKUP(C:C,线上线下销售!B:D,3,0),0)</f>
        <v>9352.1572</v>
      </c>
      <c r="F7" s="18">
        <f>SUMIFS(线上订单!$E:$E,线上订单!$B:$B,美团日报!$C7,线上订单!$D:$D,"美团")</f>
        <v>1630.2468133473</v>
      </c>
      <c r="G7" s="59">
        <f t="shared" si="1"/>
        <v>0.174317729961522</v>
      </c>
      <c r="H7" s="18">
        <f>SUMIFS(线上订单!$F:$F,线上订单!$B:$B,美团日报!$C7,线上订单!$D:$D,"美团")</f>
        <v>36</v>
      </c>
      <c r="I7" s="18">
        <f>SUMIFS(线上订单!$F:$F,线上订单!$B:$B,美团日报!$C7,线上订单!$D:$D,"美团")</f>
        <v>36</v>
      </c>
      <c r="J7" s="18">
        <f t="shared" si="2"/>
        <v>45.2846337040917</v>
      </c>
      <c r="K7" s="18" t="e">
        <f t="shared" si="0"/>
        <v>#REF!</v>
      </c>
      <c r="L7" s="59" t="e">
        <f>SUMIFS(#REF!,#REF!,美团日报!$C7,#REF!,"美团")</f>
        <v>#REF!</v>
      </c>
      <c r="M7" s="18"/>
      <c r="N7" s="18"/>
      <c r="O7" s="18" t="e">
        <f t="shared" si="3"/>
        <v>#REF!</v>
      </c>
      <c r="P7" s="59" t="e">
        <f>SUMIFS(#REF!,#REF!,美团日报!$C7,#REF!,"美团")</f>
        <v>#REF!</v>
      </c>
      <c r="Q7" s="18"/>
      <c r="R7" s="18"/>
      <c r="S7" s="18" t="e">
        <f t="shared" si="4"/>
        <v>#REF!</v>
      </c>
      <c r="T7" s="59" t="e">
        <f>SUMIFS(#REF!,#REF!,美团日报!$C7,#REF!,"美团")</f>
        <v>#REF!</v>
      </c>
      <c r="U7" s="18" t="e">
        <f t="shared" si="5"/>
        <v>#REF!</v>
      </c>
      <c r="V7" s="59" t="e">
        <f>SUMIFS(#REF!,#REF!,美团日报!$C7,#REF!,"美团")</f>
        <v>#REF!</v>
      </c>
      <c r="W7" s="16" t="s">
        <v>13</v>
      </c>
    </row>
    <row r="8" ht="14.4" spans="1:23">
      <c r="A8" s="16" t="s">
        <v>48</v>
      </c>
      <c r="B8" s="16" t="s">
        <v>111</v>
      </c>
      <c r="C8" s="16">
        <v>8604</v>
      </c>
      <c r="D8" s="16" t="s">
        <v>65</v>
      </c>
      <c r="E8" s="58">
        <f>_xlfn.IFNA(VLOOKUP(C:C,线上线下销售!B:D,3,0),0)</f>
        <v>7815.4465</v>
      </c>
      <c r="F8" s="18">
        <f>SUMIFS(线上订单!$E:$E,线上订单!$B:$B,美团日报!$C8,线上订单!$D:$D,"美团")</f>
        <v>1036.814159292</v>
      </c>
      <c r="G8" s="59">
        <f t="shared" si="1"/>
        <v>0.132662178583399</v>
      </c>
      <c r="H8" s="18">
        <f>SUMIFS(线上订单!$F:$F,线上订单!$B:$B,美团日报!$C8,线上订单!$D:$D,"美团")</f>
        <v>27</v>
      </c>
      <c r="I8" s="18">
        <f>SUMIFS(线上订单!$F:$F,线上订单!$B:$B,美团日报!$C8,线上订单!$D:$D,"美团")</f>
        <v>27</v>
      </c>
      <c r="J8" s="18">
        <f t="shared" si="2"/>
        <v>38.4005244182222</v>
      </c>
      <c r="K8" s="18" t="e">
        <f t="shared" si="0"/>
        <v>#REF!</v>
      </c>
      <c r="L8" s="59" t="e">
        <f>SUMIFS(#REF!,#REF!,美团日报!$C8,#REF!,"美团")</f>
        <v>#REF!</v>
      </c>
      <c r="M8" s="18"/>
      <c r="N8" s="18"/>
      <c r="O8" s="18" t="e">
        <f t="shared" si="3"/>
        <v>#REF!</v>
      </c>
      <c r="P8" s="59" t="e">
        <f>SUMIFS(#REF!,#REF!,美团日报!$C8,#REF!,"美团")</f>
        <v>#REF!</v>
      </c>
      <c r="Q8" s="18"/>
      <c r="R8" s="18"/>
      <c r="S8" s="18" t="e">
        <f t="shared" si="4"/>
        <v>#REF!</v>
      </c>
      <c r="T8" s="59" t="e">
        <f>SUMIFS(#REF!,#REF!,美团日报!$C8,#REF!,"美团")</f>
        <v>#REF!</v>
      </c>
      <c r="U8" s="18" t="e">
        <f t="shared" si="5"/>
        <v>#REF!</v>
      </c>
      <c r="V8" s="59" t="e">
        <f>SUMIFS(#REF!,#REF!,美团日报!$C8,#REF!,"美团")</f>
        <v>#REF!</v>
      </c>
      <c r="W8" s="16" t="s">
        <v>13</v>
      </c>
    </row>
    <row r="9" ht="14.4" spans="1:23">
      <c r="A9" s="16" t="s">
        <v>43</v>
      </c>
      <c r="B9" s="16" t="s">
        <v>301</v>
      </c>
      <c r="C9" s="16">
        <v>8606</v>
      </c>
      <c r="D9" s="16" t="s">
        <v>68</v>
      </c>
      <c r="E9" s="58">
        <f>_xlfn.IFNA(VLOOKUP(C:C,线上线下销售!B:D,3,0),0)</f>
        <v>10089.4799</v>
      </c>
      <c r="F9" s="18">
        <f>SUMIFS(线上订单!$E:$E,线上订单!$B:$B,美团日报!$C9,线上订单!$D:$D,"美团")</f>
        <v>748.62953641304</v>
      </c>
      <c r="G9" s="59">
        <f t="shared" si="1"/>
        <v>0.0741990215385671</v>
      </c>
      <c r="H9" s="18">
        <f>SUMIFS(线上订单!$F:$F,线上订单!$B:$B,美团日报!$C9,线上订单!$D:$D,"美团")</f>
        <v>17</v>
      </c>
      <c r="I9" s="18">
        <f>SUMIFS(线上订单!$F:$F,线上订单!$B:$B,美团日报!$C9,线上订单!$D:$D,"美团")</f>
        <v>17</v>
      </c>
      <c r="J9" s="18">
        <f t="shared" si="2"/>
        <v>44.0370315537082</v>
      </c>
      <c r="K9" s="18" t="e">
        <f t="shared" si="0"/>
        <v>#REF!</v>
      </c>
      <c r="L9" s="59" t="e">
        <f>SUMIFS(#REF!,#REF!,美团日报!$C9,#REF!,"美团")</f>
        <v>#REF!</v>
      </c>
      <c r="M9" s="18"/>
      <c r="N9" s="18"/>
      <c r="O9" s="18" t="e">
        <f t="shared" si="3"/>
        <v>#REF!</v>
      </c>
      <c r="P9" s="59" t="e">
        <f>SUMIFS(#REF!,#REF!,美团日报!$C9,#REF!,"美团")</f>
        <v>#REF!</v>
      </c>
      <c r="Q9" s="18"/>
      <c r="R9" s="18"/>
      <c r="S9" s="18" t="e">
        <f t="shared" si="4"/>
        <v>#REF!</v>
      </c>
      <c r="T9" s="59" t="e">
        <f>SUMIFS(#REF!,#REF!,美团日报!$C9,#REF!,"美团")</f>
        <v>#REF!</v>
      </c>
      <c r="U9" s="18" t="e">
        <f t="shared" si="5"/>
        <v>#REF!</v>
      </c>
      <c r="V9" s="59" t="e">
        <f>SUMIFS(#REF!,#REF!,美团日报!$C9,#REF!,"美团")</f>
        <v>#REF!</v>
      </c>
      <c r="W9" s="16" t="s">
        <v>13</v>
      </c>
    </row>
    <row r="10" ht="14.4" spans="1:23">
      <c r="A10" s="16" t="s">
        <v>56</v>
      </c>
      <c r="B10" s="16" t="s">
        <v>70</v>
      </c>
      <c r="C10" s="16">
        <v>8617</v>
      </c>
      <c r="D10" s="16" t="s">
        <v>71</v>
      </c>
      <c r="E10" s="58">
        <f>_xlfn.IFNA(VLOOKUP(C:C,线上线下销售!B:D,3,0),0)</f>
        <v>7394.9216</v>
      </c>
      <c r="F10" s="18">
        <f>SUMIFS(线上订单!$E:$E,线上订单!$B:$B,美团日报!$C10,线上订单!$D:$D,"美团")</f>
        <v>877.99033855642</v>
      </c>
      <c r="G10" s="59">
        <f t="shared" si="1"/>
        <v>0.118728823109689</v>
      </c>
      <c r="H10" s="18">
        <f>SUMIFS(线上订单!$F:$F,线上订单!$B:$B,美团日报!$C10,线上订单!$D:$D,"美团")</f>
        <v>21</v>
      </c>
      <c r="I10" s="18">
        <f>SUMIFS(线上订单!$F:$F,线上订单!$B:$B,美团日报!$C10,线上订单!$D:$D,"美团")</f>
        <v>21</v>
      </c>
      <c r="J10" s="18">
        <f t="shared" si="2"/>
        <v>41.8090637407819</v>
      </c>
      <c r="K10" s="18" t="e">
        <f t="shared" si="0"/>
        <v>#REF!</v>
      </c>
      <c r="L10" s="59" t="e">
        <f>SUMIFS(#REF!,#REF!,美团日报!$C10,#REF!,"美团")</f>
        <v>#REF!</v>
      </c>
      <c r="M10" s="18"/>
      <c r="N10" s="18"/>
      <c r="O10" s="18" t="e">
        <f t="shared" si="3"/>
        <v>#REF!</v>
      </c>
      <c r="P10" s="59" t="e">
        <f>SUMIFS(#REF!,#REF!,美团日报!$C10,#REF!,"美团")</f>
        <v>#REF!</v>
      </c>
      <c r="Q10" s="18"/>
      <c r="R10" s="18"/>
      <c r="S10" s="18" t="e">
        <f t="shared" si="4"/>
        <v>#REF!</v>
      </c>
      <c r="T10" s="59" t="e">
        <f>SUMIFS(#REF!,#REF!,美团日报!$C10,#REF!,"美团")</f>
        <v>#REF!</v>
      </c>
      <c r="U10" s="18" t="e">
        <f t="shared" si="5"/>
        <v>#REF!</v>
      </c>
      <c r="V10" s="59" t="e">
        <f>SUMIFS(#REF!,#REF!,美团日报!$C10,#REF!,"美团")</f>
        <v>#REF!</v>
      </c>
      <c r="W10" s="16" t="s">
        <v>13</v>
      </c>
    </row>
    <row r="11" ht="14.4" spans="1:23">
      <c r="A11" s="16" t="s">
        <v>56</v>
      </c>
      <c r="B11" s="16" t="s">
        <v>573</v>
      </c>
      <c r="C11" s="16">
        <v>8628</v>
      </c>
      <c r="D11" s="16" t="s">
        <v>74</v>
      </c>
      <c r="E11" s="58">
        <f>_xlfn.IFNA(VLOOKUP(C:C,线上线下销售!B:D,3,0),0)</f>
        <v>11368.4489</v>
      </c>
      <c r="F11" s="18">
        <f>SUMIFS(线上订单!$E:$E,线上订单!$B:$B,美团日报!$C11,线上订单!$D:$D,"美团")</f>
        <v>4603.77940245178</v>
      </c>
      <c r="G11" s="59">
        <f t="shared" si="1"/>
        <v>0.404961085100341</v>
      </c>
      <c r="H11" s="18">
        <f>SUMIFS(线上订单!$F:$F,线上订单!$B:$B,美团日报!$C11,线上订单!$D:$D,"美团")</f>
        <v>111</v>
      </c>
      <c r="I11" s="18">
        <f>SUMIFS(线上订单!$F:$F,线上订单!$B:$B,美团日报!$C11,线上订单!$D:$D,"美团")</f>
        <v>111</v>
      </c>
      <c r="J11" s="18">
        <f t="shared" si="2"/>
        <v>41.4754901121782</v>
      </c>
      <c r="K11" s="18" t="e">
        <f t="shared" si="0"/>
        <v>#REF!</v>
      </c>
      <c r="L11" s="59" t="e">
        <f>SUMIFS(#REF!,#REF!,美团日报!$C11,#REF!,"美团")</f>
        <v>#REF!</v>
      </c>
      <c r="M11" s="18"/>
      <c r="N11" s="18"/>
      <c r="O11" s="18" t="e">
        <f t="shared" si="3"/>
        <v>#REF!</v>
      </c>
      <c r="P11" s="59" t="e">
        <f>SUMIFS(#REF!,#REF!,美团日报!$C11,#REF!,"美团")</f>
        <v>#REF!</v>
      </c>
      <c r="Q11" s="18"/>
      <c r="R11" s="18"/>
      <c r="S11" s="18" t="e">
        <f t="shared" si="4"/>
        <v>#REF!</v>
      </c>
      <c r="T11" s="59" t="e">
        <f>SUMIFS(#REF!,#REF!,美团日报!$C11,#REF!,"美团")</f>
        <v>#REF!</v>
      </c>
      <c r="U11" s="18" t="e">
        <f t="shared" si="5"/>
        <v>#REF!</v>
      </c>
      <c r="V11" s="59" t="e">
        <f>SUMIFS(#REF!,#REF!,美团日报!$C11,#REF!,"美团")</f>
        <v>#REF!</v>
      </c>
      <c r="W11" s="16" t="s">
        <v>13</v>
      </c>
    </row>
    <row r="12" ht="14.4" spans="1:23">
      <c r="A12" s="16" t="s">
        <v>56</v>
      </c>
      <c r="B12" s="16" t="s">
        <v>118</v>
      </c>
      <c r="C12" s="16">
        <v>8609</v>
      </c>
      <c r="D12" s="16" t="s">
        <v>77</v>
      </c>
      <c r="E12" s="58">
        <f>_xlfn.IFNA(VLOOKUP(C:C,线上线下销售!B:D,3,0),0)</f>
        <v>5644.3092</v>
      </c>
      <c r="F12" s="18">
        <f>SUMIFS(线上订单!$E:$E,线上订单!$B:$B,美团日报!$C12,线上订单!$D:$D,"美团")</f>
        <v>129.10936104567</v>
      </c>
      <c r="G12" s="59">
        <f t="shared" si="1"/>
        <v>0.022874253778597</v>
      </c>
      <c r="H12" s="18">
        <f>SUMIFS(线上订单!$F:$F,线上订单!$B:$B,美团日报!$C12,线上订单!$D:$D,"美团")</f>
        <v>4</v>
      </c>
      <c r="I12" s="18">
        <f>SUMIFS(线上订单!$F:$F,线上订单!$B:$B,美团日报!$C12,线上订单!$D:$D,"美团")</f>
        <v>4</v>
      </c>
      <c r="J12" s="18">
        <f t="shared" si="2"/>
        <v>32.2773402614175</v>
      </c>
      <c r="K12" s="18" t="e">
        <f t="shared" si="0"/>
        <v>#REF!</v>
      </c>
      <c r="L12" s="59" t="e">
        <f>SUMIFS(#REF!,#REF!,美团日报!$C12,#REF!,"美团")</f>
        <v>#REF!</v>
      </c>
      <c r="M12" s="18"/>
      <c r="N12" s="18"/>
      <c r="O12" s="18" t="e">
        <f t="shared" si="3"/>
        <v>#REF!</v>
      </c>
      <c r="P12" s="59" t="e">
        <f>SUMIFS(#REF!,#REF!,美团日报!$C12,#REF!,"美团")</f>
        <v>#REF!</v>
      </c>
      <c r="Q12" s="18"/>
      <c r="R12" s="18"/>
      <c r="S12" s="18" t="e">
        <f t="shared" si="4"/>
        <v>#REF!</v>
      </c>
      <c r="T12" s="59" t="e">
        <f>SUMIFS(#REF!,#REF!,美团日报!$C12,#REF!,"美团")</f>
        <v>#REF!</v>
      </c>
      <c r="U12" s="18" t="e">
        <f t="shared" si="5"/>
        <v>#REF!</v>
      </c>
      <c r="V12" s="59" t="e">
        <f>SUMIFS(#REF!,#REF!,美团日报!$C12,#REF!,"美团")</f>
        <v>#REF!</v>
      </c>
      <c r="W12" s="16" t="s">
        <v>13</v>
      </c>
    </row>
    <row r="13" ht="14.4" spans="1:23">
      <c r="A13" s="16" t="s">
        <v>48</v>
      </c>
      <c r="B13" s="16" t="s">
        <v>49</v>
      </c>
      <c r="C13" s="16">
        <v>8621</v>
      </c>
      <c r="D13" s="16" t="s">
        <v>79</v>
      </c>
      <c r="E13" s="58">
        <f>_xlfn.IFNA(VLOOKUP(C:C,线上线下销售!B:D,3,0),0)</f>
        <v>5489.37</v>
      </c>
      <c r="F13" s="18">
        <f>SUMIFS(线上订单!$E:$E,线上订单!$B:$B,美团日报!$C13,线上订单!$D:$D,"美团")</f>
        <v>693.08679061457</v>
      </c>
      <c r="G13" s="59">
        <f t="shared" si="1"/>
        <v>0.126259805882017</v>
      </c>
      <c r="H13" s="18">
        <f>SUMIFS(线上订单!$F:$F,线上订单!$B:$B,美团日报!$C13,线上订单!$D:$D,"美团")</f>
        <v>19</v>
      </c>
      <c r="I13" s="18">
        <f>SUMIFS(线上订单!$F:$F,线上订单!$B:$B,美团日报!$C13,线上订单!$D:$D,"美团")</f>
        <v>19</v>
      </c>
      <c r="J13" s="18">
        <f t="shared" si="2"/>
        <v>36.4782521376089</v>
      </c>
      <c r="K13" s="18" t="e">
        <f t="shared" si="0"/>
        <v>#REF!</v>
      </c>
      <c r="L13" s="59" t="e">
        <f>SUMIFS(#REF!,#REF!,美团日报!$C13,#REF!,"美团")</f>
        <v>#REF!</v>
      </c>
      <c r="M13" s="18"/>
      <c r="N13" s="18"/>
      <c r="O13" s="18" t="e">
        <f t="shared" si="3"/>
        <v>#REF!</v>
      </c>
      <c r="P13" s="59" t="e">
        <f>SUMIFS(#REF!,#REF!,美团日报!$C13,#REF!,"美团")</f>
        <v>#REF!</v>
      </c>
      <c r="Q13" s="18"/>
      <c r="R13" s="18"/>
      <c r="S13" s="18" t="e">
        <f t="shared" si="4"/>
        <v>#REF!</v>
      </c>
      <c r="T13" s="59" t="e">
        <f>SUMIFS(#REF!,#REF!,美团日报!$C13,#REF!,"美团")</f>
        <v>#REF!</v>
      </c>
      <c r="U13" s="18" t="e">
        <f t="shared" si="5"/>
        <v>#REF!</v>
      </c>
      <c r="V13" s="59" t="e">
        <f>SUMIFS(#REF!,#REF!,美团日报!$C13,#REF!,"美团")</f>
        <v>#REF!</v>
      </c>
      <c r="W13" s="16" t="s">
        <v>13</v>
      </c>
    </row>
    <row r="14" ht="14.4" spans="1:23">
      <c r="A14" s="16" t="s">
        <v>43</v>
      </c>
      <c r="B14" s="16" t="s">
        <v>131</v>
      </c>
      <c r="C14" s="16">
        <v>8634</v>
      </c>
      <c r="D14" s="16" t="s">
        <v>81</v>
      </c>
      <c r="E14" s="58">
        <f>_xlfn.IFNA(VLOOKUP(C:C,线上线下销售!B:D,3,0),0)</f>
        <v>11827.5082</v>
      </c>
      <c r="F14" s="18">
        <f>SUMIFS(线上订单!$E:$E,线上订单!$B:$B,美团日报!$C14,线上订单!$D:$D,"美团")</f>
        <v>494.86725663719</v>
      </c>
      <c r="G14" s="59">
        <f t="shared" si="1"/>
        <v>0.041840364704815</v>
      </c>
      <c r="H14" s="18">
        <f>SUMIFS(线上订单!$F:$F,线上订单!$B:$B,美团日报!$C14,线上订单!$D:$D,"美团")</f>
        <v>11</v>
      </c>
      <c r="I14" s="18">
        <f>SUMIFS(线上订单!$F:$F,线上订单!$B:$B,美团日报!$C14,线上订单!$D:$D,"美团")</f>
        <v>11</v>
      </c>
      <c r="J14" s="18">
        <f t="shared" si="2"/>
        <v>44.9879324215627</v>
      </c>
      <c r="K14" s="18" t="e">
        <f t="shared" si="0"/>
        <v>#REF!</v>
      </c>
      <c r="L14" s="59" t="e">
        <f>SUMIFS(#REF!,#REF!,美团日报!$C14,#REF!,"美团")</f>
        <v>#REF!</v>
      </c>
      <c r="M14" s="18"/>
      <c r="N14" s="18"/>
      <c r="O14" s="18" t="e">
        <f t="shared" si="3"/>
        <v>#REF!</v>
      </c>
      <c r="P14" s="59" t="e">
        <f>SUMIFS(#REF!,#REF!,美团日报!$C14,#REF!,"美团")</f>
        <v>#REF!</v>
      </c>
      <c r="Q14" s="18"/>
      <c r="R14" s="18"/>
      <c r="S14" s="18" t="e">
        <f t="shared" si="4"/>
        <v>#REF!</v>
      </c>
      <c r="T14" s="59" t="e">
        <f>SUMIFS(#REF!,#REF!,美团日报!$C14,#REF!,"美团")</f>
        <v>#REF!</v>
      </c>
      <c r="U14" s="18" t="e">
        <f t="shared" si="5"/>
        <v>#REF!</v>
      </c>
      <c r="V14" s="59" t="e">
        <f>SUMIFS(#REF!,#REF!,美团日报!$C14,#REF!,"美团")</f>
        <v>#REF!</v>
      </c>
      <c r="W14" s="16" t="s">
        <v>13</v>
      </c>
    </row>
    <row r="15" ht="14.4" spans="1:23">
      <c r="A15" s="16" t="s">
        <v>48</v>
      </c>
      <c r="B15" s="16" t="s">
        <v>83</v>
      </c>
      <c r="C15" s="16">
        <v>8623</v>
      </c>
      <c r="D15" s="16" t="s">
        <v>84</v>
      </c>
      <c r="E15" s="58">
        <f>_xlfn.IFNA(VLOOKUP(C:C,线上线下销售!B:D,3,0),0)</f>
        <v>6866.9293</v>
      </c>
      <c r="F15" s="18">
        <f>SUMIFS(线上订单!$E:$E,线上订单!$B:$B,美团日报!$C15,线上订单!$D:$D,"美团")</f>
        <v>1122.33579605424</v>
      </c>
      <c r="G15" s="59">
        <f t="shared" si="1"/>
        <v>0.16344070937999</v>
      </c>
      <c r="H15" s="18">
        <f>SUMIFS(线上订单!$F:$F,线上订单!$B:$B,美团日报!$C15,线上订单!$D:$D,"美团")</f>
        <v>30</v>
      </c>
      <c r="I15" s="18">
        <f>SUMIFS(线上订单!$F:$F,线上订单!$B:$B,美团日报!$C15,线上订单!$D:$D,"美团")</f>
        <v>30</v>
      </c>
      <c r="J15" s="18">
        <f t="shared" si="2"/>
        <v>37.411193201808</v>
      </c>
      <c r="K15" s="18" t="e">
        <f t="shared" si="0"/>
        <v>#REF!</v>
      </c>
      <c r="L15" s="59" t="e">
        <f>SUMIFS(#REF!,#REF!,美团日报!$C15,#REF!,"美团")</f>
        <v>#REF!</v>
      </c>
      <c r="M15" s="18"/>
      <c r="N15" s="18"/>
      <c r="O15" s="18" t="e">
        <f t="shared" si="3"/>
        <v>#REF!</v>
      </c>
      <c r="P15" s="59" t="e">
        <f>SUMIFS(#REF!,#REF!,美团日报!$C15,#REF!,"美团")</f>
        <v>#REF!</v>
      </c>
      <c r="Q15" s="18"/>
      <c r="R15" s="18"/>
      <c r="S15" s="18" t="e">
        <f t="shared" si="4"/>
        <v>#REF!</v>
      </c>
      <c r="T15" s="59" t="e">
        <f>SUMIFS(#REF!,#REF!,美团日报!$C15,#REF!,"美团")</f>
        <v>#REF!</v>
      </c>
      <c r="U15" s="18" t="e">
        <f t="shared" si="5"/>
        <v>#REF!</v>
      </c>
      <c r="V15" s="59" t="e">
        <f>SUMIFS(#REF!,#REF!,美团日报!$C15,#REF!,"美团")</f>
        <v>#REF!</v>
      </c>
      <c r="W15" s="16" t="s">
        <v>13</v>
      </c>
    </row>
    <row r="16" ht="14.4" spans="1:23">
      <c r="A16" s="16" t="s">
        <v>63</v>
      </c>
      <c r="B16" s="16" t="s">
        <v>574</v>
      </c>
      <c r="C16" s="16">
        <v>8653</v>
      </c>
      <c r="D16" s="16" t="s">
        <v>87</v>
      </c>
      <c r="E16" s="58">
        <f>_xlfn.IFNA(VLOOKUP(C:C,线上线下销售!B:D,3,0),0)</f>
        <v>3342.9164</v>
      </c>
      <c r="F16" s="18">
        <f>SUMIFS(线上订单!$E:$E,线上订单!$B:$B,美团日报!$C16,线上订单!$D:$D,"美团")</f>
        <v>222.65405537063</v>
      </c>
      <c r="G16" s="59">
        <f t="shared" si="1"/>
        <v>0.0666047333312404</v>
      </c>
      <c r="H16" s="18">
        <f>SUMIFS(线上订单!$F:$F,线上订单!$B:$B,美团日报!$C16,线上订单!$D:$D,"美团")</f>
        <v>7</v>
      </c>
      <c r="I16" s="18">
        <f>SUMIFS(线上订单!$F:$F,线上订单!$B:$B,美团日报!$C16,线上订单!$D:$D,"美团")</f>
        <v>7</v>
      </c>
      <c r="J16" s="18">
        <f t="shared" si="2"/>
        <v>31.8077221958043</v>
      </c>
      <c r="K16" s="18" t="e">
        <f t="shared" si="0"/>
        <v>#REF!</v>
      </c>
      <c r="L16" s="59" t="e">
        <f>SUMIFS(#REF!,#REF!,美团日报!$C16,#REF!,"美团")</f>
        <v>#REF!</v>
      </c>
      <c r="M16" s="18"/>
      <c r="N16" s="18"/>
      <c r="O16" s="18" t="e">
        <f t="shared" si="3"/>
        <v>#REF!</v>
      </c>
      <c r="P16" s="59" t="e">
        <f>SUMIFS(#REF!,#REF!,美团日报!$C16,#REF!,"美团")</f>
        <v>#REF!</v>
      </c>
      <c r="Q16" s="18"/>
      <c r="R16" s="18"/>
      <c r="S16" s="18" t="e">
        <f t="shared" si="4"/>
        <v>#REF!</v>
      </c>
      <c r="T16" s="59" t="e">
        <f>SUMIFS(#REF!,#REF!,美团日报!$C16,#REF!,"美团")</f>
        <v>#REF!</v>
      </c>
      <c r="U16" s="18" t="e">
        <f t="shared" si="5"/>
        <v>#REF!</v>
      </c>
      <c r="V16" s="59" t="e">
        <f>SUMIFS(#REF!,#REF!,美团日报!$C16,#REF!,"美团")</f>
        <v>#REF!</v>
      </c>
      <c r="W16" s="16" t="s">
        <v>13</v>
      </c>
    </row>
    <row r="17" ht="14.4" spans="1:23">
      <c r="A17" s="16" t="s">
        <v>48</v>
      </c>
      <c r="B17" s="16" t="s">
        <v>89</v>
      </c>
      <c r="C17" s="16">
        <v>8622</v>
      </c>
      <c r="D17" s="16" t="s">
        <v>90</v>
      </c>
      <c r="E17" s="58">
        <f>_xlfn.IFNA(VLOOKUP(C:C,线上线下销售!B:D,3,0),0)</f>
        <v>10514.0517</v>
      </c>
      <c r="F17" s="18">
        <f>SUMIFS(线上订单!$E:$E,线上订单!$B:$B,美团日报!$C17,线上订单!$D:$D,"美团")</f>
        <v>2118.07907769735</v>
      </c>
      <c r="G17" s="59">
        <f t="shared" si="1"/>
        <v>0.201452222048456</v>
      </c>
      <c r="H17" s="18">
        <f>SUMIFS(线上订单!$F:$F,线上订单!$B:$B,美团日报!$C17,线上订单!$D:$D,"美团")</f>
        <v>56</v>
      </c>
      <c r="I17" s="18">
        <f>SUMIFS(线上订单!$F:$F,线上订单!$B:$B,美团日报!$C17,线上订单!$D:$D,"美团")</f>
        <v>56</v>
      </c>
      <c r="J17" s="18">
        <f t="shared" si="2"/>
        <v>37.822840673167</v>
      </c>
      <c r="K17" s="18" t="e">
        <f t="shared" si="0"/>
        <v>#REF!</v>
      </c>
      <c r="L17" s="59" t="e">
        <f>SUMIFS(#REF!,#REF!,美团日报!$C17,#REF!,"美团")</f>
        <v>#REF!</v>
      </c>
      <c r="M17" s="18"/>
      <c r="N17" s="18"/>
      <c r="O17" s="18" t="e">
        <f t="shared" si="3"/>
        <v>#REF!</v>
      </c>
      <c r="P17" s="59" t="e">
        <f>SUMIFS(#REF!,#REF!,美团日报!$C17,#REF!,"美团")</f>
        <v>#REF!</v>
      </c>
      <c r="Q17" s="18"/>
      <c r="R17" s="18"/>
      <c r="S17" s="18" t="e">
        <f t="shared" si="4"/>
        <v>#REF!</v>
      </c>
      <c r="T17" s="59" t="e">
        <f>SUMIFS(#REF!,#REF!,美团日报!$C17,#REF!,"美团")</f>
        <v>#REF!</v>
      </c>
      <c r="U17" s="18" t="e">
        <f t="shared" si="5"/>
        <v>#REF!</v>
      </c>
      <c r="V17" s="59" t="e">
        <f>SUMIFS(#REF!,#REF!,美团日报!$C17,#REF!,"美团")</f>
        <v>#REF!</v>
      </c>
      <c r="W17" s="16" t="s">
        <v>13</v>
      </c>
    </row>
    <row r="18" ht="14.4" spans="1:23">
      <c r="A18" s="16" t="s">
        <v>56</v>
      </c>
      <c r="B18" s="16" t="s">
        <v>118</v>
      </c>
      <c r="C18" s="16">
        <v>8614</v>
      </c>
      <c r="D18" s="16" t="s">
        <v>93</v>
      </c>
      <c r="E18" s="58">
        <f>_xlfn.IFNA(VLOOKUP(C:C,线上线下销售!B:D,3,0),0)</f>
        <v>8560.2456</v>
      </c>
      <c r="F18" s="18">
        <f>SUMIFS(线上订单!$E:$E,线上订单!$B:$B,美团日报!$C18,线上订单!$D:$D,"美团")</f>
        <v>57.5221238938</v>
      </c>
      <c r="G18" s="59">
        <f t="shared" si="1"/>
        <v>0.00671968148832085</v>
      </c>
      <c r="H18" s="18">
        <f>SUMIFS(线上订单!$F:$F,线上订单!$B:$B,美团日报!$C18,线上订单!$D:$D,"美团")</f>
        <v>1</v>
      </c>
      <c r="I18" s="18">
        <f>SUMIFS(线上订单!$F:$F,线上订单!$B:$B,美团日报!$C18,线上订单!$D:$D,"美团")</f>
        <v>1</v>
      </c>
      <c r="J18" s="18">
        <f t="shared" si="2"/>
        <v>57.5221238938</v>
      </c>
      <c r="K18" s="18" t="e">
        <f t="shared" si="0"/>
        <v>#REF!</v>
      </c>
      <c r="L18" s="59" t="e">
        <f>SUMIFS(#REF!,#REF!,美团日报!$C18,#REF!,"美团")</f>
        <v>#REF!</v>
      </c>
      <c r="M18" s="18"/>
      <c r="N18" s="18"/>
      <c r="O18" s="18" t="e">
        <f t="shared" si="3"/>
        <v>#REF!</v>
      </c>
      <c r="P18" s="59" t="e">
        <f>SUMIFS(#REF!,#REF!,美团日报!$C18,#REF!,"美团")</f>
        <v>#REF!</v>
      </c>
      <c r="Q18" s="18"/>
      <c r="R18" s="18"/>
      <c r="S18" s="18" t="e">
        <f t="shared" si="4"/>
        <v>#REF!</v>
      </c>
      <c r="T18" s="59" t="e">
        <f>SUMIFS(#REF!,#REF!,美团日报!$C18,#REF!,"美团")</f>
        <v>#REF!</v>
      </c>
      <c r="U18" s="18" t="e">
        <f t="shared" si="5"/>
        <v>#REF!</v>
      </c>
      <c r="V18" s="59" t="e">
        <f>SUMIFS(#REF!,#REF!,美团日报!$C18,#REF!,"美团")</f>
        <v>#REF!</v>
      </c>
      <c r="W18" s="16" t="s">
        <v>13</v>
      </c>
    </row>
    <row r="19" ht="14.4" spans="1:23">
      <c r="A19" s="16" t="s">
        <v>48</v>
      </c>
      <c r="B19" s="16" t="s">
        <v>83</v>
      </c>
      <c r="C19" s="16">
        <v>8625</v>
      </c>
      <c r="D19" s="16" t="s">
        <v>95</v>
      </c>
      <c r="E19" s="58">
        <f>_xlfn.IFNA(VLOOKUP(C:C,线上线下销售!B:D,3,0),0)</f>
        <v>7384.6683</v>
      </c>
      <c r="F19" s="18">
        <f>SUMIFS(线上订单!$E:$E,线上订单!$B:$B,美团日报!$C19,线上订单!$D:$D,"美团")</f>
        <v>2227.17057725087</v>
      </c>
      <c r="G19" s="59">
        <f t="shared" si="1"/>
        <v>0.301593854560925</v>
      </c>
      <c r="H19" s="18">
        <f>SUMIFS(线上订单!$F:$F,线上订单!$B:$B,美团日报!$C19,线上订单!$D:$D,"美团")</f>
        <v>57</v>
      </c>
      <c r="I19" s="18">
        <f>SUMIFS(线上订单!$F:$F,线上订单!$B:$B,美团日报!$C19,线上订单!$D:$D,"美团")</f>
        <v>57</v>
      </c>
      <c r="J19" s="18">
        <f t="shared" si="2"/>
        <v>39.0731680219451</v>
      </c>
      <c r="K19" s="18" t="e">
        <f t="shared" si="0"/>
        <v>#REF!</v>
      </c>
      <c r="L19" s="59" t="e">
        <f>SUMIFS(#REF!,#REF!,美团日报!$C19,#REF!,"美团")</f>
        <v>#REF!</v>
      </c>
      <c r="M19" s="18"/>
      <c r="N19" s="18"/>
      <c r="O19" s="18" t="e">
        <f t="shared" si="3"/>
        <v>#REF!</v>
      </c>
      <c r="P19" s="59" t="e">
        <f>SUMIFS(#REF!,#REF!,美团日报!$C19,#REF!,"美团")</f>
        <v>#REF!</v>
      </c>
      <c r="Q19" s="18"/>
      <c r="R19" s="18"/>
      <c r="S19" s="18" t="e">
        <f t="shared" si="4"/>
        <v>#REF!</v>
      </c>
      <c r="T19" s="59" t="e">
        <f>SUMIFS(#REF!,#REF!,美团日报!$C19,#REF!,"美团")</f>
        <v>#REF!</v>
      </c>
      <c r="U19" s="18" t="e">
        <f t="shared" si="5"/>
        <v>#REF!</v>
      </c>
      <c r="V19" s="59" t="e">
        <f>SUMIFS(#REF!,#REF!,美团日报!$C19,#REF!,"美团")</f>
        <v>#REF!</v>
      </c>
      <c r="W19" s="16" t="s">
        <v>13</v>
      </c>
    </row>
    <row r="20" ht="14.4" spans="1:23">
      <c r="A20" s="16" t="s">
        <v>56</v>
      </c>
      <c r="B20" s="16" t="s">
        <v>52</v>
      </c>
      <c r="C20" s="16">
        <v>8655</v>
      </c>
      <c r="D20" s="16" t="s">
        <v>97</v>
      </c>
      <c r="E20" s="58">
        <f>_xlfn.IFNA(VLOOKUP(C:C,线上线下销售!B:D,3,0),0)</f>
        <v>10609.3829</v>
      </c>
      <c r="F20" s="18">
        <f>SUMIFS(线上订单!$E:$E,线上订单!$B:$B,美团日报!$C20,线上订单!$D:$D,"美团")</f>
        <v>363.02589916376</v>
      </c>
      <c r="G20" s="59">
        <f t="shared" si="1"/>
        <v>0.0342174377704626</v>
      </c>
      <c r="H20" s="18">
        <f>SUMIFS(线上订单!$F:$F,线上订单!$B:$B,美团日报!$C20,线上订单!$D:$D,"美团")</f>
        <v>6</v>
      </c>
      <c r="I20" s="18">
        <f>SUMIFS(线上订单!$F:$F,线上订单!$B:$B,美团日报!$C20,线上订单!$D:$D,"美团")</f>
        <v>6</v>
      </c>
      <c r="J20" s="18">
        <f t="shared" si="2"/>
        <v>60.5043165272933</v>
      </c>
      <c r="K20" s="18" t="e">
        <f t="shared" si="0"/>
        <v>#REF!</v>
      </c>
      <c r="L20" s="59" t="e">
        <f>SUMIFS(#REF!,#REF!,美团日报!$C20,#REF!,"美团")</f>
        <v>#REF!</v>
      </c>
      <c r="M20" s="18"/>
      <c r="N20" s="18"/>
      <c r="O20" s="18" t="e">
        <f t="shared" si="3"/>
        <v>#REF!</v>
      </c>
      <c r="P20" s="59" t="e">
        <f>SUMIFS(#REF!,#REF!,美团日报!$C20,#REF!,"美团")</f>
        <v>#REF!</v>
      </c>
      <c r="Q20" s="18"/>
      <c r="R20" s="18"/>
      <c r="S20" s="18" t="e">
        <f t="shared" si="4"/>
        <v>#REF!</v>
      </c>
      <c r="T20" s="59" t="e">
        <f>SUMIFS(#REF!,#REF!,美团日报!$C20,#REF!,"美团")</f>
        <v>#REF!</v>
      </c>
      <c r="U20" s="18" t="e">
        <f t="shared" si="5"/>
        <v>#REF!</v>
      </c>
      <c r="V20" s="59" t="e">
        <f>SUMIFS(#REF!,#REF!,美团日报!$C20,#REF!,"美团")</f>
        <v>#REF!</v>
      </c>
      <c r="W20" s="16" t="s">
        <v>13</v>
      </c>
    </row>
    <row r="21" ht="14.4" spans="1:23">
      <c r="A21" s="16" t="s">
        <v>63</v>
      </c>
      <c r="B21" s="16" t="s">
        <v>86</v>
      </c>
      <c r="C21" s="16">
        <v>8651</v>
      </c>
      <c r="D21" s="16" t="s">
        <v>100</v>
      </c>
      <c r="E21" s="58">
        <f>_xlfn.IFNA(VLOOKUP(C:C,线上线下销售!B:D,3,0),0)</f>
        <v>10740.3633</v>
      </c>
      <c r="F21" s="18">
        <f>SUMIFS(线上订单!$E:$E,线上订单!$B:$B,美团日报!$C21,线上订单!$D:$D,"美团")</f>
        <v>2329.57822521708</v>
      </c>
      <c r="G21" s="59">
        <f t="shared" si="1"/>
        <v>0.216899387864941</v>
      </c>
      <c r="H21" s="18">
        <f>SUMIFS(线上订单!$F:$F,线上订单!$B:$B,美团日报!$C21,线上订单!$D:$D,"美团")</f>
        <v>60</v>
      </c>
      <c r="I21" s="18">
        <f>SUMIFS(线上订单!$F:$F,线上订单!$B:$B,美团日报!$C21,线上订单!$D:$D,"美团")</f>
        <v>60</v>
      </c>
      <c r="J21" s="18">
        <f t="shared" si="2"/>
        <v>38.826303753618</v>
      </c>
      <c r="K21" s="18" t="e">
        <f t="shared" si="0"/>
        <v>#REF!</v>
      </c>
      <c r="L21" s="59" t="e">
        <f>SUMIFS(#REF!,#REF!,美团日报!$C21,#REF!,"美团")</f>
        <v>#REF!</v>
      </c>
      <c r="M21" s="18"/>
      <c r="N21" s="18"/>
      <c r="O21" s="18" t="e">
        <f t="shared" si="3"/>
        <v>#REF!</v>
      </c>
      <c r="P21" s="59" t="e">
        <f>SUMIFS(#REF!,#REF!,美团日报!$C21,#REF!,"美团")</f>
        <v>#REF!</v>
      </c>
      <c r="Q21" s="18"/>
      <c r="R21" s="18"/>
      <c r="S21" s="18" t="e">
        <f t="shared" si="4"/>
        <v>#REF!</v>
      </c>
      <c r="T21" s="59" t="e">
        <f>SUMIFS(#REF!,#REF!,美团日报!$C21,#REF!,"美团")</f>
        <v>#REF!</v>
      </c>
      <c r="U21" s="18" t="e">
        <f t="shared" si="5"/>
        <v>#REF!</v>
      </c>
      <c r="V21" s="59" t="e">
        <f>SUMIFS(#REF!,#REF!,美团日报!$C21,#REF!,"美团")</f>
        <v>#REF!</v>
      </c>
      <c r="W21" s="16" t="s">
        <v>13</v>
      </c>
    </row>
    <row r="22" ht="14.4" spans="1:23">
      <c r="A22" s="16" t="s">
        <v>56</v>
      </c>
      <c r="B22" s="16" t="s">
        <v>57</v>
      </c>
      <c r="C22" s="16">
        <v>8647</v>
      </c>
      <c r="D22" s="16" t="s">
        <v>102</v>
      </c>
      <c r="E22" s="58">
        <f>_xlfn.IFNA(VLOOKUP(C:C,线上线下销售!B:D,3,0),0)</f>
        <v>5690.7758</v>
      </c>
      <c r="F22" s="18">
        <f>SUMIFS(线上订单!$E:$E,线上订单!$B:$B,美团日报!$C22,线上订单!$D:$D,"美团")</f>
        <v>562.45433141182</v>
      </c>
      <c r="G22" s="59">
        <f t="shared" si="1"/>
        <v>0.0988361431163428</v>
      </c>
      <c r="H22" s="18">
        <f>SUMIFS(线上订单!$F:$F,线上订单!$B:$B,美团日报!$C22,线上订单!$D:$D,"美团")</f>
        <v>14</v>
      </c>
      <c r="I22" s="18">
        <f>SUMIFS(线上订单!$F:$F,线上订单!$B:$B,美团日报!$C22,线上订单!$D:$D,"美团")</f>
        <v>14</v>
      </c>
      <c r="J22" s="18">
        <f t="shared" si="2"/>
        <v>40.1753093865586</v>
      </c>
      <c r="K22" s="18" t="e">
        <f t="shared" si="0"/>
        <v>#REF!</v>
      </c>
      <c r="L22" s="59" t="e">
        <f>SUMIFS(#REF!,#REF!,美团日报!$C22,#REF!,"美团")</f>
        <v>#REF!</v>
      </c>
      <c r="M22" s="18"/>
      <c r="N22" s="18"/>
      <c r="O22" s="18" t="e">
        <f t="shared" si="3"/>
        <v>#REF!</v>
      </c>
      <c r="P22" s="59" t="e">
        <f>SUMIFS(#REF!,#REF!,美团日报!$C22,#REF!,"美团")</f>
        <v>#REF!</v>
      </c>
      <c r="Q22" s="18"/>
      <c r="R22" s="18"/>
      <c r="S22" s="18" t="e">
        <f t="shared" si="4"/>
        <v>#REF!</v>
      </c>
      <c r="T22" s="59" t="e">
        <f>SUMIFS(#REF!,#REF!,美团日报!$C22,#REF!,"美团")</f>
        <v>#REF!</v>
      </c>
      <c r="U22" s="18" t="e">
        <f t="shared" si="5"/>
        <v>#REF!</v>
      </c>
      <c r="V22" s="59" t="e">
        <f>SUMIFS(#REF!,#REF!,美团日报!$C22,#REF!,"美团")</f>
        <v>#REF!</v>
      </c>
      <c r="W22" s="16" t="s">
        <v>13</v>
      </c>
    </row>
    <row r="23" ht="14.4" spans="1:23">
      <c r="A23" s="16" t="s">
        <v>56</v>
      </c>
      <c r="B23" s="16" t="s">
        <v>73</v>
      </c>
      <c r="C23" s="16">
        <v>8631</v>
      </c>
      <c r="D23" s="16" t="s">
        <v>104</v>
      </c>
      <c r="E23" s="58">
        <f>_xlfn.IFNA(VLOOKUP(C:C,线上线下销售!B:D,3,0),0)</f>
        <v>0</v>
      </c>
      <c r="F23" s="18">
        <f>SUMIFS(线上订单!$E:$E,线上订单!$B:$B,美团日报!$C23,线上订单!$D:$D,"美团")</f>
        <v>0</v>
      </c>
      <c r="G23" s="59">
        <f t="shared" si="1"/>
        <v>0</v>
      </c>
      <c r="H23" s="18">
        <f>SUMIFS(线上订单!$F:$F,线上订单!$B:$B,美团日报!$C23,线上订单!$D:$D,"美团")</f>
        <v>0</v>
      </c>
      <c r="I23" s="18">
        <f>SUMIFS(线上订单!$F:$F,线上订单!$B:$B,美团日报!$C23,线上订单!$D:$D,"美团")</f>
        <v>0</v>
      </c>
      <c r="J23" s="18">
        <f t="shared" si="2"/>
        <v>0</v>
      </c>
      <c r="K23" s="18" t="e">
        <f t="shared" si="0"/>
        <v>#REF!</v>
      </c>
      <c r="L23" s="59" t="e">
        <f>SUMIFS(#REF!,#REF!,美团日报!$C23,#REF!,"美团")</f>
        <v>#REF!</v>
      </c>
      <c r="M23" s="18"/>
      <c r="N23" s="18"/>
      <c r="O23" s="18" t="e">
        <f t="shared" si="3"/>
        <v>#REF!</v>
      </c>
      <c r="P23" s="59" t="e">
        <f>SUMIFS(#REF!,#REF!,美团日报!$C23,#REF!,"美团")</f>
        <v>#REF!</v>
      </c>
      <c r="Q23" s="18"/>
      <c r="R23" s="18"/>
      <c r="S23" s="18" t="e">
        <f t="shared" si="4"/>
        <v>#REF!</v>
      </c>
      <c r="T23" s="59" t="e">
        <f>SUMIFS(#REF!,#REF!,美团日报!$C23,#REF!,"美团")</f>
        <v>#REF!</v>
      </c>
      <c r="U23" s="18" t="e">
        <f t="shared" si="5"/>
        <v>#REF!</v>
      </c>
      <c r="V23" s="59" t="e">
        <f>SUMIFS(#REF!,#REF!,美团日报!$C23,#REF!,"美团")</f>
        <v>#REF!</v>
      </c>
      <c r="W23" s="16" t="s">
        <v>13</v>
      </c>
    </row>
    <row r="24" ht="14.4" spans="1:23">
      <c r="A24" s="16" t="s">
        <v>63</v>
      </c>
      <c r="B24" s="16" t="s">
        <v>60</v>
      </c>
      <c r="C24" s="16">
        <v>8656</v>
      </c>
      <c r="D24" s="16" t="s">
        <v>106</v>
      </c>
      <c r="E24" s="58">
        <f>_xlfn.IFNA(VLOOKUP(C:C,线上线下销售!B:D,3,0),0)</f>
        <v>5771.653</v>
      </c>
      <c r="F24" s="18">
        <f>SUMIFS(线上订单!$E:$E,线上订单!$B:$B,美团日报!$C24,线上订单!$D:$D,"美团")</f>
        <v>500.69026548668</v>
      </c>
      <c r="G24" s="59">
        <f t="shared" si="1"/>
        <v>0.0867498904536846</v>
      </c>
      <c r="H24" s="18">
        <f>SUMIFS(线上订单!$F:$F,线上订单!$B:$B,美团日报!$C24,线上订单!$D:$D,"美团")</f>
        <v>9</v>
      </c>
      <c r="I24" s="18">
        <f>SUMIFS(线上订单!$F:$F,线上订单!$B:$B,美团日报!$C24,线上订单!$D:$D,"美团")</f>
        <v>9</v>
      </c>
      <c r="J24" s="18">
        <f t="shared" si="2"/>
        <v>55.6322517207422</v>
      </c>
      <c r="K24" s="18" t="e">
        <f t="shared" si="0"/>
        <v>#REF!</v>
      </c>
      <c r="L24" s="59" t="e">
        <f>SUMIFS(#REF!,#REF!,美团日报!$C24,#REF!,"美团")</f>
        <v>#REF!</v>
      </c>
      <c r="M24" s="18"/>
      <c r="N24" s="18"/>
      <c r="O24" s="18" t="e">
        <f t="shared" si="3"/>
        <v>#REF!</v>
      </c>
      <c r="P24" s="59" t="e">
        <f>SUMIFS(#REF!,#REF!,美团日报!$C24,#REF!,"美团")</f>
        <v>#REF!</v>
      </c>
      <c r="Q24" s="18"/>
      <c r="R24" s="18"/>
      <c r="S24" s="18" t="e">
        <f t="shared" si="4"/>
        <v>#REF!</v>
      </c>
      <c r="T24" s="59" t="e">
        <f>SUMIFS(#REF!,#REF!,美团日报!$C24,#REF!,"美团")</f>
        <v>#REF!</v>
      </c>
      <c r="U24" s="18" t="e">
        <f t="shared" si="5"/>
        <v>#REF!</v>
      </c>
      <c r="V24" s="59" t="e">
        <f>SUMIFS(#REF!,#REF!,美团日报!$C24,#REF!,"美团")</f>
        <v>#REF!</v>
      </c>
      <c r="W24" s="16" t="s">
        <v>13</v>
      </c>
    </row>
    <row r="25" ht="14.4" spans="1:23">
      <c r="A25" s="16" t="s">
        <v>63</v>
      </c>
      <c r="B25" s="16" t="s">
        <v>99</v>
      </c>
      <c r="C25" s="16">
        <v>8645</v>
      </c>
      <c r="D25" s="16" t="s">
        <v>109</v>
      </c>
      <c r="E25" s="58">
        <f>_xlfn.IFNA(VLOOKUP(C:C,线上线下销售!B:D,3,0),0)</f>
        <v>3778.4918</v>
      </c>
      <c r="F25" s="18">
        <f>SUMIFS(线上订单!$E:$E,线上订单!$B:$B,美团日报!$C25,线上订单!$D:$D,"美团")</f>
        <v>294.74466184942</v>
      </c>
      <c r="G25" s="59">
        <f t="shared" si="1"/>
        <v>0.0780059022092942</v>
      </c>
      <c r="H25" s="18">
        <f>SUMIFS(线上订单!$F:$F,线上订单!$B:$B,美团日报!$C25,线上订单!$D:$D,"美团")</f>
        <v>7</v>
      </c>
      <c r="I25" s="18">
        <f>SUMIFS(线上订单!$F:$F,线上订单!$B:$B,美团日报!$C25,线上订单!$D:$D,"美团")</f>
        <v>7</v>
      </c>
      <c r="J25" s="18">
        <f t="shared" si="2"/>
        <v>42.1063802642029</v>
      </c>
      <c r="K25" s="18" t="e">
        <f t="shared" si="0"/>
        <v>#REF!</v>
      </c>
      <c r="L25" s="59" t="e">
        <f>SUMIFS(#REF!,#REF!,美团日报!$C25,#REF!,"美团")</f>
        <v>#REF!</v>
      </c>
      <c r="M25" s="18"/>
      <c r="N25" s="18"/>
      <c r="O25" s="18" t="e">
        <f t="shared" si="3"/>
        <v>#REF!</v>
      </c>
      <c r="P25" s="59" t="e">
        <f>SUMIFS(#REF!,#REF!,美团日报!$C25,#REF!,"美团")</f>
        <v>#REF!</v>
      </c>
      <c r="Q25" s="18"/>
      <c r="R25" s="18"/>
      <c r="S25" s="18" t="e">
        <f t="shared" si="4"/>
        <v>#REF!</v>
      </c>
      <c r="T25" s="59" t="e">
        <f>SUMIFS(#REF!,#REF!,美团日报!$C25,#REF!,"美团")</f>
        <v>#REF!</v>
      </c>
      <c r="U25" s="18" t="e">
        <f t="shared" si="5"/>
        <v>#REF!</v>
      </c>
      <c r="V25" s="59" t="e">
        <f>SUMIFS(#REF!,#REF!,美团日报!$C25,#REF!,"美团")</f>
        <v>#REF!</v>
      </c>
      <c r="W25" s="16" t="s">
        <v>13</v>
      </c>
    </row>
    <row r="26" ht="14.4" spans="1:23">
      <c r="A26" s="16" t="s">
        <v>48</v>
      </c>
      <c r="B26" s="16" t="s">
        <v>111</v>
      </c>
      <c r="C26" s="16">
        <v>8607</v>
      </c>
      <c r="D26" s="16" t="s">
        <v>112</v>
      </c>
      <c r="E26" s="58">
        <f>_xlfn.IFNA(VLOOKUP(C:C,线上线下销售!B:D,3,0),0)</f>
        <v>8816.8897</v>
      </c>
      <c r="F26" s="18">
        <f>SUMIFS(线上订单!$E:$E,线上订单!$B:$B,美团日报!$C26,线上订单!$D:$D,"美团")</f>
        <v>2462.67987334556</v>
      </c>
      <c r="G26" s="59">
        <f t="shared" si="1"/>
        <v>0.279313902877288</v>
      </c>
      <c r="H26" s="18">
        <f>SUMIFS(线上订单!$F:$F,线上订单!$B:$B,美团日报!$C26,线上订单!$D:$D,"美团")</f>
        <v>56</v>
      </c>
      <c r="I26" s="18">
        <f>SUMIFS(线上订单!$F:$F,线上订单!$B:$B,美团日报!$C26,线上订单!$D:$D,"美团")</f>
        <v>56</v>
      </c>
      <c r="J26" s="18">
        <f t="shared" si="2"/>
        <v>43.9764263097421</v>
      </c>
      <c r="K26" s="18" t="e">
        <f t="shared" si="0"/>
        <v>#REF!</v>
      </c>
      <c r="L26" s="59" t="e">
        <f>SUMIFS(#REF!,#REF!,美团日报!$C26,#REF!,"美团")</f>
        <v>#REF!</v>
      </c>
      <c r="M26" s="18"/>
      <c r="N26" s="18"/>
      <c r="O26" s="18" t="e">
        <f t="shared" si="3"/>
        <v>#REF!</v>
      </c>
      <c r="P26" s="59" t="e">
        <f>SUMIFS(#REF!,#REF!,美团日报!$C26,#REF!,"美团")</f>
        <v>#REF!</v>
      </c>
      <c r="Q26" s="18"/>
      <c r="R26" s="18"/>
      <c r="S26" s="18" t="e">
        <f t="shared" si="4"/>
        <v>#REF!</v>
      </c>
      <c r="T26" s="59" t="e">
        <f>SUMIFS(#REF!,#REF!,美团日报!$C26,#REF!,"美团")</f>
        <v>#REF!</v>
      </c>
      <c r="U26" s="18" t="e">
        <f t="shared" si="5"/>
        <v>#REF!</v>
      </c>
      <c r="V26" s="59" t="e">
        <f>SUMIFS(#REF!,#REF!,美团日报!$C26,#REF!,"美团")</f>
        <v>#REF!</v>
      </c>
      <c r="W26" s="16" t="s">
        <v>13</v>
      </c>
    </row>
    <row r="27" ht="14.4" spans="1:23">
      <c r="A27" s="16" t="s">
        <v>48</v>
      </c>
      <c r="B27" s="16" t="s">
        <v>111</v>
      </c>
      <c r="C27" s="16">
        <v>8658</v>
      </c>
      <c r="D27" s="16" t="s">
        <v>114</v>
      </c>
      <c r="E27" s="58">
        <f>_xlfn.IFNA(VLOOKUP(C:C,线上线下销售!B:D,3,0),0)</f>
        <v>8410.1373</v>
      </c>
      <c r="F27" s="18">
        <f>SUMIFS(线上订单!$E:$E,线上订单!$B:$B,美团日报!$C27,线上订单!$D:$D,"美团")</f>
        <v>806.6017699114</v>
      </c>
      <c r="G27" s="59">
        <f t="shared" si="1"/>
        <v>0.0959082760648153</v>
      </c>
      <c r="H27" s="18">
        <f>SUMIFS(线上订单!$F:$F,线上订单!$B:$B,美团日报!$C27,线上订单!$D:$D,"美团")</f>
        <v>21</v>
      </c>
      <c r="I27" s="18">
        <f>SUMIFS(线上订单!$F:$F,线上订单!$B:$B,美团日报!$C27,线上订单!$D:$D,"美团")</f>
        <v>21</v>
      </c>
      <c r="J27" s="18">
        <f t="shared" si="2"/>
        <v>38.409608091019</v>
      </c>
      <c r="K27" s="18" t="e">
        <f t="shared" si="0"/>
        <v>#REF!</v>
      </c>
      <c r="L27" s="59" t="e">
        <f>SUMIFS(#REF!,#REF!,美团日报!$C27,#REF!,"美团")</f>
        <v>#REF!</v>
      </c>
      <c r="M27" s="18"/>
      <c r="N27" s="18"/>
      <c r="O27" s="18" t="e">
        <f t="shared" si="3"/>
        <v>#REF!</v>
      </c>
      <c r="P27" s="59" t="e">
        <f>SUMIFS(#REF!,#REF!,美团日报!$C27,#REF!,"美团")</f>
        <v>#REF!</v>
      </c>
      <c r="Q27" s="18"/>
      <c r="R27" s="18"/>
      <c r="S27" s="18" t="e">
        <f t="shared" si="4"/>
        <v>#REF!</v>
      </c>
      <c r="T27" s="59" t="e">
        <f>SUMIFS(#REF!,#REF!,美团日报!$C27,#REF!,"美团")</f>
        <v>#REF!</v>
      </c>
      <c r="U27" s="18" t="e">
        <f t="shared" si="5"/>
        <v>#REF!</v>
      </c>
      <c r="V27" s="59" t="e">
        <f>SUMIFS(#REF!,#REF!,美团日报!$C27,#REF!,"美团")</f>
        <v>#REF!</v>
      </c>
      <c r="W27" s="16" t="s">
        <v>13</v>
      </c>
    </row>
    <row r="28" ht="14.4" spans="1:23">
      <c r="A28" s="16" t="s">
        <v>56</v>
      </c>
      <c r="B28" s="16" t="s">
        <v>70</v>
      </c>
      <c r="C28" s="16">
        <v>8637</v>
      </c>
      <c r="D28" s="16" t="s">
        <v>116</v>
      </c>
      <c r="E28" s="58">
        <f>_xlfn.IFNA(VLOOKUP(C:C,线上线下销售!B:D,3,0),0)</f>
        <v>8921.8529</v>
      </c>
      <c r="F28" s="18">
        <f>SUMIFS(线上订单!$E:$E,线上订单!$B:$B,美团日报!$C28,线上订单!$D:$D,"美团")</f>
        <v>1443.44645611743</v>
      </c>
      <c r="G28" s="59">
        <f t="shared" si="1"/>
        <v>0.16178774435044</v>
      </c>
      <c r="H28" s="18">
        <f>SUMIFS(线上订单!$F:$F,线上订单!$B:$B,美团日报!$C28,线上订单!$D:$D,"美团")</f>
        <v>31</v>
      </c>
      <c r="I28" s="18">
        <f>SUMIFS(线上订单!$F:$F,线上订单!$B:$B,美团日报!$C28,线上订单!$D:$D,"美团")</f>
        <v>31</v>
      </c>
      <c r="J28" s="18">
        <f t="shared" si="2"/>
        <v>46.5627889070139</v>
      </c>
      <c r="K28" s="18" t="e">
        <f t="shared" si="0"/>
        <v>#REF!</v>
      </c>
      <c r="L28" s="59" t="e">
        <f>SUMIFS(#REF!,#REF!,美团日报!$C28,#REF!,"美团")</f>
        <v>#REF!</v>
      </c>
      <c r="M28" s="18"/>
      <c r="N28" s="18"/>
      <c r="O28" s="18" t="e">
        <f t="shared" si="3"/>
        <v>#REF!</v>
      </c>
      <c r="P28" s="59" t="e">
        <f>SUMIFS(#REF!,#REF!,美团日报!$C28,#REF!,"美团")</f>
        <v>#REF!</v>
      </c>
      <c r="Q28" s="18"/>
      <c r="R28" s="18"/>
      <c r="S28" s="18" t="e">
        <f t="shared" si="4"/>
        <v>#REF!</v>
      </c>
      <c r="T28" s="59" t="e">
        <f>SUMIFS(#REF!,#REF!,美团日报!$C28,#REF!,"美团")</f>
        <v>#REF!</v>
      </c>
      <c r="U28" s="18" t="e">
        <f t="shared" si="5"/>
        <v>#REF!</v>
      </c>
      <c r="V28" s="59" t="e">
        <f>SUMIFS(#REF!,#REF!,美团日报!$C28,#REF!,"美团")</f>
        <v>#REF!</v>
      </c>
      <c r="W28" s="16" t="s">
        <v>13</v>
      </c>
    </row>
    <row r="29" ht="14.4" spans="1:23">
      <c r="A29" s="16" t="s">
        <v>56</v>
      </c>
      <c r="B29" s="16" t="s">
        <v>573</v>
      </c>
      <c r="C29" s="16">
        <v>8630</v>
      </c>
      <c r="D29" s="16" t="s">
        <v>119</v>
      </c>
      <c r="E29" s="58">
        <f>_xlfn.IFNA(VLOOKUP(C:C,线上线下销售!B:D,3,0),0)</f>
        <v>6367.5363</v>
      </c>
      <c r="F29" s="18">
        <f>SUMIFS(线上订单!$E:$E,线上订单!$B:$B,美团日报!$C29,线上订单!$D:$D,"美团")</f>
        <v>1081.31525533809</v>
      </c>
      <c r="G29" s="59">
        <f t="shared" si="1"/>
        <v>0.169816896895914</v>
      </c>
      <c r="H29" s="18">
        <f>SUMIFS(线上订单!$F:$F,线上订单!$B:$B,美团日报!$C29,线上订单!$D:$D,"美团")</f>
        <v>24</v>
      </c>
      <c r="I29" s="18">
        <f>SUMIFS(线上订单!$F:$F,线上订单!$B:$B,美团日报!$C29,线上订单!$D:$D,"美团")</f>
        <v>24</v>
      </c>
      <c r="J29" s="18">
        <f t="shared" si="2"/>
        <v>45.0548023057538</v>
      </c>
      <c r="K29" s="18" t="e">
        <f t="shared" si="0"/>
        <v>#REF!</v>
      </c>
      <c r="L29" s="59" t="e">
        <f>SUMIFS(#REF!,#REF!,美团日报!$C29,#REF!,"美团")</f>
        <v>#REF!</v>
      </c>
      <c r="M29" s="18"/>
      <c r="N29" s="18"/>
      <c r="O29" s="18" t="e">
        <f t="shared" si="3"/>
        <v>#REF!</v>
      </c>
      <c r="P29" s="59" t="e">
        <f>SUMIFS(#REF!,#REF!,美团日报!$C29,#REF!,"美团")</f>
        <v>#REF!</v>
      </c>
      <c r="Q29" s="18"/>
      <c r="R29" s="18"/>
      <c r="S29" s="18" t="e">
        <f t="shared" si="4"/>
        <v>#REF!</v>
      </c>
      <c r="T29" s="59" t="e">
        <f>SUMIFS(#REF!,#REF!,美团日报!$C29,#REF!,"美团")</f>
        <v>#REF!</v>
      </c>
      <c r="U29" s="18" t="e">
        <f t="shared" si="5"/>
        <v>#REF!</v>
      </c>
      <c r="V29" s="59" t="e">
        <f>SUMIFS(#REF!,#REF!,美团日报!$C29,#REF!,"美团")</f>
        <v>#REF!</v>
      </c>
      <c r="W29" s="16" t="s">
        <v>13</v>
      </c>
    </row>
    <row r="30" ht="14.4" spans="1:23">
      <c r="A30" s="16" t="s">
        <v>63</v>
      </c>
      <c r="B30" s="16" t="s">
        <v>574</v>
      </c>
      <c r="C30" s="16">
        <v>8672</v>
      </c>
      <c r="D30" s="16" t="s">
        <v>121</v>
      </c>
      <c r="E30" s="58">
        <f>_xlfn.IFNA(VLOOKUP(C:C,线上线下销售!B:D,3,0),0)</f>
        <v>0</v>
      </c>
      <c r="F30" s="18">
        <f>SUMIFS(线上订单!$E:$E,线上订单!$B:$B,美团日报!$C30,线上订单!$D:$D,"美团")</f>
        <v>0</v>
      </c>
      <c r="G30" s="59">
        <f t="shared" si="1"/>
        <v>0</v>
      </c>
      <c r="H30" s="18">
        <f>SUMIFS(线上订单!$F:$F,线上订单!$B:$B,美团日报!$C30,线上订单!$D:$D,"美团")</f>
        <v>0</v>
      </c>
      <c r="I30" s="18">
        <f>SUMIFS(线上订单!$F:$F,线上订单!$B:$B,美团日报!$C30,线上订单!$D:$D,"美团")</f>
        <v>0</v>
      </c>
      <c r="J30" s="18">
        <f t="shared" si="2"/>
        <v>0</v>
      </c>
      <c r="K30" s="18" t="e">
        <f t="shared" si="0"/>
        <v>#REF!</v>
      </c>
      <c r="L30" s="59" t="e">
        <f>SUMIFS(#REF!,#REF!,美团日报!$C30,#REF!,"美团")</f>
        <v>#REF!</v>
      </c>
      <c r="M30" s="18"/>
      <c r="N30" s="18"/>
      <c r="O30" s="18" t="e">
        <f t="shared" si="3"/>
        <v>#REF!</v>
      </c>
      <c r="P30" s="59" t="e">
        <f>SUMIFS(#REF!,#REF!,美团日报!$C30,#REF!,"美团")</f>
        <v>#REF!</v>
      </c>
      <c r="Q30" s="18"/>
      <c r="R30" s="18"/>
      <c r="S30" s="18" t="e">
        <f t="shared" si="4"/>
        <v>#REF!</v>
      </c>
      <c r="T30" s="59" t="e">
        <f>SUMIFS(#REF!,#REF!,美团日报!$C30,#REF!,"美团")</f>
        <v>#REF!</v>
      </c>
      <c r="U30" s="18" t="e">
        <f t="shared" si="5"/>
        <v>#REF!</v>
      </c>
      <c r="V30" s="59" t="e">
        <f>SUMIFS(#REF!,#REF!,美团日报!$C30,#REF!,"美团")</f>
        <v>#REF!</v>
      </c>
      <c r="W30" s="16" t="s">
        <v>13</v>
      </c>
    </row>
    <row r="31" ht="14.4" spans="1:23">
      <c r="A31" s="16" t="s">
        <v>63</v>
      </c>
      <c r="B31" s="16" t="s">
        <v>86</v>
      </c>
      <c r="C31" s="16">
        <v>8626</v>
      </c>
      <c r="D31" s="16" t="s">
        <v>123</v>
      </c>
      <c r="E31" s="58">
        <f>_xlfn.IFNA(VLOOKUP(C:C,线上线下销售!B:D,3,0),0)</f>
        <v>5891.4408</v>
      </c>
      <c r="F31" s="18">
        <f>SUMIFS(线上订单!$E:$E,线上订单!$B:$B,美团日报!$C31,线上订单!$D:$D,"美团")</f>
        <v>546.99115044244</v>
      </c>
      <c r="G31" s="59">
        <f t="shared" si="1"/>
        <v>0.0928450559059237</v>
      </c>
      <c r="H31" s="18">
        <f>SUMIFS(线上订单!$F:$F,线上订单!$B:$B,美团日报!$C31,线上订单!$D:$D,"美团")</f>
        <v>11</v>
      </c>
      <c r="I31" s="18">
        <f>SUMIFS(线上订单!$F:$F,线上订单!$B:$B,美团日报!$C31,线上订单!$D:$D,"美团")</f>
        <v>11</v>
      </c>
      <c r="J31" s="18">
        <f t="shared" si="2"/>
        <v>49.72646822204</v>
      </c>
      <c r="K31" s="18" t="e">
        <f t="shared" si="0"/>
        <v>#REF!</v>
      </c>
      <c r="L31" s="59" t="e">
        <f>SUMIFS(#REF!,#REF!,美团日报!$C31,#REF!,"美团")</f>
        <v>#REF!</v>
      </c>
      <c r="M31" s="18"/>
      <c r="N31" s="18"/>
      <c r="O31" s="18" t="e">
        <f t="shared" si="3"/>
        <v>#REF!</v>
      </c>
      <c r="P31" s="59" t="e">
        <f>SUMIFS(#REF!,#REF!,美团日报!$C31,#REF!,"美团")</f>
        <v>#REF!</v>
      </c>
      <c r="Q31" s="18"/>
      <c r="R31" s="18"/>
      <c r="S31" s="18" t="e">
        <f t="shared" si="4"/>
        <v>#REF!</v>
      </c>
      <c r="T31" s="59" t="e">
        <f>SUMIFS(#REF!,#REF!,美团日报!$C31,#REF!,"美团")</f>
        <v>#REF!</v>
      </c>
      <c r="U31" s="18" t="e">
        <f t="shared" si="5"/>
        <v>#REF!</v>
      </c>
      <c r="V31" s="59" t="e">
        <f>SUMIFS(#REF!,#REF!,美团日报!$C31,#REF!,"美团")</f>
        <v>#REF!</v>
      </c>
      <c r="W31" s="16" t="s">
        <v>13</v>
      </c>
    </row>
    <row r="32" ht="14.4" spans="1:23">
      <c r="A32" s="16" t="s">
        <v>56</v>
      </c>
      <c r="B32" s="16" t="s">
        <v>57</v>
      </c>
      <c r="C32" s="16">
        <v>8640</v>
      </c>
      <c r="D32" s="16" t="s">
        <v>125</v>
      </c>
      <c r="E32" s="58">
        <f>_xlfn.IFNA(VLOOKUP(C:C,线上线下销售!B:D,3,0),0)</f>
        <v>0</v>
      </c>
      <c r="F32" s="18">
        <f>SUMIFS(线上订单!$E:$E,线上订单!$B:$B,美团日报!$C32,线上订单!$D:$D,"美团")</f>
        <v>0</v>
      </c>
      <c r="G32" s="59">
        <f t="shared" si="1"/>
        <v>0</v>
      </c>
      <c r="H32" s="18">
        <f>SUMIFS(线上订单!$F:$F,线上订单!$B:$B,美团日报!$C32,线上订单!$D:$D,"美团")</f>
        <v>0</v>
      </c>
      <c r="I32" s="18">
        <f>SUMIFS(线上订单!$F:$F,线上订单!$B:$B,美团日报!$C32,线上订单!$D:$D,"美团")</f>
        <v>0</v>
      </c>
      <c r="J32" s="18">
        <f t="shared" si="2"/>
        <v>0</v>
      </c>
      <c r="K32" s="18" t="e">
        <f t="shared" si="0"/>
        <v>#REF!</v>
      </c>
      <c r="L32" s="59" t="e">
        <f>SUMIFS(#REF!,#REF!,美团日报!$C32,#REF!,"美团")</f>
        <v>#REF!</v>
      </c>
      <c r="M32" s="18"/>
      <c r="N32" s="18"/>
      <c r="O32" s="18" t="e">
        <f t="shared" si="3"/>
        <v>#REF!</v>
      </c>
      <c r="P32" s="59" t="e">
        <f>SUMIFS(#REF!,#REF!,美团日报!$C32,#REF!,"美团")</f>
        <v>#REF!</v>
      </c>
      <c r="Q32" s="18"/>
      <c r="R32" s="18"/>
      <c r="S32" s="18" t="e">
        <f t="shared" si="4"/>
        <v>#REF!</v>
      </c>
      <c r="T32" s="59" t="e">
        <f>SUMIFS(#REF!,#REF!,美团日报!$C32,#REF!,"美团")</f>
        <v>#REF!</v>
      </c>
      <c r="U32" s="18" t="e">
        <f t="shared" si="5"/>
        <v>#REF!</v>
      </c>
      <c r="V32" s="59" t="e">
        <f>SUMIFS(#REF!,#REF!,美团日报!$C32,#REF!,"美团")</f>
        <v>#REF!</v>
      </c>
      <c r="W32" s="16" t="s">
        <v>13</v>
      </c>
    </row>
    <row r="33" ht="14.4" spans="1:23">
      <c r="A33" s="16" t="s">
        <v>63</v>
      </c>
      <c r="B33" s="16" t="s">
        <v>60</v>
      </c>
      <c r="C33" s="16">
        <v>8638</v>
      </c>
      <c r="D33" s="16" t="s">
        <v>127</v>
      </c>
      <c r="E33" s="58">
        <f>_xlfn.IFNA(VLOOKUP(C:C,线上线下销售!B:D,3,0),0)</f>
        <v>7565.1295</v>
      </c>
      <c r="F33" s="18">
        <f>SUMIFS(线上订单!$E:$E,线上订单!$B:$B,美团日报!$C33,线上订单!$D:$D,"美团")</f>
        <v>2876.96094828257</v>
      </c>
      <c r="G33" s="59">
        <f t="shared" si="1"/>
        <v>0.380292359606345</v>
      </c>
      <c r="H33" s="18">
        <f>SUMIFS(线上订单!$F:$F,线上订单!$B:$B,美团日报!$C33,线上订单!$D:$D,"美团")</f>
        <v>73</v>
      </c>
      <c r="I33" s="18">
        <f>SUMIFS(线上订单!$F:$F,线上订单!$B:$B,美团日报!$C33,线上订单!$D:$D,"美团")</f>
        <v>73</v>
      </c>
      <c r="J33" s="18">
        <f t="shared" si="2"/>
        <v>39.4104239490763</v>
      </c>
      <c r="K33" s="18" t="e">
        <f t="shared" si="0"/>
        <v>#REF!</v>
      </c>
      <c r="L33" s="59" t="e">
        <f>SUMIFS(#REF!,#REF!,美团日报!$C33,#REF!,"美团")</f>
        <v>#REF!</v>
      </c>
      <c r="M33" s="18"/>
      <c r="N33" s="18"/>
      <c r="O33" s="18" t="e">
        <f t="shared" si="3"/>
        <v>#REF!</v>
      </c>
      <c r="P33" s="59" t="e">
        <f>SUMIFS(#REF!,#REF!,美团日报!$C33,#REF!,"美团")</f>
        <v>#REF!</v>
      </c>
      <c r="Q33" s="18"/>
      <c r="R33" s="18"/>
      <c r="S33" s="18" t="e">
        <f t="shared" si="4"/>
        <v>#REF!</v>
      </c>
      <c r="T33" s="59" t="e">
        <f>SUMIFS(#REF!,#REF!,美团日报!$C33,#REF!,"美团")</f>
        <v>#REF!</v>
      </c>
      <c r="U33" s="18" t="e">
        <f t="shared" si="5"/>
        <v>#REF!</v>
      </c>
      <c r="V33" s="59" t="e">
        <f>SUMIFS(#REF!,#REF!,美团日报!$C33,#REF!,"美团")</f>
        <v>#REF!</v>
      </c>
      <c r="W33" s="16" t="s">
        <v>13</v>
      </c>
    </row>
    <row r="34" ht="14.4" spans="1:23">
      <c r="A34" s="16" t="s">
        <v>63</v>
      </c>
      <c r="B34" s="16" t="s">
        <v>168</v>
      </c>
      <c r="C34" s="16">
        <v>8610</v>
      </c>
      <c r="D34" s="16" t="s">
        <v>129</v>
      </c>
      <c r="E34" s="58">
        <f>_xlfn.IFNA(VLOOKUP(C:C,线上线下销售!B:D,3,0),0)</f>
        <v>10042.8102</v>
      </c>
      <c r="F34" s="18">
        <f>SUMIFS(线上订单!$E:$E,线上订单!$B:$B,美团日报!$C34,线上订单!$D:$D,"美团")</f>
        <v>976.24583908414</v>
      </c>
      <c r="G34" s="59">
        <f t="shared" si="1"/>
        <v>0.0972084326640107</v>
      </c>
      <c r="H34" s="18">
        <f>SUMIFS(线上订单!$F:$F,线上订单!$B:$B,美团日报!$C34,线上订单!$D:$D,"美团")</f>
        <v>21</v>
      </c>
      <c r="I34" s="18">
        <f>SUMIFS(线上订单!$F:$F,线上订单!$B:$B,美团日报!$C34,线上订单!$D:$D,"美团")</f>
        <v>21</v>
      </c>
      <c r="J34" s="18">
        <f t="shared" si="2"/>
        <v>46.4878970992448</v>
      </c>
      <c r="K34" s="18" t="e">
        <f t="shared" ref="K34:K66" si="6">H34*L34</f>
        <v>#REF!</v>
      </c>
      <c r="L34" s="59" t="e">
        <f>SUMIFS(#REF!,#REF!,美团日报!$C34,#REF!,"美团")</f>
        <v>#REF!</v>
      </c>
      <c r="M34" s="18"/>
      <c r="N34" s="18"/>
      <c r="O34" s="18" t="e">
        <f t="shared" si="3"/>
        <v>#REF!</v>
      </c>
      <c r="P34" s="59" t="e">
        <f>SUMIFS(#REF!,#REF!,美团日报!$C34,#REF!,"美团")</f>
        <v>#REF!</v>
      </c>
      <c r="Q34" s="18"/>
      <c r="R34" s="18"/>
      <c r="S34" s="18" t="e">
        <f t="shared" si="4"/>
        <v>#REF!</v>
      </c>
      <c r="T34" s="59" t="e">
        <f>SUMIFS(#REF!,#REF!,美团日报!$C34,#REF!,"美团")</f>
        <v>#REF!</v>
      </c>
      <c r="U34" s="18" t="e">
        <f t="shared" si="5"/>
        <v>#REF!</v>
      </c>
      <c r="V34" s="59" t="e">
        <f>SUMIFS(#REF!,#REF!,美团日报!$C34,#REF!,"美团")</f>
        <v>#REF!</v>
      </c>
      <c r="W34" s="16" t="s">
        <v>13</v>
      </c>
    </row>
    <row r="35" ht="14.4" spans="1:23">
      <c r="A35" s="16" t="s">
        <v>43</v>
      </c>
      <c r="B35" s="16" t="s">
        <v>38</v>
      </c>
      <c r="C35" s="16">
        <v>8633</v>
      </c>
      <c r="D35" s="16" t="s">
        <v>132</v>
      </c>
      <c r="E35" s="58">
        <f>_xlfn.IFNA(VLOOKUP(C:C,线上线下销售!B:D,3,0),0)</f>
        <v>7633.1084</v>
      </c>
      <c r="F35" s="18">
        <f>SUMIFS(线上订单!$E:$E,线上订单!$B:$B,美团日报!$C35,线上订单!$D:$D,"美团")</f>
        <v>1221.26413087593</v>
      </c>
      <c r="G35" s="59">
        <f t="shared" si="1"/>
        <v>0.159995648807494</v>
      </c>
      <c r="H35" s="18">
        <f>SUMIFS(线上订单!$F:$F,线上订单!$B:$B,美团日报!$C35,线上订单!$D:$D,"美团")</f>
        <v>31</v>
      </c>
      <c r="I35" s="18">
        <f>SUMIFS(线上订单!$F:$F,线上订单!$B:$B,美团日报!$C35,线上订单!$D:$D,"美团")</f>
        <v>31</v>
      </c>
      <c r="J35" s="18">
        <f t="shared" si="2"/>
        <v>39.39561712503</v>
      </c>
      <c r="K35" s="18" t="e">
        <f t="shared" si="6"/>
        <v>#REF!</v>
      </c>
      <c r="L35" s="59" t="e">
        <f>SUMIFS(#REF!,#REF!,美团日报!$C35,#REF!,"美团")</f>
        <v>#REF!</v>
      </c>
      <c r="M35" s="18"/>
      <c r="N35" s="18"/>
      <c r="O35" s="18" t="e">
        <f t="shared" si="3"/>
        <v>#REF!</v>
      </c>
      <c r="P35" s="59" t="e">
        <f>SUMIFS(#REF!,#REF!,美团日报!$C35,#REF!,"美团")</f>
        <v>#REF!</v>
      </c>
      <c r="Q35" s="18"/>
      <c r="R35" s="18"/>
      <c r="S35" s="18" t="e">
        <f t="shared" si="4"/>
        <v>#REF!</v>
      </c>
      <c r="T35" s="59" t="e">
        <f>SUMIFS(#REF!,#REF!,美团日报!$C35,#REF!,"美团")</f>
        <v>#REF!</v>
      </c>
      <c r="U35" s="18" t="e">
        <f t="shared" si="5"/>
        <v>#REF!</v>
      </c>
      <c r="V35" s="59" t="e">
        <f>SUMIFS(#REF!,#REF!,美团日报!$C35,#REF!,"美团")</f>
        <v>#REF!</v>
      </c>
      <c r="W35" s="16" t="s">
        <v>13</v>
      </c>
    </row>
    <row r="36" ht="14.4" spans="1:23">
      <c r="A36" s="16" t="s">
        <v>56</v>
      </c>
      <c r="B36" s="16" t="s">
        <v>70</v>
      </c>
      <c r="C36" s="16">
        <v>8612</v>
      </c>
      <c r="D36" s="16" t="s">
        <v>135</v>
      </c>
      <c r="E36" s="58">
        <f>_xlfn.IFNA(VLOOKUP(C:C,线上线下销售!B:D,3,0),0)</f>
        <v>4427.5418</v>
      </c>
      <c r="F36" s="18">
        <f>SUMIFS(线上订单!$E:$E,线上订单!$B:$B,美团日报!$C36,线上订单!$D:$D,"美团")</f>
        <v>683.38053097334</v>
      </c>
      <c r="G36" s="59">
        <f t="shared" si="1"/>
        <v>0.15434761812375</v>
      </c>
      <c r="H36" s="18">
        <f>SUMIFS(线上订单!$F:$F,线上订单!$B:$B,美团日报!$C36,线上订单!$D:$D,"美团")</f>
        <v>19</v>
      </c>
      <c r="I36" s="18">
        <f>SUMIFS(线上订单!$F:$F,线上订单!$B:$B,美团日报!$C36,线上订单!$D:$D,"美团")</f>
        <v>19</v>
      </c>
      <c r="J36" s="18">
        <f t="shared" si="2"/>
        <v>35.9673963670179</v>
      </c>
      <c r="K36" s="18" t="e">
        <f t="shared" si="6"/>
        <v>#REF!</v>
      </c>
      <c r="L36" s="59" t="e">
        <f>SUMIFS(#REF!,#REF!,美团日报!$C36,#REF!,"美团")</f>
        <v>#REF!</v>
      </c>
      <c r="M36" s="18"/>
      <c r="N36" s="18"/>
      <c r="O36" s="18" t="e">
        <f t="shared" si="3"/>
        <v>#REF!</v>
      </c>
      <c r="P36" s="59" t="e">
        <f>SUMIFS(#REF!,#REF!,美团日报!$C36,#REF!,"美团")</f>
        <v>#REF!</v>
      </c>
      <c r="Q36" s="18"/>
      <c r="R36" s="18"/>
      <c r="S36" s="18" t="e">
        <f t="shared" si="4"/>
        <v>#REF!</v>
      </c>
      <c r="T36" s="59" t="e">
        <f>SUMIFS(#REF!,#REF!,美团日报!$C36,#REF!,"美团")</f>
        <v>#REF!</v>
      </c>
      <c r="U36" s="18" t="e">
        <f t="shared" si="5"/>
        <v>#REF!</v>
      </c>
      <c r="V36" s="59" t="e">
        <f>SUMIFS(#REF!,#REF!,美团日报!$C36,#REF!,"美团")</f>
        <v>#REF!</v>
      </c>
      <c r="W36" s="16" t="s">
        <v>13</v>
      </c>
    </row>
    <row r="37" ht="14.4" spans="1:23">
      <c r="A37" s="16" t="s">
        <v>48</v>
      </c>
      <c r="B37" s="16" t="s">
        <v>64</v>
      </c>
      <c r="C37" s="16">
        <v>8674</v>
      </c>
      <c r="D37" s="16" t="s">
        <v>137</v>
      </c>
      <c r="E37" s="58">
        <f>_xlfn.IFNA(VLOOKUP(C:C,线上线下销售!B:D,3,0),0)</f>
        <v>4618.6337</v>
      </c>
      <c r="F37" s="18">
        <f>SUMIFS(线上订单!$E:$E,线上订单!$B:$B,美团日报!$C37,线上订单!$D:$D,"美团")</f>
        <v>364.93464317607</v>
      </c>
      <c r="G37" s="59">
        <f t="shared" si="1"/>
        <v>0.0790135496512897</v>
      </c>
      <c r="H37" s="18">
        <f>SUMIFS(线上订单!$F:$F,线上订单!$B:$B,美团日报!$C37,线上订单!$D:$D,"美团")</f>
        <v>7</v>
      </c>
      <c r="I37" s="18">
        <f>SUMIFS(线上订单!$F:$F,线上订单!$B:$B,美团日报!$C37,线上订单!$D:$D,"美团")</f>
        <v>7</v>
      </c>
      <c r="J37" s="18">
        <f t="shared" si="2"/>
        <v>52.1335204537243</v>
      </c>
      <c r="K37" s="18" t="e">
        <f t="shared" si="6"/>
        <v>#REF!</v>
      </c>
      <c r="L37" s="59" t="e">
        <f>SUMIFS(#REF!,#REF!,美团日报!$C37,#REF!,"美团")</f>
        <v>#REF!</v>
      </c>
      <c r="M37" s="18"/>
      <c r="N37" s="18"/>
      <c r="O37" s="18" t="e">
        <f t="shared" si="3"/>
        <v>#REF!</v>
      </c>
      <c r="P37" s="59" t="e">
        <f>SUMIFS(#REF!,#REF!,美团日报!$C37,#REF!,"美团")</f>
        <v>#REF!</v>
      </c>
      <c r="Q37" s="18"/>
      <c r="R37" s="18"/>
      <c r="S37" s="18" t="e">
        <f t="shared" si="4"/>
        <v>#REF!</v>
      </c>
      <c r="T37" s="59" t="e">
        <f>SUMIFS(#REF!,#REF!,美团日报!$C37,#REF!,"美团")</f>
        <v>#REF!</v>
      </c>
      <c r="U37" s="18" t="e">
        <f t="shared" si="5"/>
        <v>#REF!</v>
      </c>
      <c r="V37" s="59" t="e">
        <f>SUMIFS(#REF!,#REF!,美团日报!$C37,#REF!,"美团")</f>
        <v>#REF!</v>
      </c>
      <c r="W37" s="16" t="s">
        <v>13</v>
      </c>
    </row>
    <row r="38" ht="14.4" spans="1:23">
      <c r="A38" s="16" t="s">
        <v>48</v>
      </c>
      <c r="B38" s="16" t="s">
        <v>64</v>
      </c>
      <c r="C38" s="16">
        <v>8654</v>
      </c>
      <c r="D38" s="16" t="s">
        <v>139</v>
      </c>
      <c r="E38" s="58">
        <f>_xlfn.IFNA(VLOOKUP(C:C,线上线下销售!B:D,3,0),0)</f>
        <v>7688.6698</v>
      </c>
      <c r="F38" s="18">
        <f>SUMIFS(线上订单!$E:$E,线上订单!$B:$B,美团日报!$C38,线上订单!$D:$D,"美团")</f>
        <v>3417.88233336028</v>
      </c>
      <c r="G38" s="59">
        <f t="shared" si="1"/>
        <v>0.444534935465726</v>
      </c>
      <c r="H38" s="18">
        <f>SUMIFS(线上订单!$F:$F,线上订单!$B:$B,美团日报!$C38,线上订单!$D:$D,"美团")</f>
        <v>70</v>
      </c>
      <c r="I38" s="18">
        <f>SUMIFS(线上订单!$F:$F,线上订单!$B:$B,美团日报!$C38,线上订单!$D:$D,"美团")</f>
        <v>70</v>
      </c>
      <c r="J38" s="18">
        <f t="shared" si="2"/>
        <v>48.8268904765754</v>
      </c>
      <c r="K38" s="18" t="e">
        <f t="shared" si="6"/>
        <v>#REF!</v>
      </c>
      <c r="L38" s="59" t="e">
        <f>SUMIFS(#REF!,#REF!,美团日报!$C38,#REF!,"美团")</f>
        <v>#REF!</v>
      </c>
      <c r="M38" s="18"/>
      <c r="N38" s="18"/>
      <c r="O38" s="18" t="e">
        <f t="shared" si="3"/>
        <v>#REF!</v>
      </c>
      <c r="P38" s="59" t="e">
        <f>SUMIFS(#REF!,#REF!,美团日报!$C38,#REF!,"美团")</f>
        <v>#REF!</v>
      </c>
      <c r="Q38" s="18"/>
      <c r="R38" s="18"/>
      <c r="S38" s="18" t="e">
        <f t="shared" si="4"/>
        <v>#REF!</v>
      </c>
      <c r="T38" s="59" t="e">
        <f>SUMIFS(#REF!,#REF!,美团日报!$C38,#REF!,"美团")</f>
        <v>#REF!</v>
      </c>
      <c r="U38" s="18" t="e">
        <f t="shared" si="5"/>
        <v>#REF!</v>
      </c>
      <c r="V38" s="59" t="e">
        <f>SUMIFS(#REF!,#REF!,美团日报!$C38,#REF!,"美团")</f>
        <v>#REF!</v>
      </c>
      <c r="W38" s="16" t="s">
        <v>13</v>
      </c>
    </row>
    <row r="39" ht="14.4" spans="1:23">
      <c r="A39" s="16" t="s">
        <v>63</v>
      </c>
      <c r="B39" s="16" t="s">
        <v>99</v>
      </c>
      <c r="C39" s="16">
        <v>8601</v>
      </c>
      <c r="D39" s="16" t="s">
        <v>141</v>
      </c>
      <c r="E39" s="58">
        <f>_xlfn.IFNA(VLOOKUP(C:C,线上线下销售!B:D,3,0),0)</f>
        <v>4284.3379</v>
      </c>
      <c r="F39" s="18">
        <f>SUMIFS(线上订单!$E:$E,线上订单!$B:$B,美团日报!$C39,线上订单!$D:$D,"美团")</f>
        <v>314.31517414951</v>
      </c>
      <c r="G39" s="59">
        <f t="shared" si="1"/>
        <v>0.0733637685649187</v>
      </c>
      <c r="H39" s="18">
        <f>SUMIFS(线上订单!$F:$F,线上订单!$B:$B,美团日报!$C39,线上订单!$D:$D,"美团")</f>
        <v>7</v>
      </c>
      <c r="I39" s="18">
        <f>SUMIFS(线上订单!$F:$F,线上订单!$B:$B,美团日报!$C39,线上订单!$D:$D,"美团")</f>
        <v>7</v>
      </c>
      <c r="J39" s="18">
        <f t="shared" si="2"/>
        <v>44.9021677356443</v>
      </c>
      <c r="K39" s="18" t="e">
        <f t="shared" si="6"/>
        <v>#REF!</v>
      </c>
      <c r="L39" s="59" t="e">
        <f>SUMIFS(#REF!,#REF!,美团日报!$C39,#REF!,"美团")</f>
        <v>#REF!</v>
      </c>
      <c r="M39" s="18"/>
      <c r="N39" s="18"/>
      <c r="O39" s="18" t="e">
        <f t="shared" si="3"/>
        <v>#REF!</v>
      </c>
      <c r="P39" s="59" t="e">
        <f>SUMIFS(#REF!,#REF!,美团日报!$C39,#REF!,"美团")</f>
        <v>#REF!</v>
      </c>
      <c r="Q39" s="18"/>
      <c r="R39" s="18"/>
      <c r="S39" s="18" t="e">
        <f t="shared" si="4"/>
        <v>#REF!</v>
      </c>
      <c r="T39" s="59" t="e">
        <f>SUMIFS(#REF!,#REF!,美团日报!$C39,#REF!,"美团")</f>
        <v>#REF!</v>
      </c>
      <c r="U39" s="18" t="e">
        <f t="shared" si="5"/>
        <v>#REF!</v>
      </c>
      <c r="V39" s="59" t="e">
        <f>SUMIFS(#REF!,#REF!,美团日报!$C39,#REF!,"美团")</f>
        <v>#REF!</v>
      </c>
      <c r="W39" s="16" t="s">
        <v>13</v>
      </c>
    </row>
    <row r="40" ht="14.4" spans="1:23">
      <c r="A40" s="16" t="s">
        <v>43</v>
      </c>
      <c r="B40" s="16" t="s">
        <v>131</v>
      </c>
      <c r="C40" s="16">
        <v>8629</v>
      </c>
      <c r="D40" s="16" t="s">
        <v>144</v>
      </c>
      <c r="E40" s="58">
        <f>_xlfn.IFNA(VLOOKUP(C:C,线上线下销售!B:D,3,0),0)</f>
        <v>17782.2976</v>
      </c>
      <c r="F40" s="18">
        <f>SUMIFS(线上订单!$E:$E,线上订单!$B:$B,美团日报!$C40,线上订单!$D:$D,"美团")</f>
        <v>207.12105220423</v>
      </c>
      <c r="G40" s="59">
        <f t="shared" si="1"/>
        <v>0.0116475979011975</v>
      </c>
      <c r="H40" s="18">
        <f>SUMIFS(线上订单!$F:$F,线上订单!$B:$B,美团日报!$C40,线上订单!$D:$D,"美团")</f>
        <v>5</v>
      </c>
      <c r="I40" s="18">
        <f>SUMIFS(线上订单!$F:$F,线上订单!$B:$B,美团日报!$C40,线上订单!$D:$D,"美团")</f>
        <v>5</v>
      </c>
      <c r="J40" s="18">
        <f t="shared" si="2"/>
        <v>41.424210440846</v>
      </c>
      <c r="K40" s="18" t="e">
        <f t="shared" si="6"/>
        <v>#REF!</v>
      </c>
      <c r="L40" s="59" t="e">
        <f>SUMIFS(#REF!,#REF!,美团日报!$C40,#REF!,"美团")</f>
        <v>#REF!</v>
      </c>
      <c r="M40" s="18"/>
      <c r="N40" s="18"/>
      <c r="O40" s="18" t="e">
        <f t="shared" si="3"/>
        <v>#REF!</v>
      </c>
      <c r="P40" s="59" t="e">
        <f>SUMIFS(#REF!,#REF!,美团日报!$C40,#REF!,"美团")</f>
        <v>#REF!</v>
      </c>
      <c r="Q40" s="18"/>
      <c r="R40" s="18"/>
      <c r="S40" s="18" t="e">
        <f t="shared" si="4"/>
        <v>#REF!</v>
      </c>
      <c r="T40" s="59" t="e">
        <f>SUMIFS(#REF!,#REF!,美团日报!$C40,#REF!,"美团")</f>
        <v>#REF!</v>
      </c>
      <c r="U40" s="18" t="e">
        <f t="shared" si="5"/>
        <v>#REF!</v>
      </c>
      <c r="V40" s="59" t="e">
        <f>SUMIFS(#REF!,#REF!,美团日报!$C40,#REF!,"美团")</f>
        <v>#REF!</v>
      </c>
      <c r="W40" s="16" t="s">
        <v>13</v>
      </c>
    </row>
    <row r="41" ht="14.4" spans="1:23">
      <c r="A41" s="16" t="s">
        <v>63</v>
      </c>
      <c r="B41" s="16" t="s">
        <v>574</v>
      </c>
      <c r="C41" s="16">
        <v>8676</v>
      </c>
      <c r="D41" s="16" t="s">
        <v>146</v>
      </c>
      <c r="E41" s="58">
        <f>_xlfn.IFNA(VLOOKUP(C:C,线上线下销售!B:D,3,0),0)</f>
        <v>0</v>
      </c>
      <c r="F41" s="18">
        <f>SUMIFS(线上订单!$E:$E,线上订单!$B:$B,美团日报!$C41,线上订单!$D:$D,"美团")</f>
        <v>0</v>
      </c>
      <c r="G41" s="59">
        <f t="shared" si="1"/>
        <v>0</v>
      </c>
      <c r="H41" s="18">
        <f>SUMIFS(线上订单!$F:$F,线上订单!$B:$B,美团日报!$C41,线上订单!$D:$D,"美团")</f>
        <v>0</v>
      </c>
      <c r="I41" s="18">
        <f>SUMIFS(线上订单!$F:$F,线上订单!$B:$B,美团日报!$C41,线上订单!$D:$D,"美团")</f>
        <v>0</v>
      </c>
      <c r="J41" s="18">
        <f t="shared" si="2"/>
        <v>0</v>
      </c>
      <c r="K41" s="18" t="e">
        <f t="shared" si="6"/>
        <v>#REF!</v>
      </c>
      <c r="L41" s="59" t="e">
        <f>SUMIFS(#REF!,#REF!,美团日报!$C41,#REF!,"美团")</f>
        <v>#REF!</v>
      </c>
      <c r="M41" s="18"/>
      <c r="N41" s="18"/>
      <c r="O41" s="18" t="e">
        <f t="shared" si="3"/>
        <v>#REF!</v>
      </c>
      <c r="P41" s="59" t="e">
        <f>SUMIFS(#REF!,#REF!,美团日报!$C41,#REF!,"美团")</f>
        <v>#REF!</v>
      </c>
      <c r="Q41" s="18"/>
      <c r="R41" s="18"/>
      <c r="S41" s="18" t="e">
        <f t="shared" si="4"/>
        <v>#REF!</v>
      </c>
      <c r="T41" s="59" t="e">
        <f>SUMIFS(#REF!,#REF!,美团日报!$C41,#REF!,"美团")</f>
        <v>#REF!</v>
      </c>
      <c r="U41" s="18" t="e">
        <f t="shared" si="5"/>
        <v>#REF!</v>
      </c>
      <c r="V41" s="59" t="e">
        <f>SUMIFS(#REF!,#REF!,美团日报!$C41,#REF!,"美团")</f>
        <v>#REF!</v>
      </c>
      <c r="W41" s="16" t="s">
        <v>13</v>
      </c>
    </row>
    <row r="42" ht="14.4" spans="1:23">
      <c r="A42" s="16" t="s">
        <v>63</v>
      </c>
      <c r="B42" s="16" t="s">
        <v>86</v>
      </c>
      <c r="C42" s="16">
        <v>8602</v>
      </c>
      <c r="D42" s="16" t="s">
        <v>148</v>
      </c>
      <c r="E42" s="58">
        <f>_xlfn.IFNA(VLOOKUP(C:C,线上线下销售!B:D,3,0),0)</f>
        <v>7365.873</v>
      </c>
      <c r="F42" s="18">
        <f>SUMIFS(线上订单!$E:$E,线上订单!$B:$B,美团日报!$C42,线上订单!$D:$D,"美团")</f>
        <v>1682.73491921727</v>
      </c>
      <c r="G42" s="59">
        <f t="shared" si="1"/>
        <v>0.2284501673077</v>
      </c>
      <c r="H42" s="18">
        <f>SUMIFS(线上订单!$F:$F,线上订单!$B:$B,美团日报!$C42,线上订单!$D:$D,"美团")</f>
        <v>38</v>
      </c>
      <c r="I42" s="18">
        <f>SUMIFS(线上订单!$F:$F,线上订单!$B:$B,美团日报!$C42,线上订单!$D:$D,"美团")</f>
        <v>38</v>
      </c>
      <c r="J42" s="18">
        <f t="shared" si="2"/>
        <v>44.2824978741387</v>
      </c>
      <c r="K42" s="18" t="e">
        <f t="shared" si="6"/>
        <v>#REF!</v>
      </c>
      <c r="L42" s="59" t="e">
        <f>SUMIFS(#REF!,#REF!,美团日报!$C42,#REF!,"美团")</f>
        <v>#REF!</v>
      </c>
      <c r="M42" s="18"/>
      <c r="N42" s="18"/>
      <c r="O42" s="18" t="e">
        <f t="shared" si="3"/>
        <v>#REF!</v>
      </c>
      <c r="P42" s="59" t="e">
        <f>SUMIFS(#REF!,#REF!,美团日报!$C42,#REF!,"美团")</f>
        <v>#REF!</v>
      </c>
      <c r="Q42" s="18"/>
      <c r="R42" s="18"/>
      <c r="S42" s="18" t="e">
        <f t="shared" si="4"/>
        <v>#REF!</v>
      </c>
      <c r="T42" s="59" t="e">
        <f>SUMIFS(#REF!,#REF!,美团日报!$C42,#REF!,"美团")</f>
        <v>#REF!</v>
      </c>
      <c r="U42" s="18" t="e">
        <f t="shared" si="5"/>
        <v>#REF!</v>
      </c>
      <c r="V42" s="59" t="e">
        <f>SUMIFS(#REF!,#REF!,美团日报!$C42,#REF!,"美团")</f>
        <v>#REF!</v>
      </c>
      <c r="W42" s="16" t="s">
        <v>13</v>
      </c>
    </row>
    <row r="43" ht="14.4" spans="1:23">
      <c r="A43" s="16" t="s">
        <v>56</v>
      </c>
      <c r="B43" s="16" t="s">
        <v>573</v>
      </c>
      <c r="C43" s="16">
        <v>8661</v>
      </c>
      <c r="D43" s="16" t="s">
        <v>150</v>
      </c>
      <c r="E43" s="58">
        <f>_xlfn.IFNA(VLOOKUP(C:C,线上线下销售!B:D,3,0),0)</f>
        <v>10607.3592</v>
      </c>
      <c r="F43" s="18">
        <f>SUMIFS(线上订单!$E:$E,线上订单!$B:$B,美团日报!$C43,线上订单!$D:$D,"美团")</f>
        <v>3469.16586831188</v>
      </c>
      <c r="G43" s="59">
        <f t="shared" si="1"/>
        <v>0.327052737905951</v>
      </c>
      <c r="H43" s="18">
        <f>SUMIFS(线上订单!$F:$F,线上订单!$B:$B,美团日报!$C43,线上订单!$D:$D,"美团")</f>
        <v>87</v>
      </c>
      <c r="I43" s="18">
        <f>SUMIFS(线上订单!$F:$F,线上订单!$B:$B,美团日报!$C43,线上订单!$D:$D,"美团")</f>
        <v>87</v>
      </c>
      <c r="J43" s="18">
        <f t="shared" si="2"/>
        <v>39.8754697507113</v>
      </c>
      <c r="K43" s="18" t="e">
        <f t="shared" si="6"/>
        <v>#REF!</v>
      </c>
      <c r="L43" s="59" t="e">
        <f>SUMIFS(#REF!,#REF!,美团日报!$C43,#REF!,"美团")</f>
        <v>#REF!</v>
      </c>
      <c r="M43" s="18"/>
      <c r="N43" s="18"/>
      <c r="O43" s="18" t="e">
        <f t="shared" si="3"/>
        <v>#REF!</v>
      </c>
      <c r="P43" s="59" t="e">
        <f>SUMIFS(#REF!,#REF!,美团日报!$C43,#REF!,"美团")</f>
        <v>#REF!</v>
      </c>
      <c r="Q43" s="18"/>
      <c r="R43" s="18"/>
      <c r="S43" s="18" t="e">
        <f t="shared" si="4"/>
        <v>#REF!</v>
      </c>
      <c r="T43" s="59" t="e">
        <f>SUMIFS(#REF!,#REF!,美团日报!$C43,#REF!,"美团")</f>
        <v>#REF!</v>
      </c>
      <c r="U43" s="18" t="e">
        <f t="shared" si="5"/>
        <v>#REF!</v>
      </c>
      <c r="V43" s="59" t="e">
        <f>SUMIFS(#REF!,#REF!,美团日报!$C43,#REF!,"美团")</f>
        <v>#REF!</v>
      </c>
      <c r="W43" s="16" t="s">
        <v>13</v>
      </c>
    </row>
    <row r="44" ht="14.4" spans="1:23">
      <c r="A44" s="16" t="s">
        <v>63</v>
      </c>
      <c r="B44" s="16" t="s">
        <v>86</v>
      </c>
      <c r="C44" s="16">
        <v>8665</v>
      </c>
      <c r="D44" s="16" t="s">
        <v>153</v>
      </c>
      <c r="E44" s="58">
        <f>_xlfn.IFNA(VLOOKUP(C:C,线上线下销售!B:D,3,0),0)</f>
        <v>6267.4401</v>
      </c>
      <c r="F44" s="18">
        <f>SUMIFS(线上订单!$E:$E,线上订单!$B:$B,美团日报!$C44,线上订单!$D:$D,"美团")</f>
        <v>1772.41844605009</v>
      </c>
      <c r="G44" s="59">
        <f t="shared" si="1"/>
        <v>0.282797827784599</v>
      </c>
      <c r="H44" s="18">
        <f>SUMIFS(线上订单!$F:$F,线上订单!$B:$B,美团日报!$C44,线上订单!$D:$D,"美团")</f>
        <v>42</v>
      </c>
      <c r="I44" s="18">
        <f>SUMIFS(线上订单!$F:$F,线上订单!$B:$B,美团日报!$C44,线上订单!$D:$D,"美团")</f>
        <v>42</v>
      </c>
      <c r="J44" s="18">
        <f t="shared" si="2"/>
        <v>42.2004391916688</v>
      </c>
      <c r="K44" s="18" t="e">
        <f t="shared" si="6"/>
        <v>#REF!</v>
      </c>
      <c r="L44" s="59" t="e">
        <f>SUMIFS(#REF!,#REF!,美团日报!$C44,#REF!,"美团")</f>
        <v>#REF!</v>
      </c>
      <c r="M44" s="18"/>
      <c r="N44" s="18"/>
      <c r="O44" s="18" t="e">
        <f t="shared" si="3"/>
        <v>#REF!</v>
      </c>
      <c r="P44" s="59" t="e">
        <f>SUMIFS(#REF!,#REF!,美团日报!$C44,#REF!,"美团")</f>
        <v>#REF!</v>
      </c>
      <c r="Q44" s="18"/>
      <c r="R44" s="18"/>
      <c r="S44" s="18" t="e">
        <f t="shared" si="4"/>
        <v>#REF!</v>
      </c>
      <c r="T44" s="59" t="e">
        <f>SUMIFS(#REF!,#REF!,美团日报!$C44,#REF!,"美团")</f>
        <v>#REF!</v>
      </c>
      <c r="U44" s="18" t="e">
        <f t="shared" si="5"/>
        <v>#REF!</v>
      </c>
      <c r="V44" s="59" t="e">
        <f>SUMIFS(#REF!,#REF!,美团日报!$C44,#REF!,"美团")</f>
        <v>#REF!</v>
      </c>
      <c r="W44" s="16" t="s">
        <v>13</v>
      </c>
    </row>
    <row r="45" ht="14.4" spans="1:23">
      <c r="A45" s="16" t="s">
        <v>63</v>
      </c>
      <c r="B45" s="16" t="s">
        <v>99</v>
      </c>
      <c r="C45" s="16">
        <v>8642</v>
      </c>
      <c r="D45" s="16" t="s">
        <v>155</v>
      </c>
      <c r="E45" s="58">
        <f>_xlfn.IFNA(VLOOKUP(C:C,线上线下销售!B:D,3,0),0)</f>
        <v>7054.7823</v>
      </c>
      <c r="F45" s="18">
        <f>SUMIFS(线上订单!$E:$E,线上订单!$B:$B,美团日报!$C45,线上订单!$D:$D,"美团")</f>
        <v>274.77876106195</v>
      </c>
      <c r="G45" s="59">
        <f t="shared" si="1"/>
        <v>0.0389492899110367</v>
      </c>
      <c r="H45" s="18">
        <f>SUMIFS(线上订单!$F:$F,线上订单!$B:$B,美团日报!$C45,线上订单!$D:$D,"美团")</f>
        <v>6</v>
      </c>
      <c r="I45" s="18">
        <f>SUMIFS(线上订单!$F:$F,线上订单!$B:$B,美团日报!$C45,线上订单!$D:$D,"美团")</f>
        <v>6</v>
      </c>
      <c r="J45" s="18">
        <f t="shared" si="2"/>
        <v>45.7964601769917</v>
      </c>
      <c r="K45" s="18" t="e">
        <f t="shared" si="6"/>
        <v>#REF!</v>
      </c>
      <c r="L45" s="59" t="e">
        <f>SUMIFS(#REF!,#REF!,美团日报!$C45,#REF!,"美团")</f>
        <v>#REF!</v>
      </c>
      <c r="M45" s="18"/>
      <c r="N45" s="18"/>
      <c r="O45" s="18" t="e">
        <f t="shared" si="3"/>
        <v>#REF!</v>
      </c>
      <c r="P45" s="59" t="e">
        <f>SUMIFS(#REF!,#REF!,美团日报!$C45,#REF!,"美团")</f>
        <v>#REF!</v>
      </c>
      <c r="Q45" s="18"/>
      <c r="R45" s="18"/>
      <c r="S45" s="18" t="e">
        <f t="shared" si="4"/>
        <v>#REF!</v>
      </c>
      <c r="T45" s="59" t="e">
        <f>SUMIFS(#REF!,#REF!,美团日报!$C45,#REF!,"美团")</f>
        <v>#REF!</v>
      </c>
      <c r="U45" s="18" t="e">
        <f t="shared" si="5"/>
        <v>#REF!</v>
      </c>
      <c r="V45" s="59" t="e">
        <f>SUMIFS(#REF!,#REF!,美团日报!$C45,#REF!,"美团")</f>
        <v>#REF!</v>
      </c>
      <c r="W45" s="16" t="s">
        <v>13</v>
      </c>
    </row>
    <row r="46" ht="14.4" spans="1:23">
      <c r="A46" s="16" t="s">
        <v>56</v>
      </c>
      <c r="B46" s="16" t="s">
        <v>70</v>
      </c>
      <c r="C46" s="16">
        <v>8644</v>
      </c>
      <c r="D46" s="16" t="s">
        <v>157</v>
      </c>
      <c r="E46" s="58">
        <f>_xlfn.IFNA(VLOOKUP(C:C,线上线下销售!B:D,3,0),0)</f>
        <v>5018.9736</v>
      </c>
      <c r="F46" s="18">
        <f>SUMIFS(线上订单!$E:$E,线上订单!$B:$B,美团日报!$C46,线上订单!$D:$D,"美团")</f>
        <v>618.31135828528</v>
      </c>
      <c r="G46" s="59">
        <f t="shared" si="1"/>
        <v>0.123194781954079</v>
      </c>
      <c r="H46" s="18">
        <f>SUMIFS(线上订单!$F:$F,线上订单!$B:$B,美团日报!$C46,线上订单!$D:$D,"美团")</f>
        <v>13</v>
      </c>
      <c r="I46" s="18">
        <f>SUMIFS(线上订单!$F:$F,线上订单!$B:$B,美团日报!$C46,线上订单!$D:$D,"美团")</f>
        <v>13</v>
      </c>
      <c r="J46" s="18">
        <f t="shared" si="2"/>
        <v>47.5624121757908</v>
      </c>
      <c r="K46" s="18" t="e">
        <f t="shared" si="6"/>
        <v>#REF!</v>
      </c>
      <c r="L46" s="59" t="e">
        <f>SUMIFS(#REF!,#REF!,美团日报!$C46,#REF!,"美团")</f>
        <v>#REF!</v>
      </c>
      <c r="M46" s="18"/>
      <c r="N46" s="18"/>
      <c r="O46" s="18" t="e">
        <f t="shared" si="3"/>
        <v>#REF!</v>
      </c>
      <c r="P46" s="59" t="e">
        <f>SUMIFS(#REF!,#REF!,美团日报!$C46,#REF!,"美团")</f>
        <v>#REF!</v>
      </c>
      <c r="Q46" s="18"/>
      <c r="R46" s="18"/>
      <c r="S46" s="18" t="e">
        <f t="shared" si="4"/>
        <v>#REF!</v>
      </c>
      <c r="T46" s="59" t="e">
        <f>SUMIFS(#REF!,#REF!,美团日报!$C46,#REF!,"美团")</f>
        <v>#REF!</v>
      </c>
      <c r="U46" s="18" t="e">
        <f t="shared" si="5"/>
        <v>#REF!</v>
      </c>
      <c r="V46" s="59" t="e">
        <f>SUMIFS(#REF!,#REF!,美团日报!$C46,#REF!,"美团")</f>
        <v>#REF!</v>
      </c>
      <c r="W46" s="16" t="s">
        <v>13</v>
      </c>
    </row>
    <row r="47" ht="14.4" spans="1:23">
      <c r="A47" s="16" t="s">
        <v>56</v>
      </c>
      <c r="B47" s="16" t="s">
        <v>118</v>
      </c>
      <c r="C47" s="16">
        <v>8671</v>
      </c>
      <c r="D47" s="16" t="s">
        <v>159</v>
      </c>
      <c r="E47" s="58">
        <f>_xlfn.IFNA(VLOOKUP(C:C,线上线下销售!B:D,3,0),0)</f>
        <v>8623.7971</v>
      </c>
      <c r="F47" s="18">
        <f>SUMIFS(线上订单!$E:$E,线上订单!$B:$B,美团日报!$C47,线上订单!$D:$D,"美团")</f>
        <v>3672.51311195902</v>
      </c>
      <c r="G47" s="59">
        <f t="shared" si="1"/>
        <v>0.425858014674188</v>
      </c>
      <c r="H47" s="18">
        <f>SUMIFS(线上订单!$F:$F,线上订单!$B:$B,美团日报!$C47,线上订单!$D:$D,"美团")</f>
        <v>77</v>
      </c>
      <c r="I47" s="18">
        <f>SUMIFS(线上订单!$F:$F,线上订单!$B:$B,美团日报!$C47,线上订单!$D:$D,"美团")</f>
        <v>77</v>
      </c>
      <c r="J47" s="18">
        <f t="shared" si="2"/>
        <v>47.6949754799873</v>
      </c>
      <c r="K47" s="18" t="e">
        <f t="shared" si="6"/>
        <v>#REF!</v>
      </c>
      <c r="L47" s="59" t="e">
        <f>SUMIFS(#REF!,#REF!,美团日报!$C47,#REF!,"美团")</f>
        <v>#REF!</v>
      </c>
      <c r="M47" s="18"/>
      <c r="N47" s="18"/>
      <c r="O47" s="18" t="e">
        <f t="shared" si="3"/>
        <v>#REF!</v>
      </c>
      <c r="P47" s="59" t="e">
        <f>SUMIFS(#REF!,#REF!,美团日报!$C47,#REF!,"美团")</f>
        <v>#REF!</v>
      </c>
      <c r="Q47" s="18"/>
      <c r="R47" s="18"/>
      <c r="S47" s="18" t="e">
        <f t="shared" si="4"/>
        <v>#REF!</v>
      </c>
      <c r="T47" s="59" t="e">
        <f>SUMIFS(#REF!,#REF!,美团日报!$C47,#REF!,"美团")</f>
        <v>#REF!</v>
      </c>
      <c r="U47" s="18" t="e">
        <f t="shared" si="5"/>
        <v>#REF!</v>
      </c>
      <c r="V47" s="59" t="e">
        <f>SUMIFS(#REF!,#REF!,美团日报!$C47,#REF!,"美团")</f>
        <v>#REF!</v>
      </c>
      <c r="W47" s="16" t="s">
        <v>13</v>
      </c>
    </row>
    <row r="48" ht="14.4" spans="1:23">
      <c r="A48" s="16" t="s">
        <v>43</v>
      </c>
      <c r="B48" s="16" t="s">
        <v>575</v>
      </c>
      <c r="C48" s="16">
        <v>8657</v>
      </c>
      <c r="D48" s="16" t="s">
        <v>162</v>
      </c>
      <c r="E48" s="58">
        <f>_xlfn.IFNA(VLOOKUP(C:C,线上线下销售!B:D,3,0),0)</f>
        <v>7426.7198</v>
      </c>
      <c r="F48" s="18">
        <f>SUMIFS(线上订单!$E:$E,线上订单!$B:$B,美团日报!$C48,线上订单!$D:$D,"美团")</f>
        <v>821.42242429158</v>
      </c>
      <c r="G48" s="59">
        <f t="shared" si="1"/>
        <v>0.11060366439186</v>
      </c>
      <c r="H48" s="18">
        <f>SUMIFS(线上订单!$F:$F,线上订单!$B:$B,美团日报!$C48,线上订单!$D:$D,"美团")</f>
        <v>20</v>
      </c>
      <c r="I48" s="18">
        <f>SUMIFS(线上订单!$F:$F,线上订单!$B:$B,美团日报!$C48,线上订单!$D:$D,"美团")</f>
        <v>20</v>
      </c>
      <c r="J48" s="18">
        <f t="shared" si="2"/>
        <v>41.071121214579</v>
      </c>
      <c r="K48" s="18" t="e">
        <f t="shared" si="6"/>
        <v>#REF!</v>
      </c>
      <c r="L48" s="59" t="e">
        <f>SUMIFS(#REF!,#REF!,美团日报!$C48,#REF!,"美团")</f>
        <v>#REF!</v>
      </c>
      <c r="M48" s="18"/>
      <c r="N48" s="18"/>
      <c r="O48" s="18" t="e">
        <f t="shared" si="3"/>
        <v>#REF!</v>
      </c>
      <c r="P48" s="59" t="e">
        <f>SUMIFS(#REF!,#REF!,美团日报!$C48,#REF!,"美团")</f>
        <v>#REF!</v>
      </c>
      <c r="Q48" s="18"/>
      <c r="R48" s="18"/>
      <c r="S48" s="18" t="e">
        <f t="shared" si="4"/>
        <v>#REF!</v>
      </c>
      <c r="T48" s="59" t="e">
        <f>SUMIFS(#REF!,#REF!,美团日报!$C48,#REF!,"美团")</f>
        <v>#REF!</v>
      </c>
      <c r="U48" s="18" t="e">
        <f t="shared" si="5"/>
        <v>#REF!</v>
      </c>
      <c r="V48" s="59" t="e">
        <f>SUMIFS(#REF!,#REF!,美团日报!$C48,#REF!,"美团")</f>
        <v>#REF!</v>
      </c>
      <c r="W48" s="16" t="s">
        <v>13</v>
      </c>
    </row>
    <row r="49" ht="14.4" spans="1:23">
      <c r="A49" s="16" t="s">
        <v>43</v>
      </c>
      <c r="B49" s="16" t="s">
        <v>143</v>
      </c>
      <c r="C49" s="16">
        <v>8660</v>
      </c>
      <c r="D49" s="16" t="s">
        <v>164</v>
      </c>
      <c r="E49" s="58">
        <f>_xlfn.IFNA(VLOOKUP(C:C,线上线下销售!B:D,3,0),0)</f>
        <v>0</v>
      </c>
      <c r="F49" s="18">
        <f>SUMIFS(线上订单!$E:$E,线上订单!$B:$B,美团日报!$C49,线上订单!$D:$D,"美团")</f>
        <v>0</v>
      </c>
      <c r="G49" s="59">
        <f t="shared" si="1"/>
        <v>0</v>
      </c>
      <c r="H49" s="18">
        <f>SUMIFS(线上订单!$F:$F,线上订单!$B:$B,美团日报!$C49,线上订单!$D:$D,"美团")</f>
        <v>0</v>
      </c>
      <c r="I49" s="18">
        <f>SUMIFS(线上订单!$F:$F,线上订单!$B:$B,美团日报!$C49,线上订单!$D:$D,"美团")</f>
        <v>0</v>
      </c>
      <c r="J49" s="18">
        <f t="shared" si="2"/>
        <v>0</v>
      </c>
      <c r="K49" s="18" t="e">
        <f t="shared" si="6"/>
        <v>#REF!</v>
      </c>
      <c r="L49" s="59" t="e">
        <f>SUMIFS(#REF!,#REF!,美团日报!$C49,#REF!,"美团")</f>
        <v>#REF!</v>
      </c>
      <c r="M49" s="18"/>
      <c r="N49" s="18"/>
      <c r="O49" s="18" t="e">
        <f t="shared" si="3"/>
        <v>#REF!</v>
      </c>
      <c r="P49" s="59" t="e">
        <f>SUMIFS(#REF!,#REF!,美团日报!$C49,#REF!,"美团")</f>
        <v>#REF!</v>
      </c>
      <c r="Q49" s="18"/>
      <c r="R49" s="18"/>
      <c r="S49" s="18" t="e">
        <f t="shared" si="4"/>
        <v>#REF!</v>
      </c>
      <c r="T49" s="59" t="e">
        <f>SUMIFS(#REF!,#REF!,美团日报!$C49,#REF!,"美团")</f>
        <v>#REF!</v>
      </c>
      <c r="U49" s="18" t="e">
        <f t="shared" si="5"/>
        <v>#REF!</v>
      </c>
      <c r="V49" s="59" t="e">
        <f>SUMIFS(#REF!,#REF!,美团日报!$C49,#REF!,"美团")</f>
        <v>#REF!</v>
      </c>
      <c r="W49" s="16" t="s">
        <v>13</v>
      </c>
    </row>
    <row r="50" ht="14.4" spans="1:23">
      <c r="A50" s="16" t="s">
        <v>48</v>
      </c>
      <c r="B50" s="16" t="s">
        <v>83</v>
      </c>
      <c r="C50" s="16">
        <v>8668</v>
      </c>
      <c r="D50" s="16" t="s">
        <v>166</v>
      </c>
      <c r="E50" s="58">
        <f>_xlfn.IFNA(VLOOKUP(C:C,线上线下销售!B:D,3,0),0)</f>
        <v>4905.8484</v>
      </c>
      <c r="F50" s="18">
        <f>SUMIFS(线上订单!$E:$E,线上订单!$B:$B,美团日报!$C50,线上订单!$D:$D,"美团")</f>
        <v>682.80668994066</v>
      </c>
      <c r="G50" s="59">
        <f t="shared" si="1"/>
        <v>0.139182183032941</v>
      </c>
      <c r="H50" s="18">
        <f>SUMIFS(线上订单!$F:$F,线上订单!$B:$B,美团日报!$C50,线上订单!$D:$D,"美团")</f>
        <v>15</v>
      </c>
      <c r="I50" s="18">
        <f>SUMIFS(线上订单!$F:$F,线上订单!$B:$B,美团日报!$C50,线上订单!$D:$D,"美团")</f>
        <v>15</v>
      </c>
      <c r="J50" s="18">
        <f t="shared" si="2"/>
        <v>45.520445996044</v>
      </c>
      <c r="K50" s="18" t="e">
        <f t="shared" si="6"/>
        <v>#REF!</v>
      </c>
      <c r="L50" s="59" t="e">
        <f>SUMIFS(#REF!,#REF!,美团日报!$C50,#REF!,"美团")</f>
        <v>#REF!</v>
      </c>
      <c r="M50" s="18"/>
      <c r="N50" s="18"/>
      <c r="O50" s="18" t="e">
        <f t="shared" si="3"/>
        <v>#REF!</v>
      </c>
      <c r="P50" s="59" t="e">
        <f>SUMIFS(#REF!,#REF!,美团日报!$C50,#REF!,"美团")</f>
        <v>#REF!</v>
      </c>
      <c r="Q50" s="18"/>
      <c r="R50" s="18"/>
      <c r="S50" s="18" t="e">
        <f t="shared" si="4"/>
        <v>#REF!</v>
      </c>
      <c r="T50" s="59" t="e">
        <f>SUMIFS(#REF!,#REF!,美团日报!$C50,#REF!,"美团")</f>
        <v>#REF!</v>
      </c>
      <c r="U50" s="18" t="e">
        <f t="shared" si="5"/>
        <v>#REF!</v>
      </c>
      <c r="V50" s="59" t="e">
        <f>SUMIFS(#REF!,#REF!,美团日报!$C50,#REF!,"美团")</f>
        <v>#REF!</v>
      </c>
      <c r="W50" s="16" t="s">
        <v>13</v>
      </c>
    </row>
    <row r="51" ht="14.4" spans="1:23">
      <c r="A51" s="16" t="s">
        <v>63</v>
      </c>
      <c r="B51" s="16" t="s">
        <v>168</v>
      </c>
      <c r="C51" s="16">
        <v>8680</v>
      </c>
      <c r="D51" s="16" t="s">
        <v>169</v>
      </c>
      <c r="E51" s="58">
        <f>_xlfn.IFNA(VLOOKUP(C:C,线上线下销售!B:D,3,0),0)</f>
        <v>6415.0378</v>
      </c>
      <c r="F51" s="18">
        <f>SUMIFS(线上订单!$E:$E,线上订单!$B:$B,美团日报!$C51,线上订单!$D:$D,"美团")</f>
        <v>279.04278639279</v>
      </c>
      <c r="G51" s="59">
        <f t="shared" si="1"/>
        <v>0.0434982294870951</v>
      </c>
      <c r="H51" s="18">
        <f>SUMIFS(线上订单!$F:$F,线上订单!$B:$B,美团日报!$C51,线上订单!$D:$D,"美团")</f>
        <v>9</v>
      </c>
      <c r="I51" s="18">
        <f>SUMIFS(线上订单!$F:$F,线上订单!$B:$B,美团日报!$C51,线上订单!$D:$D,"美团")</f>
        <v>9</v>
      </c>
      <c r="J51" s="18">
        <f t="shared" si="2"/>
        <v>31.0047540436433</v>
      </c>
      <c r="K51" s="18" t="e">
        <f t="shared" si="6"/>
        <v>#REF!</v>
      </c>
      <c r="L51" s="59" t="e">
        <f>SUMIFS(#REF!,#REF!,美团日报!$C51,#REF!,"美团")</f>
        <v>#REF!</v>
      </c>
      <c r="M51" s="18"/>
      <c r="N51" s="18"/>
      <c r="O51" s="18" t="e">
        <f t="shared" si="3"/>
        <v>#REF!</v>
      </c>
      <c r="P51" s="59" t="e">
        <f>SUMIFS(#REF!,#REF!,美团日报!$C51,#REF!,"美团")</f>
        <v>#REF!</v>
      </c>
      <c r="Q51" s="18"/>
      <c r="R51" s="18"/>
      <c r="S51" s="18" t="e">
        <f t="shared" si="4"/>
        <v>#REF!</v>
      </c>
      <c r="T51" s="59" t="e">
        <f>SUMIFS(#REF!,#REF!,美团日报!$C51,#REF!,"美团")</f>
        <v>#REF!</v>
      </c>
      <c r="U51" s="18" t="e">
        <f t="shared" si="5"/>
        <v>#REF!</v>
      </c>
      <c r="V51" s="59" t="e">
        <f>SUMIFS(#REF!,#REF!,美团日报!$C51,#REF!,"美团")</f>
        <v>#REF!</v>
      </c>
      <c r="W51" s="16" t="s">
        <v>13</v>
      </c>
    </row>
    <row r="52" ht="14.4" spans="1:23">
      <c r="A52" s="16" t="s">
        <v>56</v>
      </c>
      <c r="B52" s="16" t="s">
        <v>52</v>
      </c>
      <c r="C52" s="16">
        <v>8681</v>
      </c>
      <c r="D52" s="16" t="s">
        <v>171</v>
      </c>
      <c r="E52" s="58">
        <f>_xlfn.IFNA(VLOOKUP(C:C,线上线下销售!B:D,3,0),0)</f>
        <v>10859.0732</v>
      </c>
      <c r="F52" s="18">
        <f>SUMIFS(线上订单!$E:$E,线上订单!$B:$B,美团日报!$C52,线上订单!$D:$D,"美团")</f>
        <v>2102.26987091002</v>
      </c>
      <c r="G52" s="59">
        <f t="shared" si="1"/>
        <v>0.193595699392654</v>
      </c>
      <c r="H52" s="18">
        <f>SUMIFS(线上订单!$F:$F,线上订单!$B:$B,美团日报!$C52,线上订单!$D:$D,"美团")</f>
        <v>54</v>
      </c>
      <c r="I52" s="18">
        <f>SUMIFS(线上订单!$F:$F,线上订单!$B:$B,美团日报!$C52,线上订单!$D:$D,"美团")</f>
        <v>54</v>
      </c>
      <c r="J52" s="18">
        <f t="shared" si="2"/>
        <v>38.9309235353707</v>
      </c>
      <c r="K52" s="18" t="e">
        <f t="shared" si="6"/>
        <v>#REF!</v>
      </c>
      <c r="L52" s="59" t="e">
        <f>SUMIFS(#REF!,#REF!,美团日报!$C52,#REF!,"美团")</f>
        <v>#REF!</v>
      </c>
      <c r="M52" s="18"/>
      <c r="N52" s="18"/>
      <c r="O52" s="18" t="e">
        <f t="shared" si="3"/>
        <v>#REF!</v>
      </c>
      <c r="P52" s="59" t="e">
        <f>SUMIFS(#REF!,#REF!,美团日报!$C52,#REF!,"美团")</f>
        <v>#REF!</v>
      </c>
      <c r="Q52" s="18"/>
      <c r="R52" s="18"/>
      <c r="S52" s="18" t="e">
        <f t="shared" si="4"/>
        <v>#REF!</v>
      </c>
      <c r="T52" s="59" t="e">
        <f>SUMIFS(#REF!,#REF!,美团日报!$C52,#REF!,"美团")</f>
        <v>#REF!</v>
      </c>
      <c r="U52" s="18" t="e">
        <f t="shared" si="5"/>
        <v>#REF!</v>
      </c>
      <c r="V52" s="59" t="e">
        <f>SUMIFS(#REF!,#REF!,美团日报!$C52,#REF!,"美团")</f>
        <v>#REF!</v>
      </c>
      <c r="W52" s="16" t="s">
        <v>13</v>
      </c>
    </row>
    <row r="53" ht="14.4" spans="1:23">
      <c r="A53" s="16" t="s">
        <v>56</v>
      </c>
      <c r="B53" s="16" t="s">
        <v>73</v>
      </c>
      <c r="C53" s="16">
        <v>8663</v>
      </c>
      <c r="D53" s="16" t="s">
        <v>173</v>
      </c>
      <c r="E53" s="58">
        <f>_xlfn.IFNA(VLOOKUP(C:C,线上线下销售!B:D,3,0),0)</f>
        <v>0</v>
      </c>
      <c r="F53" s="18">
        <f>SUMIFS(线上订单!$E:$E,线上订单!$B:$B,美团日报!$C53,线上订单!$D:$D,"美团")</f>
        <v>0</v>
      </c>
      <c r="G53" s="59">
        <f t="shared" si="1"/>
        <v>0</v>
      </c>
      <c r="H53" s="18">
        <f>SUMIFS(线上订单!$F:$F,线上订单!$B:$B,美团日报!$C53,线上订单!$D:$D,"美团")</f>
        <v>0</v>
      </c>
      <c r="I53" s="18">
        <f>SUMIFS(线上订单!$F:$F,线上订单!$B:$B,美团日报!$C53,线上订单!$D:$D,"美团")</f>
        <v>0</v>
      </c>
      <c r="J53" s="18">
        <f t="shared" si="2"/>
        <v>0</v>
      </c>
      <c r="K53" s="18" t="e">
        <f t="shared" si="6"/>
        <v>#REF!</v>
      </c>
      <c r="L53" s="59" t="e">
        <f>SUMIFS(#REF!,#REF!,美团日报!$C53,#REF!,"美团")</f>
        <v>#REF!</v>
      </c>
      <c r="M53" s="18"/>
      <c r="N53" s="18"/>
      <c r="O53" s="18" t="e">
        <f t="shared" si="3"/>
        <v>#REF!</v>
      </c>
      <c r="P53" s="59" t="e">
        <f>SUMIFS(#REF!,#REF!,美团日报!$C53,#REF!,"美团")</f>
        <v>#REF!</v>
      </c>
      <c r="Q53" s="18"/>
      <c r="R53" s="18"/>
      <c r="S53" s="18" t="e">
        <f t="shared" si="4"/>
        <v>#REF!</v>
      </c>
      <c r="T53" s="59" t="e">
        <f>SUMIFS(#REF!,#REF!,美团日报!$C53,#REF!,"美团")</f>
        <v>#REF!</v>
      </c>
      <c r="U53" s="18" t="e">
        <f t="shared" si="5"/>
        <v>#REF!</v>
      </c>
      <c r="V53" s="59" t="e">
        <f>SUMIFS(#REF!,#REF!,美团日报!$C53,#REF!,"美团")</f>
        <v>#REF!</v>
      </c>
      <c r="W53" s="16" t="s">
        <v>13</v>
      </c>
    </row>
    <row r="54" ht="14.4" spans="1:23">
      <c r="A54" s="16" t="s">
        <v>63</v>
      </c>
      <c r="B54" s="16" t="s">
        <v>168</v>
      </c>
      <c r="C54" s="16">
        <v>8664</v>
      </c>
      <c r="D54" s="16" t="s">
        <v>175</v>
      </c>
      <c r="E54" s="58">
        <f>_xlfn.IFNA(VLOOKUP(C:C,线上线下销售!B:D,3,0),0)</f>
        <v>13719.6431</v>
      </c>
      <c r="F54" s="18">
        <f>SUMIFS(线上订单!$E:$E,线上订单!$B:$B,美团日报!$C54,线上订单!$D:$D,"美团")</f>
        <v>155.22123893803</v>
      </c>
      <c r="G54" s="59">
        <f t="shared" si="1"/>
        <v>0.0113137956874425</v>
      </c>
      <c r="H54" s="18">
        <f>SUMIFS(线上订单!$F:$F,线上订单!$B:$B,美团日报!$C54,线上订单!$D:$D,"美团")</f>
        <v>3</v>
      </c>
      <c r="I54" s="18">
        <f>SUMIFS(线上订单!$F:$F,线上订单!$B:$B,美团日报!$C54,线上订单!$D:$D,"美团")</f>
        <v>3</v>
      </c>
      <c r="J54" s="18">
        <f t="shared" si="2"/>
        <v>51.7404129793433</v>
      </c>
      <c r="K54" s="18" t="e">
        <f t="shared" si="6"/>
        <v>#REF!</v>
      </c>
      <c r="L54" s="59" t="e">
        <f>SUMIFS(#REF!,#REF!,美团日报!$C54,#REF!,"美团")</f>
        <v>#REF!</v>
      </c>
      <c r="M54" s="18"/>
      <c r="N54" s="18"/>
      <c r="O54" s="18" t="e">
        <f t="shared" si="3"/>
        <v>#REF!</v>
      </c>
      <c r="P54" s="59" t="e">
        <f>SUMIFS(#REF!,#REF!,美团日报!$C54,#REF!,"美团")</f>
        <v>#REF!</v>
      </c>
      <c r="Q54" s="18"/>
      <c r="R54" s="18"/>
      <c r="S54" s="18" t="e">
        <f t="shared" si="4"/>
        <v>#REF!</v>
      </c>
      <c r="T54" s="59" t="e">
        <f>SUMIFS(#REF!,#REF!,美团日报!$C54,#REF!,"美团")</f>
        <v>#REF!</v>
      </c>
      <c r="U54" s="18" t="e">
        <f t="shared" si="5"/>
        <v>#REF!</v>
      </c>
      <c r="V54" s="59" t="e">
        <f>SUMIFS(#REF!,#REF!,美团日报!$C54,#REF!,"美团")</f>
        <v>#REF!</v>
      </c>
      <c r="W54" s="16" t="s">
        <v>13</v>
      </c>
    </row>
    <row r="55" ht="14.4" spans="1:23">
      <c r="A55" s="16" t="s">
        <v>56</v>
      </c>
      <c r="B55" s="16" t="s">
        <v>118</v>
      </c>
      <c r="C55" s="16">
        <v>8652</v>
      </c>
      <c r="D55" s="16" t="s">
        <v>177</v>
      </c>
      <c r="E55" s="58">
        <f>_xlfn.IFNA(VLOOKUP(C:C,线上线下销售!B:D,3,0),0)</f>
        <v>0</v>
      </c>
      <c r="F55" s="18">
        <f>SUMIFS(线上订单!$E:$E,线上订单!$B:$B,美团日报!$C55,线上订单!$D:$D,"美团")</f>
        <v>0</v>
      </c>
      <c r="G55" s="59">
        <f t="shared" si="1"/>
        <v>0</v>
      </c>
      <c r="H55" s="18">
        <f>SUMIFS(线上订单!$F:$F,线上订单!$B:$B,美团日报!$C55,线上订单!$D:$D,"美团")</f>
        <v>0</v>
      </c>
      <c r="I55" s="18">
        <f>SUMIFS(线上订单!$F:$F,线上订单!$B:$B,美团日报!$C55,线上订单!$D:$D,"美团")</f>
        <v>0</v>
      </c>
      <c r="J55" s="18">
        <f t="shared" si="2"/>
        <v>0</v>
      </c>
      <c r="K55" s="18" t="e">
        <f t="shared" si="6"/>
        <v>#REF!</v>
      </c>
      <c r="L55" s="59" t="e">
        <f>SUMIFS(#REF!,#REF!,美团日报!$C55,#REF!,"美团")</f>
        <v>#REF!</v>
      </c>
      <c r="M55" s="18"/>
      <c r="N55" s="18"/>
      <c r="O55" s="18" t="e">
        <f t="shared" si="3"/>
        <v>#REF!</v>
      </c>
      <c r="P55" s="59" t="e">
        <f>SUMIFS(#REF!,#REF!,美团日报!$C55,#REF!,"美团")</f>
        <v>#REF!</v>
      </c>
      <c r="Q55" s="18"/>
      <c r="R55" s="18"/>
      <c r="S55" s="18" t="e">
        <f t="shared" si="4"/>
        <v>#REF!</v>
      </c>
      <c r="T55" s="59" t="e">
        <f>SUMIFS(#REF!,#REF!,美团日报!$C55,#REF!,"美团")</f>
        <v>#REF!</v>
      </c>
      <c r="U55" s="18" t="e">
        <f t="shared" si="5"/>
        <v>#REF!</v>
      </c>
      <c r="V55" s="59" t="e">
        <f>SUMIFS(#REF!,#REF!,美团日报!$C55,#REF!,"美团")</f>
        <v>#REF!</v>
      </c>
      <c r="W55" s="16" t="s">
        <v>13</v>
      </c>
    </row>
    <row r="56" ht="14.4" spans="1:23">
      <c r="A56" s="16" t="s">
        <v>43</v>
      </c>
      <c r="B56" s="16" t="s">
        <v>143</v>
      </c>
      <c r="C56" s="16">
        <v>8632</v>
      </c>
      <c r="D56" s="16" t="s">
        <v>179</v>
      </c>
      <c r="E56" s="58">
        <f>_xlfn.IFNA(VLOOKUP(C:C,线上线下销售!B:D,3,0),0)</f>
        <v>8313.4658</v>
      </c>
      <c r="F56" s="18">
        <f>SUMIFS(线上订单!$E:$E,线上订单!$B:$B,美团日报!$C56,线上订单!$D:$D,"美团")</f>
        <v>1081.72087358936</v>
      </c>
      <c r="G56" s="59">
        <f t="shared" si="1"/>
        <v>0.130116716615273</v>
      </c>
      <c r="H56" s="18">
        <f>SUMIFS(线上订单!$F:$F,线上订单!$B:$B,美团日报!$C56,线上订单!$D:$D,"美团")</f>
        <v>31</v>
      </c>
      <c r="I56" s="18">
        <f>SUMIFS(线上订单!$F:$F,线上订单!$B:$B,美团日报!$C56,线上订单!$D:$D,"美团")</f>
        <v>31</v>
      </c>
      <c r="J56" s="18">
        <f t="shared" si="2"/>
        <v>34.894221728689</v>
      </c>
      <c r="K56" s="18" t="e">
        <f t="shared" si="6"/>
        <v>#REF!</v>
      </c>
      <c r="L56" s="59" t="e">
        <f>SUMIFS(#REF!,#REF!,美团日报!$C56,#REF!,"美团")</f>
        <v>#REF!</v>
      </c>
      <c r="M56" s="18"/>
      <c r="N56" s="18"/>
      <c r="O56" s="18" t="e">
        <f t="shared" si="3"/>
        <v>#REF!</v>
      </c>
      <c r="P56" s="59" t="e">
        <f>SUMIFS(#REF!,#REF!,美团日报!$C56,#REF!,"美团")</f>
        <v>#REF!</v>
      </c>
      <c r="Q56" s="18"/>
      <c r="R56" s="18"/>
      <c r="S56" s="18" t="e">
        <f t="shared" si="4"/>
        <v>#REF!</v>
      </c>
      <c r="T56" s="59" t="e">
        <f>SUMIFS(#REF!,#REF!,美团日报!$C56,#REF!,"美团")</f>
        <v>#REF!</v>
      </c>
      <c r="U56" s="18" t="e">
        <f t="shared" si="5"/>
        <v>#REF!</v>
      </c>
      <c r="V56" s="59" t="e">
        <f>SUMIFS(#REF!,#REF!,美团日报!$C56,#REF!,"美团")</f>
        <v>#REF!</v>
      </c>
      <c r="W56" s="16" t="s">
        <v>13</v>
      </c>
    </row>
    <row r="57" ht="14.4" spans="1:23">
      <c r="A57" s="16" t="s">
        <v>43</v>
      </c>
      <c r="B57" s="16" t="s">
        <v>161</v>
      </c>
      <c r="C57" s="16">
        <v>8678</v>
      </c>
      <c r="D57" s="16" t="s">
        <v>181</v>
      </c>
      <c r="E57" s="58">
        <f>_xlfn.IFNA(VLOOKUP(C:C,线上线下销售!B:D,3,0),0)</f>
        <v>6175.2973</v>
      </c>
      <c r="F57" s="18">
        <f>SUMIFS(线上订单!$E:$E,线上订单!$B:$B,美团日报!$C57,线上订单!$D:$D,"美团")</f>
        <v>1130.10619469026</v>
      </c>
      <c r="G57" s="59">
        <f t="shared" si="1"/>
        <v>0.18300433805677</v>
      </c>
      <c r="H57" s="18">
        <f>SUMIFS(线上订单!$F:$F,线上订单!$B:$B,美团日报!$C57,线上订单!$D:$D,"美团")</f>
        <v>32</v>
      </c>
      <c r="I57" s="18">
        <f>SUMIFS(线上订单!$F:$F,线上订单!$B:$B,美团日报!$C57,线上订单!$D:$D,"美团")</f>
        <v>32</v>
      </c>
      <c r="J57" s="18">
        <f t="shared" si="2"/>
        <v>35.3158185840706</v>
      </c>
      <c r="K57" s="18" t="e">
        <f t="shared" si="6"/>
        <v>#REF!</v>
      </c>
      <c r="L57" s="59" t="e">
        <f>SUMIFS(#REF!,#REF!,美团日报!$C57,#REF!,"美团")</f>
        <v>#REF!</v>
      </c>
      <c r="M57" s="18"/>
      <c r="N57" s="18"/>
      <c r="O57" s="18" t="e">
        <f t="shared" si="3"/>
        <v>#REF!</v>
      </c>
      <c r="P57" s="59" t="e">
        <f>SUMIFS(#REF!,#REF!,美团日报!$C57,#REF!,"美团")</f>
        <v>#REF!</v>
      </c>
      <c r="Q57" s="18"/>
      <c r="R57" s="18"/>
      <c r="S57" s="18" t="e">
        <f t="shared" si="4"/>
        <v>#REF!</v>
      </c>
      <c r="T57" s="59" t="e">
        <f>SUMIFS(#REF!,#REF!,美团日报!$C57,#REF!,"美团")</f>
        <v>#REF!</v>
      </c>
      <c r="U57" s="18" t="e">
        <f t="shared" si="5"/>
        <v>#REF!</v>
      </c>
      <c r="V57" s="59" t="e">
        <f>SUMIFS(#REF!,#REF!,美团日报!$C57,#REF!,"美团")</f>
        <v>#REF!</v>
      </c>
      <c r="W57" s="16" t="s">
        <v>13</v>
      </c>
    </row>
    <row r="58" ht="14.4" spans="1:23">
      <c r="A58" s="16" t="s">
        <v>48</v>
      </c>
      <c r="B58" s="16" t="s">
        <v>64</v>
      </c>
      <c r="C58" s="16">
        <v>8684</v>
      </c>
      <c r="D58" s="16" t="s">
        <v>183</v>
      </c>
      <c r="E58" s="58">
        <f>_xlfn.IFNA(VLOOKUP(C:C,线上线下销售!B:D,3,0),0)</f>
        <v>8032.1862</v>
      </c>
      <c r="F58" s="18">
        <f>SUMIFS(线上订单!$E:$E,线上订单!$B:$B,美团日报!$C58,线上订单!$D:$D,"美团")</f>
        <v>3215.03953884861</v>
      </c>
      <c r="G58" s="59">
        <f t="shared" si="1"/>
        <v>0.400269547890786</v>
      </c>
      <c r="H58" s="18">
        <f>SUMIFS(线上订单!$F:$F,线上订单!$B:$B,美团日报!$C58,线上订单!$D:$D,"美团")</f>
        <v>77</v>
      </c>
      <c r="I58" s="18">
        <f>SUMIFS(线上订单!$F:$F,线上订单!$B:$B,美团日报!$C58,线上订单!$D:$D,"美团")</f>
        <v>77</v>
      </c>
      <c r="J58" s="18">
        <f t="shared" si="2"/>
        <v>41.7537602447871</v>
      </c>
      <c r="K58" s="18" t="e">
        <f t="shared" si="6"/>
        <v>#REF!</v>
      </c>
      <c r="L58" s="59" t="e">
        <f>SUMIFS(#REF!,#REF!,美团日报!$C58,#REF!,"美团")</f>
        <v>#REF!</v>
      </c>
      <c r="M58" s="18"/>
      <c r="N58" s="18"/>
      <c r="O58" s="18" t="e">
        <f t="shared" si="3"/>
        <v>#REF!</v>
      </c>
      <c r="P58" s="59" t="e">
        <f>SUMIFS(#REF!,#REF!,美团日报!$C58,#REF!,"美团")</f>
        <v>#REF!</v>
      </c>
      <c r="Q58" s="18"/>
      <c r="R58" s="18"/>
      <c r="S58" s="18" t="e">
        <f t="shared" si="4"/>
        <v>#REF!</v>
      </c>
      <c r="T58" s="59" t="e">
        <f>SUMIFS(#REF!,#REF!,美团日报!$C58,#REF!,"美团")</f>
        <v>#REF!</v>
      </c>
      <c r="U58" s="18" t="e">
        <f t="shared" si="5"/>
        <v>#REF!</v>
      </c>
      <c r="V58" s="59" t="e">
        <f>SUMIFS(#REF!,#REF!,美团日报!$C58,#REF!,"美团")</f>
        <v>#REF!</v>
      </c>
      <c r="W58" s="16" t="s">
        <v>13</v>
      </c>
    </row>
    <row r="59" ht="14.4" spans="1:23">
      <c r="A59" s="16" t="s">
        <v>63</v>
      </c>
      <c r="B59" s="16" t="s">
        <v>168</v>
      </c>
      <c r="C59" s="16">
        <v>8687</v>
      </c>
      <c r="D59" s="16" t="s">
        <v>185</v>
      </c>
      <c r="E59" s="58">
        <f>_xlfn.IFNA(VLOOKUP(C:C,线上线下销售!B:D,3,0),0)</f>
        <v>7746.6434</v>
      </c>
      <c r="F59" s="18">
        <f>SUMIFS(线上订单!$E:$E,线上订单!$B:$B,美团日报!$C59,线上订单!$D:$D,"美团")</f>
        <v>716.63185840706</v>
      </c>
      <c r="G59" s="59">
        <f t="shared" si="1"/>
        <v>0.0925086933015479</v>
      </c>
      <c r="H59" s="18">
        <f>SUMIFS(线上订单!$F:$F,线上订单!$B:$B,美团日报!$C59,线上订单!$D:$D,"美团")</f>
        <v>20</v>
      </c>
      <c r="I59" s="18">
        <f>SUMIFS(线上订单!$F:$F,线上订单!$B:$B,美团日报!$C59,线上订单!$D:$D,"美团")</f>
        <v>20</v>
      </c>
      <c r="J59" s="18">
        <f t="shared" si="2"/>
        <v>35.831592920353</v>
      </c>
      <c r="K59" s="18" t="e">
        <f t="shared" si="6"/>
        <v>#REF!</v>
      </c>
      <c r="L59" s="59" t="e">
        <f>SUMIFS(#REF!,#REF!,美团日报!$C59,#REF!,"美团")</f>
        <v>#REF!</v>
      </c>
      <c r="M59" s="18"/>
      <c r="N59" s="18"/>
      <c r="O59" s="18" t="e">
        <f t="shared" si="3"/>
        <v>#REF!</v>
      </c>
      <c r="P59" s="59" t="e">
        <f>SUMIFS(#REF!,#REF!,美团日报!$C59,#REF!,"美团")</f>
        <v>#REF!</v>
      </c>
      <c r="Q59" s="18"/>
      <c r="R59" s="18"/>
      <c r="S59" s="18" t="e">
        <f t="shared" si="4"/>
        <v>#REF!</v>
      </c>
      <c r="T59" s="59" t="e">
        <f>SUMIFS(#REF!,#REF!,美团日报!$C59,#REF!,"美团")</f>
        <v>#REF!</v>
      </c>
      <c r="U59" s="18" t="e">
        <f t="shared" si="5"/>
        <v>#REF!</v>
      </c>
      <c r="V59" s="59" t="e">
        <f>SUMIFS(#REF!,#REF!,美团日报!$C59,#REF!,"美团")</f>
        <v>#REF!</v>
      </c>
      <c r="W59" s="16" t="s">
        <v>13</v>
      </c>
    </row>
    <row r="60" ht="14.4" spans="1:23">
      <c r="A60" s="16" t="s">
        <v>48</v>
      </c>
      <c r="B60" s="16" t="s">
        <v>111</v>
      </c>
      <c r="C60" s="16">
        <v>8692</v>
      </c>
      <c r="D60" s="16" t="s">
        <v>187</v>
      </c>
      <c r="E60" s="58">
        <f>_xlfn.IFNA(VLOOKUP(C:C,线上线下销售!B:D,3,0),0)</f>
        <v>11005.8161</v>
      </c>
      <c r="F60" s="18">
        <f>SUMIFS(线上订单!$E:$E,线上订单!$B:$B,美团日报!$C60,线上订单!$D:$D,"美团")</f>
        <v>476.86287245268</v>
      </c>
      <c r="G60" s="59">
        <f t="shared" si="1"/>
        <v>0.0433282609958093</v>
      </c>
      <c r="H60" s="18">
        <f>SUMIFS(线上订单!$F:$F,线上订单!$B:$B,美团日报!$C60,线上订单!$D:$D,"美团")</f>
        <v>10</v>
      </c>
      <c r="I60" s="18">
        <f>SUMIFS(线上订单!$F:$F,线上订单!$B:$B,美团日报!$C60,线上订单!$D:$D,"美团")</f>
        <v>10</v>
      </c>
      <c r="J60" s="18">
        <f t="shared" si="2"/>
        <v>47.686287245268</v>
      </c>
      <c r="K60" s="18" t="e">
        <f t="shared" si="6"/>
        <v>#REF!</v>
      </c>
      <c r="L60" s="59" t="e">
        <f>SUMIFS(#REF!,#REF!,美团日报!$C60,#REF!,"美团")</f>
        <v>#REF!</v>
      </c>
      <c r="M60" s="18"/>
      <c r="N60" s="18"/>
      <c r="O60" s="18" t="e">
        <f t="shared" si="3"/>
        <v>#REF!</v>
      </c>
      <c r="P60" s="59" t="e">
        <f>SUMIFS(#REF!,#REF!,美团日报!$C60,#REF!,"美团")</f>
        <v>#REF!</v>
      </c>
      <c r="Q60" s="18"/>
      <c r="R60" s="18"/>
      <c r="S60" s="18" t="e">
        <f t="shared" si="4"/>
        <v>#REF!</v>
      </c>
      <c r="T60" s="59" t="e">
        <f>SUMIFS(#REF!,#REF!,美团日报!$C60,#REF!,"美团")</f>
        <v>#REF!</v>
      </c>
      <c r="U60" s="18" t="e">
        <f t="shared" si="5"/>
        <v>#REF!</v>
      </c>
      <c r="V60" s="59" t="e">
        <f>SUMIFS(#REF!,#REF!,美团日报!$C60,#REF!,"美团")</f>
        <v>#REF!</v>
      </c>
      <c r="W60" s="16" t="s">
        <v>13</v>
      </c>
    </row>
    <row r="61" ht="14.4" spans="1:23">
      <c r="A61" s="16" t="s">
        <v>56</v>
      </c>
      <c r="B61" s="16" t="s">
        <v>73</v>
      </c>
      <c r="C61" s="16">
        <v>8670</v>
      </c>
      <c r="D61" s="16" t="s">
        <v>189</v>
      </c>
      <c r="E61" s="58">
        <f>_xlfn.IFNA(VLOOKUP(C:C,线上线下销售!B:D,3,0),0)</f>
        <v>0</v>
      </c>
      <c r="F61" s="18">
        <f>SUMIFS(线上订单!$E:$E,线上订单!$B:$B,美团日报!$C61,线上订单!$D:$D,"美团")</f>
        <v>0</v>
      </c>
      <c r="G61" s="59">
        <f t="shared" si="1"/>
        <v>0</v>
      </c>
      <c r="H61" s="18">
        <f>SUMIFS(线上订单!$F:$F,线上订单!$B:$B,美团日报!$C61,线上订单!$D:$D,"美团")</f>
        <v>0</v>
      </c>
      <c r="I61" s="18">
        <f>SUMIFS(线上订单!$F:$F,线上订单!$B:$B,美团日报!$C61,线上订单!$D:$D,"美团")</f>
        <v>0</v>
      </c>
      <c r="J61" s="18">
        <f t="shared" si="2"/>
        <v>0</v>
      </c>
      <c r="K61" s="18" t="e">
        <f t="shared" si="6"/>
        <v>#REF!</v>
      </c>
      <c r="L61" s="59" t="e">
        <f>SUMIFS(#REF!,#REF!,美团日报!$C61,#REF!,"美团")</f>
        <v>#REF!</v>
      </c>
      <c r="M61" s="18"/>
      <c r="N61" s="18"/>
      <c r="O61" s="18" t="e">
        <f t="shared" si="3"/>
        <v>#REF!</v>
      </c>
      <c r="P61" s="59" t="e">
        <f>SUMIFS(#REF!,#REF!,美团日报!$C61,#REF!,"美团")</f>
        <v>#REF!</v>
      </c>
      <c r="Q61" s="18"/>
      <c r="R61" s="18"/>
      <c r="S61" s="18" t="e">
        <f t="shared" si="4"/>
        <v>#REF!</v>
      </c>
      <c r="T61" s="59" t="e">
        <f>SUMIFS(#REF!,#REF!,美团日报!$C61,#REF!,"美团")</f>
        <v>#REF!</v>
      </c>
      <c r="U61" s="18" t="e">
        <f t="shared" si="5"/>
        <v>#REF!</v>
      </c>
      <c r="V61" s="59" t="e">
        <f>SUMIFS(#REF!,#REF!,美团日报!$C61,#REF!,"美团")</f>
        <v>#REF!</v>
      </c>
      <c r="W61" s="16" t="s">
        <v>13</v>
      </c>
    </row>
    <row r="62" ht="14.4" spans="1:23">
      <c r="A62" s="16" t="s">
        <v>63</v>
      </c>
      <c r="B62" s="16" t="s">
        <v>86</v>
      </c>
      <c r="C62" s="16">
        <v>8682</v>
      </c>
      <c r="D62" s="16" t="s">
        <v>191</v>
      </c>
      <c r="E62" s="58">
        <f>_xlfn.IFNA(VLOOKUP(C:C,线上线下销售!B:D,3,0),0)</f>
        <v>6403.0207</v>
      </c>
      <c r="F62" s="18">
        <f>SUMIFS(线上订单!$E:$E,线上订单!$B:$B,美团日报!$C62,线上订单!$D:$D,"美团")</f>
        <v>527.41251928221</v>
      </c>
      <c r="G62" s="59">
        <f t="shared" si="1"/>
        <v>0.0823693291015302</v>
      </c>
      <c r="H62" s="18">
        <f>SUMIFS(线上订单!$F:$F,线上订单!$B:$B,美团日报!$C62,线上订单!$D:$D,"美团")</f>
        <v>13</v>
      </c>
      <c r="I62" s="18">
        <f>SUMIFS(线上订单!$F:$F,线上订单!$B:$B,美团日报!$C62,线上订单!$D:$D,"美团")</f>
        <v>13</v>
      </c>
      <c r="J62" s="18">
        <f t="shared" si="2"/>
        <v>40.5701937909392</v>
      </c>
      <c r="K62" s="18" t="e">
        <f t="shared" si="6"/>
        <v>#REF!</v>
      </c>
      <c r="L62" s="59" t="e">
        <f>SUMIFS(#REF!,#REF!,美团日报!$C62,#REF!,"美团")</f>
        <v>#REF!</v>
      </c>
      <c r="M62" s="18"/>
      <c r="N62" s="18"/>
      <c r="O62" s="18" t="e">
        <f t="shared" si="3"/>
        <v>#REF!</v>
      </c>
      <c r="P62" s="59" t="e">
        <f>SUMIFS(#REF!,#REF!,美团日报!$C62,#REF!,"美团")</f>
        <v>#REF!</v>
      </c>
      <c r="Q62" s="18"/>
      <c r="R62" s="18"/>
      <c r="S62" s="18" t="e">
        <f t="shared" si="4"/>
        <v>#REF!</v>
      </c>
      <c r="T62" s="59" t="e">
        <f>SUMIFS(#REF!,#REF!,美团日报!$C62,#REF!,"美团")</f>
        <v>#REF!</v>
      </c>
      <c r="U62" s="18" t="e">
        <f t="shared" si="5"/>
        <v>#REF!</v>
      </c>
      <c r="V62" s="59" t="e">
        <f>SUMIFS(#REF!,#REF!,美团日报!$C62,#REF!,"美团")</f>
        <v>#REF!</v>
      </c>
      <c r="W62" s="16" t="s">
        <v>13</v>
      </c>
    </row>
    <row r="63" ht="14.4" spans="1:23">
      <c r="A63" s="16" t="s">
        <v>43</v>
      </c>
      <c r="B63" s="16" t="s">
        <v>575</v>
      </c>
      <c r="C63" s="16">
        <v>8686</v>
      </c>
      <c r="D63" s="16" t="s">
        <v>193</v>
      </c>
      <c r="E63" s="58">
        <f>_xlfn.IFNA(VLOOKUP(C:C,线上线下销售!B:D,3,0),0)</f>
        <v>4748.7726</v>
      </c>
      <c r="F63" s="18">
        <f>SUMIFS(线上订单!$E:$E,线上订单!$B:$B,美团日报!$C63,线上订单!$D:$D,"美团")</f>
        <v>657.14540878457</v>
      </c>
      <c r="G63" s="59">
        <f t="shared" si="1"/>
        <v>0.138382159799475</v>
      </c>
      <c r="H63" s="18">
        <f>SUMIFS(线上订单!$F:$F,线上订单!$B:$B,美团日报!$C63,线上订单!$D:$D,"美团")</f>
        <v>17</v>
      </c>
      <c r="I63" s="18">
        <f>SUMIFS(线上订单!$F:$F,线上订单!$B:$B,美团日报!$C63,线上订单!$D:$D,"美团")</f>
        <v>17</v>
      </c>
      <c r="J63" s="18">
        <f t="shared" si="2"/>
        <v>38.6556122814453</v>
      </c>
      <c r="K63" s="18" t="e">
        <f t="shared" si="6"/>
        <v>#REF!</v>
      </c>
      <c r="L63" s="59" t="e">
        <f>SUMIFS(#REF!,#REF!,美团日报!$C63,#REF!,"美团")</f>
        <v>#REF!</v>
      </c>
      <c r="M63" s="18"/>
      <c r="N63" s="18"/>
      <c r="O63" s="18" t="e">
        <f t="shared" si="3"/>
        <v>#REF!</v>
      </c>
      <c r="P63" s="59" t="e">
        <f>SUMIFS(#REF!,#REF!,美团日报!$C63,#REF!,"美团")</f>
        <v>#REF!</v>
      </c>
      <c r="Q63" s="18"/>
      <c r="R63" s="18"/>
      <c r="S63" s="18" t="e">
        <f t="shared" si="4"/>
        <v>#REF!</v>
      </c>
      <c r="T63" s="59" t="e">
        <f>SUMIFS(#REF!,#REF!,美团日报!$C63,#REF!,"美团")</f>
        <v>#REF!</v>
      </c>
      <c r="U63" s="18" t="e">
        <f t="shared" si="5"/>
        <v>#REF!</v>
      </c>
      <c r="V63" s="59" t="e">
        <f>SUMIFS(#REF!,#REF!,美团日报!$C63,#REF!,"美团")</f>
        <v>#REF!</v>
      </c>
      <c r="W63" s="16" t="s">
        <v>13</v>
      </c>
    </row>
    <row r="64" ht="14.4" spans="1:23">
      <c r="A64" s="16" t="s">
        <v>63</v>
      </c>
      <c r="B64" s="16" t="s">
        <v>152</v>
      </c>
      <c r="C64" s="16">
        <v>8694</v>
      </c>
      <c r="D64" s="16" t="s">
        <v>195</v>
      </c>
      <c r="E64" s="58">
        <f>_xlfn.IFNA(VLOOKUP(C:C,线上线下销售!B:D,3,0),0)</f>
        <v>7822.9249</v>
      </c>
      <c r="F64" s="18">
        <f>SUMIFS(线上订单!$E:$E,线上订单!$B:$B,美团日报!$C64,线上订单!$D:$D,"美团")</f>
        <v>2464.45277259068</v>
      </c>
      <c r="G64" s="59">
        <f t="shared" si="1"/>
        <v>0.315029583447833</v>
      </c>
      <c r="H64" s="18">
        <f>SUMIFS(线上订单!$F:$F,线上订单!$B:$B,美团日报!$C64,线上订单!$D:$D,"美团")</f>
        <v>59</v>
      </c>
      <c r="I64" s="18">
        <f>SUMIFS(线上订单!$F:$F,线上订单!$B:$B,美团日报!$C64,线上订单!$D:$D,"美团")</f>
        <v>59</v>
      </c>
      <c r="J64" s="18">
        <f t="shared" si="2"/>
        <v>41.7703859761132</v>
      </c>
      <c r="K64" s="18" t="e">
        <f t="shared" si="6"/>
        <v>#REF!</v>
      </c>
      <c r="L64" s="59" t="e">
        <f>SUMIFS(#REF!,#REF!,美团日报!$C64,#REF!,"美团")</f>
        <v>#REF!</v>
      </c>
      <c r="M64" s="18"/>
      <c r="N64" s="18"/>
      <c r="O64" s="18" t="e">
        <f t="shared" si="3"/>
        <v>#REF!</v>
      </c>
      <c r="P64" s="59" t="e">
        <f>SUMIFS(#REF!,#REF!,美团日报!$C64,#REF!,"美团")</f>
        <v>#REF!</v>
      </c>
      <c r="Q64" s="18"/>
      <c r="R64" s="18"/>
      <c r="S64" s="18" t="e">
        <f t="shared" si="4"/>
        <v>#REF!</v>
      </c>
      <c r="T64" s="59" t="e">
        <f>SUMIFS(#REF!,#REF!,美团日报!$C64,#REF!,"美团")</f>
        <v>#REF!</v>
      </c>
      <c r="U64" s="18" t="e">
        <f t="shared" si="5"/>
        <v>#REF!</v>
      </c>
      <c r="V64" s="59" t="e">
        <f>SUMIFS(#REF!,#REF!,美团日报!$C64,#REF!,"美团")</f>
        <v>#REF!</v>
      </c>
      <c r="W64" s="16" t="s">
        <v>13</v>
      </c>
    </row>
    <row r="65" ht="14.4" spans="1:23">
      <c r="A65" s="16" t="s">
        <v>43</v>
      </c>
      <c r="B65" s="16" t="s">
        <v>143</v>
      </c>
      <c r="C65" s="16">
        <v>8646</v>
      </c>
      <c r="D65" s="16" t="s">
        <v>197</v>
      </c>
      <c r="E65" s="58">
        <f>_xlfn.IFNA(VLOOKUP(C:C,线上线下销售!B:D,3,0),0)</f>
        <v>8105.9535</v>
      </c>
      <c r="F65" s="18">
        <f>SUMIFS(线上订单!$E:$E,线上订单!$B:$B,美团日报!$C65,线上订单!$D:$D,"美团")</f>
        <v>140.97345132744</v>
      </c>
      <c r="G65" s="59">
        <f t="shared" si="1"/>
        <v>0.0173913471533534</v>
      </c>
      <c r="H65" s="18">
        <f>SUMIFS(线上订单!$F:$F,线上订单!$B:$B,美团日报!$C65,线上订单!$D:$D,"美团")</f>
        <v>3</v>
      </c>
      <c r="I65" s="18">
        <f>SUMIFS(线上订单!$F:$F,线上订单!$B:$B,美团日报!$C65,线上订单!$D:$D,"美团")</f>
        <v>3</v>
      </c>
      <c r="J65" s="18">
        <f t="shared" si="2"/>
        <v>46.99115044248</v>
      </c>
      <c r="K65" s="18" t="e">
        <f t="shared" si="6"/>
        <v>#REF!</v>
      </c>
      <c r="L65" s="59" t="e">
        <f>SUMIFS(#REF!,#REF!,美团日报!$C65,#REF!,"美团")</f>
        <v>#REF!</v>
      </c>
      <c r="M65" s="18"/>
      <c r="N65" s="18"/>
      <c r="O65" s="18" t="e">
        <f t="shared" si="3"/>
        <v>#REF!</v>
      </c>
      <c r="P65" s="59" t="e">
        <f>SUMIFS(#REF!,#REF!,美团日报!$C65,#REF!,"美团")</f>
        <v>#REF!</v>
      </c>
      <c r="Q65" s="18"/>
      <c r="R65" s="18"/>
      <c r="S65" s="18" t="e">
        <f t="shared" si="4"/>
        <v>#REF!</v>
      </c>
      <c r="T65" s="59" t="e">
        <f>SUMIFS(#REF!,#REF!,美团日报!$C65,#REF!,"美团")</f>
        <v>#REF!</v>
      </c>
      <c r="U65" s="18" t="e">
        <f t="shared" si="5"/>
        <v>#REF!</v>
      </c>
      <c r="V65" s="59" t="e">
        <f>SUMIFS(#REF!,#REF!,美团日报!$C65,#REF!,"美团")</f>
        <v>#REF!</v>
      </c>
      <c r="W65" s="16" t="s">
        <v>13</v>
      </c>
    </row>
    <row r="66" ht="14.4" spans="1:23">
      <c r="A66" s="16" t="s">
        <v>56</v>
      </c>
      <c r="B66" s="16" t="s">
        <v>52</v>
      </c>
      <c r="C66" s="16">
        <v>8691</v>
      </c>
      <c r="D66" s="16" t="s">
        <v>199</v>
      </c>
      <c r="E66" s="58">
        <f>_xlfn.IFNA(VLOOKUP(C:C,线上线下销售!B:D,3,0),0)</f>
        <v>7912.9107</v>
      </c>
      <c r="F66" s="18">
        <f>SUMIFS(线上订单!$E:$E,线上订单!$B:$B,美团日报!$C66,线上订单!$D:$D,"美团")</f>
        <v>774.93870260612</v>
      </c>
      <c r="G66" s="59">
        <f t="shared" si="1"/>
        <v>0.0979334573567373</v>
      </c>
      <c r="H66" s="18">
        <f>SUMIFS(线上订单!$F:$F,线上订单!$B:$B,美团日报!$C66,线上订单!$D:$D,"美团")</f>
        <v>21</v>
      </c>
      <c r="I66" s="18">
        <f>SUMIFS(线上订单!$F:$F,线上订单!$B:$B,美团日报!$C66,线上订单!$D:$D,"美团")</f>
        <v>21</v>
      </c>
      <c r="J66" s="18">
        <f t="shared" si="2"/>
        <v>36.9018429812438</v>
      </c>
      <c r="K66" s="18" t="e">
        <f t="shared" si="6"/>
        <v>#REF!</v>
      </c>
      <c r="L66" s="59" t="e">
        <f>SUMIFS(#REF!,#REF!,美团日报!$C66,#REF!,"美团")</f>
        <v>#REF!</v>
      </c>
      <c r="M66" s="18"/>
      <c r="N66" s="18"/>
      <c r="O66" s="18" t="e">
        <f t="shared" si="3"/>
        <v>#REF!</v>
      </c>
      <c r="P66" s="59" t="e">
        <f>SUMIFS(#REF!,#REF!,美团日报!$C66,#REF!,"美团")</f>
        <v>#REF!</v>
      </c>
      <c r="Q66" s="18"/>
      <c r="R66" s="18"/>
      <c r="S66" s="18" t="e">
        <f t="shared" si="4"/>
        <v>#REF!</v>
      </c>
      <c r="T66" s="59" t="e">
        <f>SUMIFS(#REF!,#REF!,美团日报!$C66,#REF!,"美团")</f>
        <v>#REF!</v>
      </c>
      <c r="U66" s="18" t="e">
        <f t="shared" si="5"/>
        <v>#REF!</v>
      </c>
      <c r="V66" s="59" t="e">
        <f>SUMIFS(#REF!,#REF!,美团日报!$C66,#REF!,"美团")</f>
        <v>#REF!</v>
      </c>
      <c r="W66" s="16" t="s">
        <v>13</v>
      </c>
    </row>
    <row r="67" ht="14.4" spans="1:23">
      <c r="A67" s="16" t="s">
        <v>56</v>
      </c>
      <c r="B67" s="16" t="s">
        <v>573</v>
      </c>
      <c r="C67" s="16">
        <v>8695</v>
      </c>
      <c r="D67" s="16" t="s">
        <v>201</v>
      </c>
      <c r="E67" s="58">
        <f>_xlfn.IFNA(VLOOKUP(C:C,线上线下销售!B:D,3,0),0)</f>
        <v>7163.393</v>
      </c>
      <c r="F67" s="18">
        <f>SUMIFS(线上订单!$E:$E,线上订单!$B:$B,美团日报!$C67,线上订单!$D:$D,"美团")</f>
        <v>1333.68255256961</v>
      </c>
      <c r="G67" s="59">
        <f t="shared" ref="G67:G130" si="7">IFERROR(F67/E67,0)</f>
        <v>0.186180285315857</v>
      </c>
      <c r="H67" s="18">
        <f>SUMIFS(线上订单!$F:$F,线上订单!$B:$B,美团日报!$C67,线上订单!$D:$D,"美团")</f>
        <v>27</v>
      </c>
      <c r="I67" s="18">
        <f>SUMIFS(线上订单!$F:$F,线上订单!$B:$B,美团日报!$C67,线上订单!$D:$D,"美团")</f>
        <v>27</v>
      </c>
      <c r="J67" s="18">
        <f t="shared" ref="J67:J130" si="8">IFERROR(F67/I67,0)</f>
        <v>49.3956500951707</v>
      </c>
      <c r="K67" s="18" t="e">
        <f t="shared" ref="K67:K130" si="9">H67*L67</f>
        <v>#REF!</v>
      </c>
      <c r="L67" s="59" t="e">
        <f>SUMIFS(#REF!,#REF!,美团日报!$C67,#REF!,"美团")</f>
        <v>#REF!</v>
      </c>
      <c r="M67" s="18"/>
      <c r="N67" s="18"/>
      <c r="O67" s="18" t="e">
        <f t="shared" ref="O67:O130" si="10">H67*(1-P67)</f>
        <v>#REF!</v>
      </c>
      <c r="P67" s="59" t="e">
        <f>SUMIFS(#REF!,#REF!,美团日报!$C67,#REF!,"美团")</f>
        <v>#REF!</v>
      </c>
      <c r="Q67" s="18"/>
      <c r="R67" s="18"/>
      <c r="S67" s="18" t="e">
        <f t="shared" ref="S67:S130" si="11">H67*T67</f>
        <v>#REF!</v>
      </c>
      <c r="T67" s="59" t="e">
        <f>SUMIFS(#REF!,#REF!,美团日报!$C67,#REF!,"美团")</f>
        <v>#REF!</v>
      </c>
      <c r="U67" s="18" t="e">
        <f t="shared" ref="U67:U130" si="12">H67*V67</f>
        <v>#REF!</v>
      </c>
      <c r="V67" s="59" t="e">
        <f>SUMIFS(#REF!,#REF!,美团日报!$C67,#REF!,"美团")</f>
        <v>#REF!</v>
      </c>
      <c r="W67" s="16" t="s">
        <v>13</v>
      </c>
    </row>
    <row r="68" ht="14.4" spans="1:23">
      <c r="A68" s="16" t="s">
        <v>43</v>
      </c>
      <c r="B68" s="16" t="s">
        <v>575</v>
      </c>
      <c r="C68" s="16">
        <v>8707</v>
      </c>
      <c r="D68" s="16" t="s">
        <v>203</v>
      </c>
      <c r="E68" s="58">
        <f>_xlfn.IFNA(VLOOKUP(C:C,线上线下销售!B:D,3,0),0)</f>
        <v>7379.6535</v>
      </c>
      <c r="F68" s="18">
        <f>SUMIFS(线上订单!$E:$E,线上订单!$B:$B,美团日报!$C68,线上订单!$D:$D,"美团")</f>
        <v>896.98627912634</v>
      </c>
      <c r="G68" s="59">
        <f t="shared" si="7"/>
        <v>0.121548563103449</v>
      </c>
      <c r="H68" s="18">
        <f>SUMIFS(线上订单!$F:$F,线上订单!$B:$B,美团日报!$C68,线上订单!$D:$D,"美团")</f>
        <v>22</v>
      </c>
      <c r="I68" s="18">
        <f>SUMIFS(线上订单!$F:$F,线上订单!$B:$B,美团日报!$C68,线上订单!$D:$D,"美团")</f>
        <v>22</v>
      </c>
      <c r="J68" s="18">
        <f t="shared" si="8"/>
        <v>40.7721035966518</v>
      </c>
      <c r="K68" s="18" t="e">
        <f t="shared" si="9"/>
        <v>#REF!</v>
      </c>
      <c r="L68" s="59" t="e">
        <f>SUMIFS(#REF!,#REF!,美团日报!$C68,#REF!,"美团")</f>
        <v>#REF!</v>
      </c>
      <c r="M68" s="18"/>
      <c r="N68" s="18"/>
      <c r="O68" s="18" t="e">
        <f t="shared" si="10"/>
        <v>#REF!</v>
      </c>
      <c r="P68" s="59" t="e">
        <f>SUMIFS(#REF!,#REF!,美团日报!$C68,#REF!,"美团")</f>
        <v>#REF!</v>
      </c>
      <c r="Q68" s="18"/>
      <c r="R68" s="18"/>
      <c r="S68" s="18" t="e">
        <f t="shared" si="11"/>
        <v>#REF!</v>
      </c>
      <c r="T68" s="59" t="e">
        <f>SUMIFS(#REF!,#REF!,美团日报!$C68,#REF!,"美团")</f>
        <v>#REF!</v>
      </c>
      <c r="U68" s="18" t="e">
        <f t="shared" si="12"/>
        <v>#REF!</v>
      </c>
      <c r="V68" s="59" t="e">
        <f>SUMIFS(#REF!,#REF!,美团日报!$C68,#REF!,"美团")</f>
        <v>#REF!</v>
      </c>
      <c r="W68" s="16" t="s">
        <v>13</v>
      </c>
    </row>
    <row r="69" ht="14.4" spans="1:23">
      <c r="A69" s="16" t="s">
        <v>43</v>
      </c>
      <c r="B69" s="16" t="s">
        <v>38</v>
      </c>
      <c r="C69" s="16">
        <v>8685</v>
      </c>
      <c r="D69" s="16" t="s">
        <v>205</v>
      </c>
      <c r="E69" s="58">
        <f>_xlfn.IFNA(VLOOKUP(C:C,线上线下销售!B:D,3,0),0)</f>
        <v>8375.6268</v>
      </c>
      <c r="F69" s="18">
        <f>SUMIFS(线上订单!$E:$E,线上订单!$B:$B,美团日报!$C69,线上订单!$D:$D,"美团")</f>
        <v>1595.97710481441</v>
      </c>
      <c r="G69" s="59">
        <f t="shared" si="7"/>
        <v>0.190550169309646</v>
      </c>
      <c r="H69" s="18">
        <f>SUMIFS(线上订单!$F:$F,线上订单!$B:$B,美团日报!$C69,线上订单!$D:$D,"美团")</f>
        <v>43</v>
      </c>
      <c r="I69" s="18">
        <f>SUMIFS(线上订单!$F:$F,线上订单!$B:$B,美团日报!$C69,线上订单!$D:$D,"美团")</f>
        <v>43</v>
      </c>
      <c r="J69" s="18">
        <f t="shared" si="8"/>
        <v>37.1157466235909</v>
      </c>
      <c r="K69" s="18" t="e">
        <f t="shared" si="9"/>
        <v>#REF!</v>
      </c>
      <c r="L69" s="59" t="e">
        <f>SUMIFS(#REF!,#REF!,美团日报!$C69,#REF!,"美团")</f>
        <v>#REF!</v>
      </c>
      <c r="M69" s="18"/>
      <c r="N69" s="18"/>
      <c r="O69" s="18" t="e">
        <f t="shared" si="10"/>
        <v>#REF!</v>
      </c>
      <c r="P69" s="59" t="e">
        <f>SUMIFS(#REF!,#REF!,美团日报!$C69,#REF!,"美团")</f>
        <v>#REF!</v>
      </c>
      <c r="Q69" s="18"/>
      <c r="R69" s="18"/>
      <c r="S69" s="18" t="e">
        <f t="shared" si="11"/>
        <v>#REF!</v>
      </c>
      <c r="T69" s="59" t="e">
        <f>SUMIFS(#REF!,#REF!,美团日报!$C69,#REF!,"美团")</f>
        <v>#REF!</v>
      </c>
      <c r="U69" s="18" t="e">
        <f t="shared" si="12"/>
        <v>#REF!</v>
      </c>
      <c r="V69" s="59" t="e">
        <f>SUMIFS(#REF!,#REF!,美团日报!$C69,#REF!,"美团")</f>
        <v>#REF!</v>
      </c>
      <c r="W69" s="16" t="s">
        <v>13</v>
      </c>
    </row>
    <row r="70" ht="14.4" spans="1:23">
      <c r="A70" s="16" t="s">
        <v>48</v>
      </c>
      <c r="B70" s="16" t="s">
        <v>83</v>
      </c>
      <c r="C70" s="16">
        <v>8714</v>
      </c>
      <c r="D70" s="16" t="s">
        <v>207</v>
      </c>
      <c r="E70" s="58">
        <f>_xlfn.IFNA(VLOOKUP(C:C,线上线下销售!B:D,3,0),0)</f>
        <v>16540.2644</v>
      </c>
      <c r="F70" s="18">
        <f>SUMIFS(线上订单!$E:$E,线上订单!$B:$B,美团日报!$C70,线上订单!$D:$D,"美团")</f>
        <v>2401.15079158885</v>
      </c>
      <c r="G70" s="59">
        <f t="shared" si="7"/>
        <v>0.145170036797528</v>
      </c>
      <c r="H70" s="18">
        <f>SUMIFS(线上订单!$F:$F,线上订单!$B:$B,美团日报!$C70,线上订单!$D:$D,"美团")</f>
        <v>54</v>
      </c>
      <c r="I70" s="18">
        <f>SUMIFS(线上订单!$F:$F,线上订单!$B:$B,美团日报!$C70,线上订单!$D:$D,"美团")</f>
        <v>54</v>
      </c>
      <c r="J70" s="18">
        <f t="shared" si="8"/>
        <v>44.4657553997935</v>
      </c>
      <c r="K70" s="18" t="e">
        <f t="shared" si="9"/>
        <v>#REF!</v>
      </c>
      <c r="L70" s="59" t="e">
        <f>SUMIFS(#REF!,#REF!,美团日报!$C70,#REF!,"美团")</f>
        <v>#REF!</v>
      </c>
      <c r="M70" s="18"/>
      <c r="N70" s="18"/>
      <c r="O70" s="18" t="e">
        <f t="shared" si="10"/>
        <v>#REF!</v>
      </c>
      <c r="P70" s="59" t="e">
        <f>SUMIFS(#REF!,#REF!,美团日报!$C70,#REF!,"美团")</f>
        <v>#REF!</v>
      </c>
      <c r="Q70" s="18"/>
      <c r="R70" s="18"/>
      <c r="S70" s="18" t="e">
        <f t="shared" si="11"/>
        <v>#REF!</v>
      </c>
      <c r="T70" s="59" t="e">
        <f>SUMIFS(#REF!,#REF!,美团日报!$C70,#REF!,"美团")</f>
        <v>#REF!</v>
      </c>
      <c r="U70" s="18" t="e">
        <f t="shared" si="12"/>
        <v>#REF!</v>
      </c>
      <c r="V70" s="59" t="e">
        <f>SUMIFS(#REF!,#REF!,美团日报!$C70,#REF!,"美团")</f>
        <v>#REF!</v>
      </c>
      <c r="W70" s="16" t="s">
        <v>13</v>
      </c>
    </row>
    <row r="71" ht="14.4" spans="1:23">
      <c r="A71" s="16" t="s">
        <v>48</v>
      </c>
      <c r="B71" s="16" t="s">
        <v>89</v>
      </c>
      <c r="C71" s="16">
        <v>8701</v>
      </c>
      <c r="D71" s="16" t="s">
        <v>209</v>
      </c>
      <c r="E71" s="58">
        <f>_xlfn.IFNA(VLOOKUP(C:C,线上线下销售!B:D,3,0),0)</f>
        <v>0</v>
      </c>
      <c r="F71" s="18">
        <f>SUMIFS(线上订单!$E:$E,线上订单!$B:$B,美团日报!$C71,线上订单!$D:$D,"美团")</f>
        <v>0</v>
      </c>
      <c r="G71" s="59">
        <f t="shared" si="7"/>
        <v>0</v>
      </c>
      <c r="H71" s="18">
        <f>SUMIFS(线上订单!$F:$F,线上订单!$B:$B,美团日报!$C71,线上订单!$D:$D,"美团")</f>
        <v>0</v>
      </c>
      <c r="I71" s="18">
        <f>SUMIFS(线上订单!$F:$F,线上订单!$B:$B,美团日报!$C71,线上订单!$D:$D,"美团")</f>
        <v>0</v>
      </c>
      <c r="J71" s="18">
        <f t="shared" si="8"/>
        <v>0</v>
      </c>
      <c r="K71" s="18" t="e">
        <f t="shared" si="9"/>
        <v>#REF!</v>
      </c>
      <c r="L71" s="59" t="e">
        <f>SUMIFS(#REF!,#REF!,美团日报!$C71,#REF!,"美团")</f>
        <v>#REF!</v>
      </c>
      <c r="M71" s="18"/>
      <c r="N71" s="18"/>
      <c r="O71" s="18" t="e">
        <f t="shared" si="10"/>
        <v>#REF!</v>
      </c>
      <c r="P71" s="59" t="e">
        <f>SUMIFS(#REF!,#REF!,美团日报!$C71,#REF!,"美团")</f>
        <v>#REF!</v>
      </c>
      <c r="Q71" s="18"/>
      <c r="R71" s="18"/>
      <c r="S71" s="18" t="e">
        <f t="shared" si="11"/>
        <v>#REF!</v>
      </c>
      <c r="T71" s="59" t="e">
        <f>SUMIFS(#REF!,#REF!,美团日报!$C71,#REF!,"美团")</f>
        <v>#REF!</v>
      </c>
      <c r="U71" s="18" t="e">
        <f t="shared" si="12"/>
        <v>#REF!</v>
      </c>
      <c r="V71" s="59" t="e">
        <f>SUMIFS(#REF!,#REF!,美团日报!$C71,#REF!,"美团")</f>
        <v>#REF!</v>
      </c>
      <c r="W71" s="16" t="s">
        <v>13</v>
      </c>
    </row>
    <row r="72" ht="14.4" spans="1:23">
      <c r="A72" s="16" t="s">
        <v>63</v>
      </c>
      <c r="B72" s="16" t="s">
        <v>574</v>
      </c>
      <c r="C72" s="16">
        <v>8713</v>
      </c>
      <c r="D72" s="16" t="s">
        <v>211</v>
      </c>
      <c r="E72" s="58">
        <f>_xlfn.IFNA(VLOOKUP(C:C,线上线下销售!B:D,3,0),0)</f>
        <v>4320.8855</v>
      </c>
      <c r="F72" s="18">
        <f>SUMIFS(线上订单!$E:$E,线上订单!$B:$B,美团日报!$C72,线上订单!$D:$D,"美团")</f>
        <v>62.74336283183</v>
      </c>
      <c r="G72" s="59">
        <f t="shared" si="7"/>
        <v>0.0145209501228001</v>
      </c>
      <c r="H72" s="18">
        <f>SUMIFS(线上订单!$F:$F,线上订单!$B:$B,美团日报!$C72,线上订单!$D:$D,"美团")</f>
        <v>2</v>
      </c>
      <c r="I72" s="18">
        <f>SUMIFS(线上订单!$F:$F,线上订单!$B:$B,美团日报!$C72,线上订单!$D:$D,"美团")</f>
        <v>2</v>
      </c>
      <c r="J72" s="18">
        <f t="shared" si="8"/>
        <v>31.371681415915</v>
      </c>
      <c r="K72" s="18" t="e">
        <f t="shared" si="9"/>
        <v>#REF!</v>
      </c>
      <c r="L72" s="59" t="e">
        <f>SUMIFS(#REF!,#REF!,美团日报!$C72,#REF!,"美团")</f>
        <v>#REF!</v>
      </c>
      <c r="M72" s="18"/>
      <c r="N72" s="18"/>
      <c r="O72" s="18" t="e">
        <f t="shared" si="10"/>
        <v>#REF!</v>
      </c>
      <c r="P72" s="59" t="e">
        <f>SUMIFS(#REF!,#REF!,美团日报!$C72,#REF!,"美团")</f>
        <v>#REF!</v>
      </c>
      <c r="Q72" s="18"/>
      <c r="R72" s="18"/>
      <c r="S72" s="18" t="e">
        <f t="shared" si="11"/>
        <v>#REF!</v>
      </c>
      <c r="T72" s="59" t="e">
        <f>SUMIFS(#REF!,#REF!,美团日报!$C72,#REF!,"美团")</f>
        <v>#REF!</v>
      </c>
      <c r="U72" s="18" t="e">
        <f t="shared" si="12"/>
        <v>#REF!</v>
      </c>
      <c r="V72" s="59" t="e">
        <f>SUMIFS(#REF!,#REF!,美团日报!$C72,#REF!,"美团")</f>
        <v>#REF!</v>
      </c>
      <c r="W72" s="16" t="s">
        <v>13</v>
      </c>
    </row>
    <row r="73" ht="14.4" spans="1:23">
      <c r="A73" s="16" t="s">
        <v>56</v>
      </c>
      <c r="B73" s="16" t="s">
        <v>57</v>
      </c>
      <c r="C73" s="16">
        <v>8700</v>
      </c>
      <c r="D73" s="16" t="s">
        <v>213</v>
      </c>
      <c r="E73" s="58">
        <f>_xlfn.IFNA(VLOOKUP(C:C,线上线下销售!B:D,3,0),0)</f>
        <v>7394.6707</v>
      </c>
      <c r="F73" s="18">
        <f>SUMIFS(线上订单!$E:$E,线上订单!$B:$B,美团日报!$C73,线上订单!$D:$D,"美团")</f>
        <v>432.38856864493</v>
      </c>
      <c r="G73" s="59">
        <f t="shared" si="7"/>
        <v>0.0584729984859136</v>
      </c>
      <c r="H73" s="18">
        <f>SUMIFS(线上订单!$F:$F,线上订单!$B:$B,美团日报!$C73,线上订单!$D:$D,"美团")</f>
        <v>12</v>
      </c>
      <c r="I73" s="18">
        <f>SUMIFS(线上订单!$F:$F,线上订单!$B:$B,美团日报!$C73,线上订单!$D:$D,"美团")</f>
        <v>12</v>
      </c>
      <c r="J73" s="18">
        <f t="shared" si="8"/>
        <v>36.0323807204108</v>
      </c>
      <c r="K73" s="18" t="e">
        <f t="shared" si="9"/>
        <v>#REF!</v>
      </c>
      <c r="L73" s="59" t="e">
        <f>SUMIFS(#REF!,#REF!,美团日报!$C73,#REF!,"美团")</f>
        <v>#REF!</v>
      </c>
      <c r="M73" s="18"/>
      <c r="N73" s="18"/>
      <c r="O73" s="18" t="e">
        <f t="shared" si="10"/>
        <v>#REF!</v>
      </c>
      <c r="P73" s="59" t="e">
        <f>SUMIFS(#REF!,#REF!,美团日报!$C73,#REF!,"美团")</f>
        <v>#REF!</v>
      </c>
      <c r="Q73" s="18"/>
      <c r="R73" s="18"/>
      <c r="S73" s="18" t="e">
        <f t="shared" si="11"/>
        <v>#REF!</v>
      </c>
      <c r="T73" s="59" t="e">
        <f>SUMIFS(#REF!,#REF!,美团日报!$C73,#REF!,"美团")</f>
        <v>#REF!</v>
      </c>
      <c r="U73" s="18" t="e">
        <f t="shared" si="12"/>
        <v>#REF!</v>
      </c>
      <c r="V73" s="59" t="e">
        <f>SUMIFS(#REF!,#REF!,美团日报!$C73,#REF!,"美团")</f>
        <v>#REF!</v>
      </c>
      <c r="W73" s="16" t="s">
        <v>13</v>
      </c>
    </row>
    <row r="74" ht="14.4" spans="1:23">
      <c r="A74" s="16" t="s">
        <v>43</v>
      </c>
      <c r="B74" s="16" t="s">
        <v>301</v>
      </c>
      <c r="C74" s="16">
        <v>8693</v>
      </c>
      <c r="D74" s="16" t="s">
        <v>215</v>
      </c>
      <c r="E74" s="58">
        <f>_xlfn.IFNA(VLOOKUP(C:C,线上线下销售!B:D,3,0),0)</f>
        <v>4141.2441</v>
      </c>
      <c r="F74" s="18">
        <f>SUMIFS(线上订单!$E:$E,线上订单!$B:$B,美团日报!$C74,线上订单!$D:$D,"美团")</f>
        <v>339.23845092143</v>
      </c>
      <c r="G74" s="59">
        <f t="shared" si="7"/>
        <v>0.0819170381483743</v>
      </c>
      <c r="H74" s="18">
        <f>SUMIFS(线上订单!$F:$F,线上订单!$B:$B,美团日报!$C74,线上订单!$D:$D,"美团")</f>
        <v>10</v>
      </c>
      <c r="I74" s="18">
        <f>SUMIFS(线上订单!$F:$F,线上订单!$B:$B,美团日报!$C74,线上订单!$D:$D,"美团")</f>
        <v>10</v>
      </c>
      <c r="J74" s="18">
        <f t="shared" si="8"/>
        <v>33.923845092143</v>
      </c>
      <c r="K74" s="18" t="e">
        <f t="shared" si="9"/>
        <v>#REF!</v>
      </c>
      <c r="L74" s="59" t="e">
        <f>SUMIFS(#REF!,#REF!,美团日报!$C74,#REF!,"美团")</f>
        <v>#REF!</v>
      </c>
      <c r="M74" s="18"/>
      <c r="N74" s="18"/>
      <c r="O74" s="18" t="e">
        <f t="shared" si="10"/>
        <v>#REF!</v>
      </c>
      <c r="P74" s="59" t="e">
        <f>SUMIFS(#REF!,#REF!,美团日报!$C74,#REF!,"美团")</f>
        <v>#REF!</v>
      </c>
      <c r="Q74" s="18"/>
      <c r="R74" s="18"/>
      <c r="S74" s="18" t="e">
        <f t="shared" si="11"/>
        <v>#REF!</v>
      </c>
      <c r="T74" s="59" t="e">
        <f>SUMIFS(#REF!,#REF!,美团日报!$C74,#REF!,"美团")</f>
        <v>#REF!</v>
      </c>
      <c r="U74" s="18" t="e">
        <f t="shared" si="12"/>
        <v>#REF!</v>
      </c>
      <c r="V74" s="59" t="e">
        <f>SUMIFS(#REF!,#REF!,美团日报!$C74,#REF!,"美团")</f>
        <v>#REF!</v>
      </c>
      <c r="W74" s="16" t="s">
        <v>13</v>
      </c>
    </row>
    <row r="75" ht="14.4" spans="1:23">
      <c r="A75" s="16" t="s">
        <v>56</v>
      </c>
      <c r="B75" s="16" t="s">
        <v>118</v>
      </c>
      <c r="C75" s="16">
        <v>8709</v>
      </c>
      <c r="D75" s="16" t="s">
        <v>217</v>
      </c>
      <c r="E75" s="58">
        <f>_xlfn.IFNA(VLOOKUP(C:C,线上线下销售!B:D,3,0),0)</f>
        <v>7086.9007</v>
      </c>
      <c r="F75" s="18">
        <f>SUMIFS(线上订单!$E:$E,线上订单!$B:$B,美团日报!$C75,线上订单!$D:$D,"美团")</f>
        <v>977.90452220498</v>
      </c>
      <c r="G75" s="59">
        <f t="shared" si="7"/>
        <v>0.137987614558361</v>
      </c>
      <c r="H75" s="18">
        <f>SUMIFS(线上订单!$F:$F,线上订单!$B:$B,美团日报!$C75,线上订单!$D:$D,"美团")</f>
        <v>25</v>
      </c>
      <c r="I75" s="18">
        <f>SUMIFS(线上订单!$F:$F,线上订单!$B:$B,美团日报!$C75,线上订单!$D:$D,"美团")</f>
        <v>25</v>
      </c>
      <c r="J75" s="18">
        <f t="shared" si="8"/>
        <v>39.1161808881992</v>
      </c>
      <c r="K75" s="18" t="e">
        <f t="shared" si="9"/>
        <v>#REF!</v>
      </c>
      <c r="L75" s="59" t="e">
        <f>SUMIFS(#REF!,#REF!,美团日报!$C75,#REF!,"美团")</f>
        <v>#REF!</v>
      </c>
      <c r="M75" s="18"/>
      <c r="N75" s="18"/>
      <c r="O75" s="18" t="e">
        <f t="shared" si="10"/>
        <v>#REF!</v>
      </c>
      <c r="P75" s="59" t="e">
        <f>SUMIFS(#REF!,#REF!,美团日报!$C75,#REF!,"美团")</f>
        <v>#REF!</v>
      </c>
      <c r="Q75" s="18"/>
      <c r="R75" s="18"/>
      <c r="S75" s="18" t="e">
        <f t="shared" si="11"/>
        <v>#REF!</v>
      </c>
      <c r="T75" s="59" t="e">
        <f>SUMIFS(#REF!,#REF!,美团日报!$C75,#REF!,"美团")</f>
        <v>#REF!</v>
      </c>
      <c r="U75" s="18" t="e">
        <f t="shared" si="12"/>
        <v>#REF!</v>
      </c>
      <c r="V75" s="59" t="e">
        <f>SUMIFS(#REF!,#REF!,美团日报!$C75,#REF!,"美团")</f>
        <v>#REF!</v>
      </c>
      <c r="W75" s="16" t="s">
        <v>13</v>
      </c>
    </row>
    <row r="76" ht="14.4" spans="1:23">
      <c r="A76" s="16" t="s">
        <v>48</v>
      </c>
      <c r="B76" s="16" t="s">
        <v>83</v>
      </c>
      <c r="C76" s="16">
        <v>8677</v>
      </c>
      <c r="D76" s="16" t="s">
        <v>219</v>
      </c>
      <c r="E76" s="58">
        <f>_xlfn.IFNA(VLOOKUP(C:C,线上线下销售!B:D,3,0),0)</f>
        <v>7157.3854</v>
      </c>
      <c r="F76" s="18">
        <f>SUMIFS(线上订单!$E:$E,线上订单!$B:$B,美团日报!$C76,线上订单!$D:$D,"美团")</f>
        <v>1202.33660794023</v>
      </c>
      <c r="G76" s="59">
        <f t="shared" si="7"/>
        <v>0.167985450097494</v>
      </c>
      <c r="H76" s="18">
        <f>SUMIFS(线上订单!$F:$F,线上订单!$B:$B,美团日报!$C76,线上订单!$D:$D,"美团")</f>
        <v>29</v>
      </c>
      <c r="I76" s="18">
        <f>SUMIFS(线上订单!$F:$F,线上订单!$B:$B,美团日报!$C76,线上订单!$D:$D,"美团")</f>
        <v>29</v>
      </c>
      <c r="J76" s="18">
        <f t="shared" si="8"/>
        <v>41.4598830324217</v>
      </c>
      <c r="K76" s="18" t="e">
        <f t="shared" si="9"/>
        <v>#REF!</v>
      </c>
      <c r="L76" s="59" t="e">
        <f>SUMIFS(#REF!,#REF!,美团日报!$C76,#REF!,"美团")</f>
        <v>#REF!</v>
      </c>
      <c r="M76" s="18"/>
      <c r="N76" s="18"/>
      <c r="O76" s="18" t="e">
        <f t="shared" si="10"/>
        <v>#REF!</v>
      </c>
      <c r="P76" s="59" t="e">
        <f>SUMIFS(#REF!,#REF!,美团日报!$C76,#REF!,"美团")</f>
        <v>#REF!</v>
      </c>
      <c r="Q76" s="18"/>
      <c r="R76" s="18"/>
      <c r="S76" s="18" t="e">
        <f t="shared" si="11"/>
        <v>#REF!</v>
      </c>
      <c r="T76" s="59" t="e">
        <f>SUMIFS(#REF!,#REF!,美团日报!$C76,#REF!,"美团")</f>
        <v>#REF!</v>
      </c>
      <c r="U76" s="18" t="e">
        <f t="shared" si="12"/>
        <v>#REF!</v>
      </c>
      <c r="V76" s="59" t="e">
        <f>SUMIFS(#REF!,#REF!,美团日报!$C76,#REF!,"美团")</f>
        <v>#REF!</v>
      </c>
      <c r="W76" s="16" t="s">
        <v>13</v>
      </c>
    </row>
    <row r="77" ht="14.4" spans="1:23">
      <c r="A77" s="16" t="s">
        <v>48</v>
      </c>
      <c r="B77" s="16" t="s">
        <v>83</v>
      </c>
      <c r="C77" s="16">
        <v>8704</v>
      </c>
      <c r="D77" s="16" t="s">
        <v>221</v>
      </c>
      <c r="E77" s="58">
        <f>_xlfn.IFNA(VLOOKUP(C:C,线上线下销售!B:D,3,0),0)</f>
        <v>6066.3782</v>
      </c>
      <c r="F77" s="18">
        <f>SUMIFS(线上订单!$E:$E,线上订单!$B:$B,美团日报!$C77,线上订单!$D:$D,"美团")</f>
        <v>219.38053097341</v>
      </c>
      <c r="G77" s="59">
        <f t="shared" si="7"/>
        <v>0.0361633455318381</v>
      </c>
      <c r="H77" s="18">
        <f>SUMIFS(线上订单!$F:$F,线上订单!$B:$B,美团日报!$C77,线上订单!$D:$D,"美团")</f>
        <v>5</v>
      </c>
      <c r="I77" s="18">
        <f>SUMIFS(线上订单!$F:$F,线上订单!$B:$B,美团日报!$C77,线上订单!$D:$D,"美团")</f>
        <v>5</v>
      </c>
      <c r="J77" s="18">
        <f t="shared" si="8"/>
        <v>43.876106194682</v>
      </c>
      <c r="K77" s="18" t="e">
        <f t="shared" si="9"/>
        <v>#REF!</v>
      </c>
      <c r="L77" s="59" t="e">
        <f>SUMIFS(#REF!,#REF!,美团日报!$C77,#REF!,"美团")</f>
        <v>#REF!</v>
      </c>
      <c r="M77" s="18"/>
      <c r="N77" s="18"/>
      <c r="O77" s="18" t="e">
        <f t="shared" si="10"/>
        <v>#REF!</v>
      </c>
      <c r="P77" s="59" t="e">
        <f>SUMIFS(#REF!,#REF!,美团日报!$C77,#REF!,"美团")</f>
        <v>#REF!</v>
      </c>
      <c r="Q77" s="18"/>
      <c r="R77" s="18"/>
      <c r="S77" s="18" t="e">
        <f t="shared" si="11"/>
        <v>#REF!</v>
      </c>
      <c r="T77" s="59" t="e">
        <f>SUMIFS(#REF!,#REF!,美团日报!$C77,#REF!,"美团")</f>
        <v>#REF!</v>
      </c>
      <c r="U77" s="18" t="e">
        <f t="shared" si="12"/>
        <v>#REF!</v>
      </c>
      <c r="V77" s="59" t="e">
        <f>SUMIFS(#REF!,#REF!,美团日报!$C77,#REF!,"美团")</f>
        <v>#REF!</v>
      </c>
      <c r="W77" s="16" t="s">
        <v>13</v>
      </c>
    </row>
    <row r="78" ht="14.4" spans="1:23">
      <c r="A78" s="16" t="s">
        <v>43</v>
      </c>
      <c r="B78" s="16" t="s">
        <v>131</v>
      </c>
      <c r="C78" s="16">
        <v>8740</v>
      </c>
      <c r="D78" s="16" t="s">
        <v>223</v>
      </c>
      <c r="E78" s="58">
        <f>_xlfn.IFNA(VLOOKUP(C:C,线上线下销售!B:D,3,0),0)</f>
        <v>8226.2309</v>
      </c>
      <c r="F78" s="18">
        <f>SUMIFS(线上订单!$E:$E,线上订单!$B:$B,美团日报!$C78,线上订单!$D:$D,"美团")</f>
        <v>415.89835187129</v>
      </c>
      <c r="G78" s="59">
        <f t="shared" si="7"/>
        <v>0.050557583044659</v>
      </c>
      <c r="H78" s="18">
        <f>SUMIFS(线上订单!$F:$F,线上订单!$B:$B,美团日报!$C78,线上订单!$D:$D,"美团")</f>
        <v>9</v>
      </c>
      <c r="I78" s="18">
        <f>SUMIFS(线上订单!$F:$F,线上订单!$B:$B,美团日报!$C78,线上订单!$D:$D,"美团")</f>
        <v>9</v>
      </c>
      <c r="J78" s="18">
        <f t="shared" si="8"/>
        <v>46.2109279856989</v>
      </c>
      <c r="K78" s="18" t="e">
        <f t="shared" si="9"/>
        <v>#REF!</v>
      </c>
      <c r="L78" s="59" t="e">
        <f>SUMIFS(#REF!,#REF!,美团日报!$C78,#REF!,"美团")</f>
        <v>#REF!</v>
      </c>
      <c r="M78" s="18"/>
      <c r="N78" s="18"/>
      <c r="O78" s="18" t="e">
        <f t="shared" si="10"/>
        <v>#REF!</v>
      </c>
      <c r="P78" s="59" t="e">
        <f>SUMIFS(#REF!,#REF!,美团日报!$C78,#REF!,"美团")</f>
        <v>#REF!</v>
      </c>
      <c r="Q78" s="18"/>
      <c r="R78" s="18"/>
      <c r="S78" s="18" t="e">
        <f t="shared" si="11"/>
        <v>#REF!</v>
      </c>
      <c r="T78" s="59" t="e">
        <f>SUMIFS(#REF!,#REF!,美团日报!$C78,#REF!,"美团")</f>
        <v>#REF!</v>
      </c>
      <c r="U78" s="18" t="e">
        <f t="shared" si="12"/>
        <v>#REF!</v>
      </c>
      <c r="V78" s="59" t="e">
        <f>SUMIFS(#REF!,#REF!,美团日报!$C78,#REF!,"美团")</f>
        <v>#REF!</v>
      </c>
      <c r="W78" s="16" t="s">
        <v>13</v>
      </c>
    </row>
    <row r="79" ht="14.4" spans="1:23">
      <c r="A79" s="16" t="s">
        <v>48</v>
      </c>
      <c r="B79" s="16" t="s">
        <v>49</v>
      </c>
      <c r="C79" s="16">
        <v>8659</v>
      </c>
      <c r="D79" s="16" t="s">
        <v>225</v>
      </c>
      <c r="E79" s="58">
        <f>_xlfn.IFNA(VLOOKUP(C:C,线上线下销售!B:D,3,0),0)</f>
        <v>5515.2495</v>
      </c>
      <c r="F79" s="18">
        <f>SUMIFS(线上订单!$E:$E,线上订单!$B:$B,美团日报!$C79,线上订单!$D:$D,"美团")</f>
        <v>337.25663716812</v>
      </c>
      <c r="G79" s="59">
        <f t="shared" si="7"/>
        <v>0.0611498422996312</v>
      </c>
      <c r="H79" s="18">
        <f>SUMIFS(线上订单!$F:$F,线上订单!$B:$B,美团日报!$C79,线上订单!$D:$D,"美团")</f>
        <v>7</v>
      </c>
      <c r="I79" s="18">
        <f>SUMIFS(线上订单!$F:$F,线上订单!$B:$B,美团日报!$C79,线上订单!$D:$D,"美团")</f>
        <v>7</v>
      </c>
      <c r="J79" s="18">
        <f t="shared" si="8"/>
        <v>48.1795195954457</v>
      </c>
      <c r="K79" s="18" t="e">
        <f t="shared" si="9"/>
        <v>#REF!</v>
      </c>
      <c r="L79" s="59" t="e">
        <f>SUMIFS(#REF!,#REF!,美团日报!$C79,#REF!,"美团")</f>
        <v>#REF!</v>
      </c>
      <c r="M79" s="18"/>
      <c r="N79" s="18"/>
      <c r="O79" s="18" t="e">
        <f t="shared" si="10"/>
        <v>#REF!</v>
      </c>
      <c r="P79" s="59" t="e">
        <f>SUMIFS(#REF!,#REF!,美团日报!$C79,#REF!,"美团")</f>
        <v>#REF!</v>
      </c>
      <c r="Q79" s="18"/>
      <c r="R79" s="18"/>
      <c r="S79" s="18" t="e">
        <f t="shared" si="11"/>
        <v>#REF!</v>
      </c>
      <c r="T79" s="59" t="e">
        <f>SUMIFS(#REF!,#REF!,美团日报!$C79,#REF!,"美团")</f>
        <v>#REF!</v>
      </c>
      <c r="U79" s="18" t="e">
        <f t="shared" si="12"/>
        <v>#REF!</v>
      </c>
      <c r="V79" s="59" t="e">
        <f>SUMIFS(#REF!,#REF!,美团日报!$C79,#REF!,"美团")</f>
        <v>#REF!</v>
      </c>
      <c r="W79" s="16" t="s">
        <v>13</v>
      </c>
    </row>
    <row r="80" ht="14.4" spans="1:23">
      <c r="A80" s="16" t="s">
        <v>56</v>
      </c>
      <c r="B80" s="16" t="s">
        <v>57</v>
      </c>
      <c r="C80" s="16">
        <v>8697</v>
      </c>
      <c r="D80" s="16" t="s">
        <v>227</v>
      </c>
      <c r="E80" s="58">
        <f>_xlfn.IFNA(VLOOKUP(C:C,线上线下销售!B:D,3,0),0)</f>
        <v>7516.7383</v>
      </c>
      <c r="F80" s="18">
        <f>SUMIFS(线上订单!$E:$E,线上订单!$B:$B,美团日报!$C80,线上订单!$D:$D,"美团")</f>
        <v>1160.17845254517</v>
      </c>
      <c r="G80" s="59">
        <f t="shared" si="7"/>
        <v>0.154345995063467</v>
      </c>
      <c r="H80" s="18">
        <f>SUMIFS(线上订单!$F:$F,线上订单!$B:$B,美团日报!$C80,线上订单!$D:$D,"美团")</f>
        <v>31</v>
      </c>
      <c r="I80" s="18">
        <f>SUMIFS(线上订单!$F:$F,线上订单!$B:$B,美团日报!$C80,线上订单!$D:$D,"美团")</f>
        <v>31</v>
      </c>
      <c r="J80" s="18">
        <f t="shared" si="8"/>
        <v>37.4251113724248</v>
      </c>
      <c r="K80" s="18" t="e">
        <f t="shared" si="9"/>
        <v>#REF!</v>
      </c>
      <c r="L80" s="59" t="e">
        <f>SUMIFS(#REF!,#REF!,美团日报!$C80,#REF!,"美团")</f>
        <v>#REF!</v>
      </c>
      <c r="M80" s="18"/>
      <c r="N80" s="18"/>
      <c r="O80" s="18" t="e">
        <f t="shared" si="10"/>
        <v>#REF!</v>
      </c>
      <c r="P80" s="59" t="e">
        <f>SUMIFS(#REF!,#REF!,美团日报!$C80,#REF!,"美团")</f>
        <v>#REF!</v>
      </c>
      <c r="Q80" s="18"/>
      <c r="R80" s="18"/>
      <c r="S80" s="18" t="e">
        <f t="shared" si="11"/>
        <v>#REF!</v>
      </c>
      <c r="T80" s="59" t="e">
        <f>SUMIFS(#REF!,#REF!,美团日报!$C80,#REF!,"美团")</f>
        <v>#REF!</v>
      </c>
      <c r="U80" s="18" t="e">
        <f t="shared" si="12"/>
        <v>#REF!</v>
      </c>
      <c r="V80" s="59" t="e">
        <f>SUMIFS(#REF!,#REF!,美团日报!$C80,#REF!,"美团")</f>
        <v>#REF!</v>
      </c>
      <c r="W80" s="16" t="s">
        <v>13</v>
      </c>
    </row>
    <row r="81" ht="14.4" spans="1:23">
      <c r="A81" s="16" t="s">
        <v>43</v>
      </c>
      <c r="B81" s="16" t="s">
        <v>301</v>
      </c>
      <c r="C81" s="16">
        <v>8710</v>
      </c>
      <c r="D81" s="16" t="s">
        <v>229</v>
      </c>
      <c r="E81" s="58">
        <f>_xlfn.IFNA(VLOOKUP(C:C,线上线下销售!B:D,3,0),0)</f>
        <v>5498.149</v>
      </c>
      <c r="F81" s="18">
        <f>SUMIFS(线上订单!$E:$E,线上订单!$B:$B,美团日报!$C81,线上订单!$D:$D,"美团")</f>
        <v>196.86108630348</v>
      </c>
      <c r="G81" s="59">
        <f t="shared" si="7"/>
        <v>0.0358049747839646</v>
      </c>
      <c r="H81" s="18">
        <f>SUMIFS(线上订单!$F:$F,线上订单!$B:$B,美团日报!$C81,线上订单!$D:$D,"美团")</f>
        <v>5</v>
      </c>
      <c r="I81" s="18">
        <f>SUMIFS(线上订单!$F:$F,线上订单!$B:$B,美团日报!$C81,线上订单!$D:$D,"美团")</f>
        <v>5</v>
      </c>
      <c r="J81" s="18">
        <f t="shared" si="8"/>
        <v>39.372217260696</v>
      </c>
      <c r="K81" s="18" t="e">
        <f t="shared" si="9"/>
        <v>#REF!</v>
      </c>
      <c r="L81" s="59" t="e">
        <f>SUMIFS(#REF!,#REF!,美团日报!$C81,#REF!,"美团")</f>
        <v>#REF!</v>
      </c>
      <c r="M81" s="18"/>
      <c r="N81" s="18"/>
      <c r="O81" s="18" t="e">
        <f t="shared" si="10"/>
        <v>#REF!</v>
      </c>
      <c r="P81" s="59" t="e">
        <f>SUMIFS(#REF!,#REF!,美团日报!$C81,#REF!,"美团")</f>
        <v>#REF!</v>
      </c>
      <c r="Q81" s="18"/>
      <c r="R81" s="18"/>
      <c r="S81" s="18" t="e">
        <f t="shared" si="11"/>
        <v>#REF!</v>
      </c>
      <c r="T81" s="59" t="e">
        <f>SUMIFS(#REF!,#REF!,美团日报!$C81,#REF!,"美团")</f>
        <v>#REF!</v>
      </c>
      <c r="U81" s="18" t="e">
        <f t="shared" si="12"/>
        <v>#REF!</v>
      </c>
      <c r="V81" s="59" t="e">
        <f>SUMIFS(#REF!,#REF!,美团日报!$C81,#REF!,"美团")</f>
        <v>#REF!</v>
      </c>
      <c r="W81" s="16" t="s">
        <v>13</v>
      </c>
    </row>
    <row r="82" ht="14.4" spans="1:23">
      <c r="A82" s="16" t="s">
        <v>56</v>
      </c>
      <c r="B82" s="16" t="s">
        <v>73</v>
      </c>
      <c r="C82" s="16">
        <v>8683</v>
      </c>
      <c r="D82" s="16" t="s">
        <v>231</v>
      </c>
      <c r="E82" s="58">
        <f>_xlfn.IFNA(VLOOKUP(C:C,线上线下销售!B:D,3,0),0)</f>
        <v>0</v>
      </c>
      <c r="F82" s="18">
        <f>SUMIFS(线上订单!$E:$E,线上订单!$B:$B,美团日报!$C82,线上订单!$D:$D,"美团")</f>
        <v>0</v>
      </c>
      <c r="G82" s="59">
        <f t="shared" si="7"/>
        <v>0</v>
      </c>
      <c r="H82" s="18">
        <f>SUMIFS(线上订单!$F:$F,线上订单!$B:$B,美团日报!$C82,线上订单!$D:$D,"美团")</f>
        <v>0</v>
      </c>
      <c r="I82" s="18">
        <f>SUMIFS(线上订单!$F:$F,线上订单!$B:$B,美团日报!$C82,线上订单!$D:$D,"美团")</f>
        <v>0</v>
      </c>
      <c r="J82" s="18">
        <f t="shared" si="8"/>
        <v>0</v>
      </c>
      <c r="K82" s="18" t="e">
        <f t="shared" si="9"/>
        <v>#REF!</v>
      </c>
      <c r="L82" s="59" t="e">
        <f>SUMIFS(#REF!,#REF!,美团日报!$C82,#REF!,"美团")</f>
        <v>#REF!</v>
      </c>
      <c r="M82" s="18"/>
      <c r="N82" s="18"/>
      <c r="O82" s="18" t="e">
        <f t="shared" si="10"/>
        <v>#REF!</v>
      </c>
      <c r="P82" s="59" t="e">
        <f>SUMIFS(#REF!,#REF!,美团日报!$C82,#REF!,"美团")</f>
        <v>#REF!</v>
      </c>
      <c r="Q82" s="18"/>
      <c r="R82" s="18"/>
      <c r="S82" s="18" t="e">
        <f t="shared" si="11"/>
        <v>#REF!</v>
      </c>
      <c r="T82" s="59" t="e">
        <f>SUMIFS(#REF!,#REF!,美团日报!$C82,#REF!,"美团")</f>
        <v>#REF!</v>
      </c>
      <c r="U82" s="18" t="e">
        <f t="shared" si="12"/>
        <v>#REF!</v>
      </c>
      <c r="V82" s="59" t="e">
        <f>SUMIFS(#REF!,#REF!,美团日报!$C82,#REF!,"美团")</f>
        <v>#REF!</v>
      </c>
      <c r="W82" s="16" t="s">
        <v>13</v>
      </c>
    </row>
    <row r="83" ht="14.4" spans="1:23">
      <c r="A83" s="16" t="s">
        <v>43</v>
      </c>
      <c r="B83" s="16" t="s">
        <v>131</v>
      </c>
      <c r="C83" s="16">
        <v>8711</v>
      </c>
      <c r="D83" s="16" t="s">
        <v>233</v>
      </c>
      <c r="E83" s="58">
        <f>_xlfn.IFNA(VLOOKUP(C:C,线上线下销售!B:D,3,0),0)</f>
        <v>7312.6012</v>
      </c>
      <c r="F83" s="18">
        <f>SUMIFS(线上订单!$E:$E,线上订单!$B:$B,美团日报!$C83,线上订单!$D:$D,"美团")</f>
        <v>1070.59218965649</v>
      </c>
      <c r="G83" s="59">
        <f t="shared" si="7"/>
        <v>0.14640374339797</v>
      </c>
      <c r="H83" s="18">
        <f>SUMIFS(线上订单!$F:$F,线上订单!$B:$B,美团日报!$C83,线上订单!$D:$D,"美团")</f>
        <v>28</v>
      </c>
      <c r="I83" s="18">
        <f>SUMIFS(线上订单!$F:$F,线上订单!$B:$B,美团日报!$C83,线上订单!$D:$D,"美团")</f>
        <v>28</v>
      </c>
      <c r="J83" s="18">
        <f t="shared" si="8"/>
        <v>38.2354353448746</v>
      </c>
      <c r="K83" s="18" t="e">
        <f t="shared" si="9"/>
        <v>#REF!</v>
      </c>
      <c r="L83" s="59" t="e">
        <f>SUMIFS(#REF!,#REF!,美团日报!$C83,#REF!,"美团")</f>
        <v>#REF!</v>
      </c>
      <c r="M83" s="18"/>
      <c r="N83" s="18"/>
      <c r="O83" s="18" t="e">
        <f t="shared" si="10"/>
        <v>#REF!</v>
      </c>
      <c r="P83" s="59" t="e">
        <f>SUMIFS(#REF!,#REF!,美团日报!$C83,#REF!,"美团")</f>
        <v>#REF!</v>
      </c>
      <c r="Q83" s="18"/>
      <c r="R83" s="18"/>
      <c r="S83" s="18" t="e">
        <f t="shared" si="11"/>
        <v>#REF!</v>
      </c>
      <c r="T83" s="59" t="e">
        <f>SUMIFS(#REF!,#REF!,美团日报!$C83,#REF!,"美团")</f>
        <v>#REF!</v>
      </c>
      <c r="U83" s="18" t="e">
        <f t="shared" si="12"/>
        <v>#REF!</v>
      </c>
      <c r="V83" s="59" t="e">
        <f>SUMIFS(#REF!,#REF!,美团日报!$C83,#REF!,"美团")</f>
        <v>#REF!</v>
      </c>
      <c r="W83" s="16" t="s">
        <v>13</v>
      </c>
    </row>
    <row r="84" ht="14.4" spans="1:23">
      <c r="A84" s="16" t="s">
        <v>63</v>
      </c>
      <c r="B84" s="16" t="s">
        <v>99</v>
      </c>
      <c r="C84" s="16">
        <v>8718</v>
      </c>
      <c r="D84" s="16" t="s">
        <v>235</v>
      </c>
      <c r="E84" s="58">
        <f>_xlfn.IFNA(VLOOKUP(C:C,线上线下销售!B:D,3,0),0)</f>
        <v>0</v>
      </c>
      <c r="F84" s="18">
        <f>SUMIFS(线上订单!$E:$E,线上订单!$B:$B,美团日报!$C84,线上订单!$D:$D,"美团")</f>
        <v>0</v>
      </c>
      <c r="G84" s="59">
        <f t="shared" si="7"/>
        <v>0</v>
      </c>
      <c r="H84" s="18">
        <f>SUMIFS(线上订单!$F:$F,线上订单!$B:$B,美团日报!$C84,线上订单!$D:$D,"美团")</f>
        <v>0</v>
      </c>
      <c r="I84" s="18">
        <f>SUMIFS(线上订单!$F:$F,线上订单!$B:$B,美团日报!$C84,线上订单!$D:$D,"美团")</f>
        <v>0</v>
      </c>
      <c r="J84" s="18">
        <f t="shared" si="8"/>
        <v>0</v>
      </c>
      <c r="K84" s="18" t="e">
        <f t="shared" si="9"/>
        <v>#REF!</v>
      </c>
      <c r="L84" s="59" t="e">
        <f>SUMIFS(#REF!,#REF!,美团日报!$C84,#REF!,"美团")</f>
        <v>#REF!</v>
      </c>
      <c r="M84" s="18"/>
      <c r="N84" s="18"/>
      <c r="O84" s="18" t="e">
        <f t="shared" si="10"/>
        <v>#REF!</v>
      </c>
      <c r="P84" s="59" t="e">
        <f>SUMIFS(#REF!,#REF!,美团日报!$C84,#REF!,"美团")</f>
        <v>#REF!</v>
      </c>
      <c r="Q84" s="18"/>
      <c r="R84" s="18"/>
      <c r="S84" s="18" t="e">
        <f t="shared" si="11"/>
        <v>#REF!</v>
      </c>
      <c r="T84" s="59" t="e">
        <f>SUMIFS(#REF!,#REF!,美团日报!$C84,#REF!,"美团")</f>
        <v>#REF!</v>
      </c>
      <c r="U84" s="18" t="e">
        <f t="shared" si="12"/>
        <v>#REF!</v>
      </c>
      <c r="V84" s="59" t="e">
        <f>SUMIFS(#REF!,#REF!,美团日报!$C84,#REF!,"美团")</f>
        <v>#REF!</v>
      </c>
      <c r="W84" s="16" t="s">
        <v>13</v>
      </c>
    </row>
    <row r="85" ht="14.4" spans="1:23">
      <c r="A85" s="16" t="s">
        <v>63</v>
      </c>
      <c r="B85" s="16" t="s">
        <v>574</v>
      </c>
      <c r="C85" s="16">
        <v>8690</v>
      </c>
      <c r="D85" s="16" t="s">
        <v>237</v>
      </c>
      <c r="E85" s="58">
        <f>_xlfn.IFNA(VLOOKUP(C:C,线上线下销售!B:D,3,0),0)</f>
        <v>6031.1086</v>
      </c>
      <c r="F85" s="18">
        <f>SUMIFS(线上订单!$E:$E,线上订单!$B:$B,美团日报!$C85,线上订单!$D:$D,"美团")</f>
        <v>404.87293983916</v>
      </c>
      <c r="G85" s="59">
        <f t="shared" si="7"/>
        <v>0.0671307659489269</v>
      </c>
      <c r="H85" s="18">
        <f>SUMIFS(线上订单!$F:$F,线上订单!$B:$B,美团日报!$C85,线上订单!$D:$D,"美团")</f>
        <v>11</v>
      </c>
      <c r="I85" s="18">
        <f>SUMIFS(线上订单!$F:$F,线上订单!$B:$B,美团日报!$C85,线上订单!$D:$D,"美团")</f>
        <v>11</v>
      </c>
      <c r="J85" s="18">
        <f t="shared" si="8"/>
        <v>36.8066308944691</v>
      </c>
      <c r="K85" s="18" t="e">
        <f t="shared" si="9"/>
        <v>#REF!</v>
      </c>
      <c r="L85" s="59" t="e">
        <f>SUMIFS(#REF!,#REF!,美团日报!$C85,#REF!,"美团")</f>
        <v>#REF!</v>
      </c>
      <c r="M85" s="18"/>
      <c r="N85" s="18"/>
      <c r="O85" s="18" t="e">
        <f t="shared" si="10"/>
        <v>#REF!</v>
      </c>
      <c r="P85" s="59" t="e">
        <f>SUMIFS(#REF!,#REF!,美团日报!$C85,#REF!,"美团")</f>
        <v>#REF!</v>
      </c>
      <c r="Q85" s="18"/>
      <c r="R85" s="18"/>
      <c r="S85" s="18" t="e">
        <f t="shared" si="11"/>
        <v>#REF!</v>
      </c>
      <c r="T85" s="59" t="e">
        <f>SUMIFS(#REF!,#REF!,美团日报!$C85,#REF!,"美团")</f>
        <v>#REF!</v>
      </c>
      <c r="U85" s="18" t="e">
        <f t="shared" si="12"/>
        <v>#REF!</v>
      </c>
      <c r="V85" s="59" t="e">
        <f>SUMIFS(#REF!,#REF!,美团日报!$C85,#REF!,"美团")</f>
        <v>#REF!</v>
      </c>
      <c r="W85" s="16" t="s">
        <v>13</v>
      </c>
    </row>
    <row r="86" ht="14.4" spans="1:23">
      <c r="A86" s="16" t="s">
        <v>48</v>
      </c>
      <c r="B86" s="16" t="s">
        <v>89</v>
      </c>
      <c r="C86" s="16">
        <v>8719</v>
      </c>
      <c r="D86" s="16" t="s">
        <v>239</v>
      </c>
      <c r="E86" s="58">
        <f>_xlfn.IFNA(VLOOKUP(C:C,线上线下销售!B:D,3,0),0)</f>
        <v>4779.7659</v>
      </c>
      <c r="F86" s="18">
        <f>SUMIFS(线上订单!$E:$E,线上订单!$B:$B,美团日报!$C86,线上订单!$D:$D,"美团")</f>
        <v>196.68750507426</v>
      </c>
      <c r="G86" s="59">
        <f t="shared" si="7"/>
        <v>0.0411500289322245</v>
      </c>
      <c r="H86" s="18">
        <f>SUMIFS(线上订单!$F:$F,线上订单!$B:$B,美团日报!$C86,线上订单!$D:$D,"美团")</f>
        <v>6</v>
      </c>
      <c r="I86" s="18">
        <f>SUMIFS(线上订单!$F:$F,线上订单!$B:$B,美团日报!$C86,线上订单!$D:$D,"美团")</f>
        <v>6</v>
      </c>
      <c r="J86" s="18">
        <f t="shared" si="8"/>
        <v>32.78125084571</v>
      </c>
      <c r="K86" s="18" t="e">
        <f t="shared" si="9"/>
        <v>#REF!</v>
      </c>
      <c r="L86" s="59" t="e">
        <f>SUMIFS(#REF!,#REF!,美团日报!$C86,#REF!,"美团")</f>
        <v>#REF!</v>
      </c>
      <c r="M86" s="18"/>
      <c r="N86" s="18"/>
      <c r="O86" s="18" t="e">
        <f t="shared" si="10"/>
        <v>#REF!</v>
      </c>
      <c r="P86" s="59" t="e">
        <f>SUMIFS(#REF!,#REF!,美团日报!$C86,#REF!,"美团")</f>
        <v>#REF!</v>
      </c>
      <c r="Q86" s="18"/>
      <c r="R86" s="18"/>
      <c r="S86" s="18" t="e">
        <f t="shared" si="11"/>
        <v>#REF!</v>
      </c>
      <c r="T86" s="59" t="e">
        <f>SUMIFS(#REF!,#REF!,美团日报!$C86,#REF!,"美团")</f>
        <v>#REF!</v>
      </c>
      <c r="U86" s="18" t="e">
        <f t="shared" si="12"/>
        <v>#REF!</v>
      </c>
      <c r="V86" s="59" t="e">
        <f>SUMIFS(#REF!,#REF!,美团日报!$C86,#REF!,"美团")</f>
        <v>#REF!</v>
      </c>
      <c r="W86" s="16" t="s">
        <v>13</v>
      </c>
    </row>
    <row r="87" ht="14.4" spans="1:23">
      <c r="A87" s="16" t="s">
        <v>63</v>
      </c>
      <c r="B87" s="16" t="s">
        <v>574</v>
      </c>
      <c r="C87" s="16">
        <v>8723</v>
      </c>
      <c r="D87" s="16" t="s">
        <v>241</v>
      </c>
      <c r="E87" s="58">
        <f>_xlfn.IFNA(VLOOKUP(C:C,线上线下销售!B:D,3,0),0)</f>
        <v>10718.1217</v>
      </c>
      <c r="F87" s="18">
        <f>SUMIFS(线上订单!$E:$E,线上订单!$B:$B,美团日报!$C87,线上订单!$D:$D,"美团")</f>
        <v>1019.45936510499</v>
      </c>
      <c r="G87" s="59">
        <f t="shared" si="7"/>
        <v>0.0951154869891979</v>
      </c>
      <c r="H87" s="18">
        <f>SUMIFS(线上订单!$F:$F,线上订单!$B:$B,美团日报!$C87,线上订单!$D:$D,"美团")</f>
        <v>22</v>
      </c>
      <c r="I87" s="18">
        <f>SUMIFS(线上订单!$F:$F,线上订单!$B:$B,美团日报!$C87,线上订单!$D:$D,"美团")</f>
        <v>22</v>
      </c>
      <c r="J87" s="18">
        <f t="shared" si="8"/>
        <v>46.3390620502268</v>
      </c>
      <c r="K87" s="18" t="e">
        <f t="shared" si="9"/>
        <v>#REF!</v>
      </c>
      <c r="L87" s="59" t="e">
        <f>SUMIFS(#REF!,#REF!,美团日报!$C87,#REF!,"美团")</f>
        <v>#REF!</v>
      </c>
      <c r="M87" s="18"/>
      <c r="N87" s="18"/>
      <c r="O87" s="18" t="e">
        <f t="shared" si="10"/>
        <v>#REF!</v>
      </c>
      <c r="P87" s="59" t="e">
        <f>SUMIFS(#REF!,#REF!,美团日报!$C87,#REF!,"美团")</f>
        <v>#REF!</v>
      </c>
      <c r="Q87" s="18"/>
      <c r="R87" s="18"/>
      <c r="S87" s="18" t="e">
        <f t="shared" si="11"/>
        <v>#REF!</v>
      </c>
      <c r="T87" s="59" t="e">
        <f>SUMIFS(#REF!,#REF!,美团日报!$C87,#REF!,"美团")</f>
        <v>#REF!</v>
      </c>
      <c r="U87" s="18" t="e">
        <f t="shared" si="12"/>
        <v>#REF!</v>
      </c>
      <c r="V87" s="59" t="e">
        <f>SUMIFS(#REF!,#REF!,美团日报!$C87,#REF!,"美团")</f>
        <v>#REF!</v>
      </c>
      <c r="W87" s="16" t="s">
        <v>13</v>
      </c>
    </row>
    <row r="88" ht="14.4" spans="1:23">
      <c r="A88" s="16" t="s">
        <v>48</v>
      </c>
      <c r="B88" s="16" t="s">
        <v>83</v>
      </c>
      <c r="C88" s="16">
        <v>8725</v>
      </c>
      <c r="D88" s="16" t="s">
        <v>243</v>
      </c>
      <c r="E88" s="58">
        <f>_xlfn.IFNA(VLOOKUP(C:C,线上线下销售!B:D,3,0),0)</f>
        <v>4422.7003</v>
      </c>
      <c r="F88" s="18">
        <f>SUMIFS(线上订单!$E:$E,线上订单!$B:$B,美团日报!$C88,线上订单!$D:$D,"美团")</f>
        <v>1148.32589104486</v>
      </c>
      <c r="G88" s="59">
        <f t="shared" si="7"/>
        <v>0.259643614342319</v>
      </c>
      <c r="H88" s="18">
        <f>SUMIFS(线上订单!$F:$F,线上订单!$B:$B,美团日报!$C88,线上订单!$D:$D,"美团")</f>
        <v>25</v>
      </c>
      <c r="I88" s="18">
        <f>SUMIFS(线上订单!$F:$F,线上订单!$B:$B,美团日报!$C88,线上订单!$D:$D,"美团")</f>
        <v>25</v>
      </c>
      <c r="J88" s="18">
        <f t="shared" si="8"/>
        <v>45.9330356417944</v>
      </c>
      <c r="K88" s="18" t="e">
        <f t="shared" si="9"/>
        <v>#REF!</v>
      </c>
      <c r="L88" s="59" t="e">
        <f>SUMIFS(#REF!,#REF!,美团日报!$C88,#REF!,"美团")</f>
        <v>#REF!</v>
      </c>
      <c r="M88" s="18"/>
      <c r="N88" s="18"/>
      <c r="O88" s="18" t="e">
        <f t="shared" si="10"/>
        <v>#REF!</v>
      </c>
      <c r="P88" s="59" t="e">
        <f>SUMIFS(#REF!,#REF!,美团日报!$C88,#REF!,"美团")</f>
        <v>#REF!</v>
      </c>
      <c r="Q88" s="18"/>
      <c r="R88" s="18"/>
      <c r="S88" s="18" t="e">
        <f t="shared" si="11"/>
        <v>#REF!</v>
      </c>
      <c r="T88" s="59" t="e">
        <f>SUMIFS(#REF!,#REF!,美团日报!$C88,#REF!,"美团")</f>
        <v>#REF!</v>
      </c>
      <c r="U88" s="18" t="e">
        <f t="shared" si="12"/>
        <v>#REF!</v>
      </c>
      <c r="V88" s="59" t="e">
        <f>SUMIFS(#REF!,#REF!,美团日报!$C88,#REF!,"美团")</f>
        <v>#REF!</v>
      </c>
      <c r="W88" s="16" t="s">
        <v>13</v>
      </c>
    </row>
    <row r="89" ht="14.4" spans="1:23">
      <c r="A89" s="16" t="s">
        <v>63</v>
      </c>
      <c r="B89" s="16" t="s">
        <v>99</v>
      </c>
      <c r="C89" s="16">
        <v>8726</v>
      </c>
      <c r="D89" s="16" t="s">
        <v>245</v>
      </c>
      <c r="E89" s="58">
        <f>_xlfn.IFNA(VLOOKUP(C:C,线上线下销售!B:D,3,0),0)</f>
        <v>7684.8455</v>
      </c>
      <c r="F89" s="18">
        <f>SUMIFS(线上订单!$E:$E,线上订单!$B:$B,美团日报!$C89,线上订单!$D:$D,"美团")</f>
        <v>1149.62003734666</v>
      </c>
      <c r="G89" s="59">
        <f t="shared" si="7"/>
        <v>0.149595725424364</v>
      </c>
      <c r="H89" s="18">
        <f>SUMIFS(线上订单!$F:$F,线上订单!$B:$B,美团日报!$C89,线上订单!$D:$D,"美团")</f>
        <v>25</v>
      </c>
      <c r="I89" s="18">
        <f>SUMIFS(线上订单!$F:$F,线上订单!$B:$B,美团日报!$C89,线上订单!$D:$D,"美团")</f>
        <v>25</v>
      </c>
      <c r="J89" s="18">
        <f t="shared" si="8"/>
        <v>45.9848014938664</v>
      </c>
      <c r="K89" s="18" t="e">
        <f t="shared" si="9"/>
        <v>#REF!</v>
      </c>
      <c r="L89" s="59" t="e">
        <f>SUMIFS(#REF!,#REF!,美团日报!$C89,#REF!,"美团")</f>
        <v>#REF!</v>
      </c>
      <c r="M89" s="18"/>
      <c r="N89" s="18"/>
      <c r="O89" s="18" t="e">
        <f t="shared" si="10"/>
        <v>#REF!</v>
      </c>
      <c r="P89" s="59" t="e">
        <f>SUMIFS(#REF!,#REF!,美团日报!$C89,#REF!,"美团")</f>
        <v>#REF!</v>
      </c>
      <c r="Q89" s="18"/>
      <c r="R89" s="18"/>
      <c r="S89" s="18" t="e">
        <f t="shared" si="11"/>
        <v>#REF!</v>
      </c>
      <c r="T89" s="59" t="e">
        <f>SUMIFS(#REF!,#REF!,美团日报!$C89,#REF!,"美团")</f>
        <v>#REF!</v>
      </c>
      <c r="U89" s="18" t="e">
        <f t="shared" si="12"/>
        <v>#REF!</v>
      </c>
      <c r="V89" s="59" t="e">
        <f>SUMIFS(#REF!,#REF!,美团日报!$C89,#REF!,"美团")</f>
        <v>#REF!</v>
      </c>
      <c r="W89" s="16" t="s">
        <v>13</v>
      </c>
    </row>
    <row r="90" ht="14.4" spans="1:23">
      <c r="A90" s="16" t="s">
        <v>63</v>
      </c>
      <c r="B90" s="16" t="s">
        <v>168</v>
      </c>
      <c r="C90" s="16">
        <v>8716</v>
      </c>
      <c r="D90" s="16" t="s">
        <v>247</v>
      </c>
      <c r="E90" s="58">
        <f>_xlfn.IFNA(VLOOKUP(C:C,线上线下销售!B:D,3,0),0)</f>
        <v>16394.6485</v>
      </c>
      <c r="F90" s="18">
        <f>SUMIFS(线上订单!$E:$E,线上订单!$B:$B,美团日报!$C90,线上订单!$D:$D,"美团")</f>
        <v>3847.0672647559</v>
      </c>
      <c r="G90" s="59">
        <f t="shared" si="7"/>
        <v>0.234653842365446</v>
      </c>
      <c r="H90" s="18">
        <f>SUMIFS(线上订单!$F:$F,线上订单!$B:$B,美团日报!$C90,线上订单!$D:$D,"美团")</f>
        <v>86</v>
      </c>
      <c r="I90" s="18">
        <f>SUMIFS(线上订单!$F:$F,线上订单!$B:$B,美团日报!$C90,线上订单!$D:$D,"美团")</f>
        <v>86</v>
      </c>
      <c r="J90" s="18">
        <f t="shared" si="8"/>
        <v>44.7333402878593</v>
      </c>
      <c r="K90" s="18" t="e">
        <f t="shared" si="9"/>
        <v>#REF!</v>
      </c>
      <c r="L90" s="59" t="e">
        <f>SUMIFS(#REF!,#REF!,美团日报!$C90,#REF!,"美团")</f>
        <v>#REF!</v>
      </c>
      <c r="M90" s="18"/>
      <c r="N90" s="18"/>
      <c r="O90" s="18" t="e">
        <f t="shared" si="10"/>
        <v>#REF!</v>
      </c>
      <c r="P90" s="59" t="e">
        <f>SUMIFS(#REF!,#REF!,美团日报!$C90,#REF!,"美团")</f>
        <v>#REF!</v>
      </c>
      <c r="Q90" s="18"/>
      <c r="R90" s="18"/>
      <c r="S90" s="18" t="e">
        <f t="shared" si="11"/>
        <v>#REF!</v>
      </c>
      <c r="T90" s="59" t="e">
        <f>SUMIFS(#REF!,#REF!,美团日报!$C90,#REF!,"美团")</f>
        <v>#REF!</v>
      </c>
      <c r="U90" s="18" t="e">
        <f t="shared" si="12"/>
        <v>#REF!</v>
      </c>
      <c r="V90" s="59" t="e">
        <f>SUMIFS(#REF!,#REF!,美团日报!$C90,#REF!,"美团")</f>
        <v>#REF!</v>
      </c>
      <c r="W90" s="16" t="s">
        <v>13</v>
      </c>
    </row>
    <row r="91" ht="14.4" spans="1:23">
      <c r="A91" s="16" t="s">
        <v>56</v>
      </c>
      <c r="B91" s="16" t="s">
        <v>70</v>
      </c>
      <c r="C91" s="16">
        <v>8728</v>
      </c>
      <c r="D91" s="16" t="s">
        <v>249</v>
      </c>
      <c r="E91" s="58">
        <f>_xlfn.IFNA(VLOOKUP(C:C,线上线下销售!B:D,3,0),0)</f>
        <v>0</v>
      </c>
      <c r="F91" s="18">
        <f>SUMIFS(线上订单!$E:$E,线上订单!$B:$B,美团日报!$C91,线上订单!$D:$D,"美团")</f>
        <v>0</v>
      </c>
      <c r="G91" s="59">
        <f t="shared" si="7"/>
        <v>0</v>
      </c>
      <c r="H91" s="18">
        <f>SUMIFS(线上订单!$F:$F,线上订单!$B:$B,美团日报!$C91,线上订单!$D:$D,"美团")</f>
        <v>0</v>
      </c>
      <c r="I91" s="18">
        <f>SUMIFS(线上订单!$F:$F,线上订单!$B:$B,美团日报!$C91,线上订单!$D:$D,"美团")</f>
        <v>0</v>
      </c>
      <c r="J91" s="18">
        <f t="shared" si="8"/>
        <v>0</v>
      </c>
      <c r="K91" s="18" t="e">
        <f t="shared" si="9"/>
        <v>#REF!</v>
      </c>
      <c r="L91" s="59" t="e">
        <f>SUMIFS(#REF!,#REF!,美团日报!$C91,#REF!,"美团")</f>
        <v>#REF!</v>
      </c>
      <c r="M91" s="18"/>
      <c r="N91" s="18"/>
      <c r="O91" s="18" t="e">
        <f t="shared" si="10"/>
        <v>#REF!</v>
      </c>
      <c r="P91" s="59" t="e">
        <f>SUMIFS(#REF!,#REF!,美团日报!$C91,#REF!,"美团")</f>
        <v>#REF!</v>
      </c>
      <c r="Q91" s="18"/>
      <c r="R91" s="18"/>
      <c r="S91" s="18" t="e">
        <f t="shared" si="11"/>
        <v>#REF!</v>
      </c>
      <c r="T91" s="59" t="e">
        <f>SUMIFS(#REF!,#REF!,美团日报!$C91,#REF!,"美团")</f>
        <v>#REF!</v>
      </c>
      <c r="U91" s="18" t="e">
        <f t="shared" si="12"/>
        <v>#REF!</v>
      </c>
      <c r="V91" s="59" t="e">
        <f>SUMIFS(#REF!,#REF!,美团日报!$C91,#REF!,"美团")</f>
        <v>#REF!</v>
      </c>
      <c r="W91" s="16" t="s">
        <v>13</v>
      </c>
    </row>
    <row r="92" ht="14.4" spans="1:23">
      <c r="A92" s="16" t="s">
        <v>48</v>
      </c>
      <c r="B92" s="16" t="s">
        <v>111</v>
      </c>
      <c r="C92" s="16">
        <v>8724</v>
      </c>
      <c r="D92" s="16" t="s">
        <v>251</v>
      </c>
      <c r="E92" s="58">
        <f>_xlfn.IFNA(VLOOKUP(C:C,线上线下销售!B:D,3,0),0)</f>
        <v>8032.605</v>
      </c>
      <c r="F92" s="18">
        <f>SUMIFS(线上订单!$E:$E,线上订单!$B:$B,美团日报!$C92,线上订单!$D:$D,"美团")</f>
        <v>201.65056426074</v>
      </c>
      <c r="G92" s="59">
        <f t="shared" si="7"/>
        <v>0.0251040060180651</v>
      </c>
      <c r="H92" s="18">
        <f>SUMIFS(线上订单!$F:$F,线上订单!$B:$B,美团日报!$C92,线上订单!$D:$D,"美团")</f>
        <v>4</v>
      </c>
      <c r="I92" s="18">
        <f>SUMIFS(线上订单!$F:$F,线上订单!$B:$B,美团日报!$C92,线上订单!$D:$D,"美团")</f>
        <v>4</v>
      </c>
      <c r="J92" s="18">
        <f t="shared" si="8"/>
        <v>50.412641065185</v>
      </c>
      <c r="K92" s="18" t="e">
        <f t="shared" si="9"/>
        <v>#REF!</v>
      </c>
      <c r="L92" s="59" t="e">
        <f>SUMIFS(#REF!,#REF!,美团日报!$C92,#REF!,"美团")</f>
        <v>#REF!</v>
      </c>
      <c r="M92" s="18"/>
      <c r="N92" s="18"/>
      <c r="O92" s="18" t="e">
        <f t="shared" si="10"/>
        <v>#REF!</v>
      </c>
      <c r="P92" s="59" t="e">
        <f>SUMIFS(#REF!,#REF!,美团日报!$C92,#REF!,"美团")</f>
        <v>#REF!</v>
      </c>
      <c r="Q92" s="18"/>
      <c r="R92" s="18"/>
      <c r="S92" s="18" t="e">
        <f t="shared" si="11"/>
        <v>#REF!</v>
      </c>
      <c r="T92" s="59" t="e">
        <f>SUMIFS(#REF!,#REF!,美团日报!$C92,#REF!,"美团")</f>
        <v>#REF!</v>
      </c>
      <c r="U92" s="18" t="e">
        <f t="shared" si="12"/>
        <v>#REF!</v>
      </c>
      <c r="V92" s="59" t="e">
        <f>SUMIFS(#REF!,#REF!,美团日报!$C92,#REF!,"美团")</f>
        <v>#REF!</v>
      </c>
      <c r="W92" s="16" t="s">
        <v>13</v>
      </c>
    </row>
    <row r="93" ht="14.4" spans="1:23">
      <c r="A93" s="16" t="s">
        <v>43</v>
      </c>
      <c r="B93" s="16" t="s">
        <v>161</v>
      </c>
      <c r="C93" s="16">
        <v>8729</v>
      </c>
      <c r="D93" s="16" t="s">
        <v>253</v>
      </c>
      <c r="E93" s="58">
        <f>_xlfn.IFNA(VLOOKUP(C:C,线上线下销售!B:D,3,0),0)</f>
        <v>8116.9096</v>
      </c>
      <c r="F93" s="18">
        <f>SUMIFS(线上订单!$E:$E,线上订单!$B:$B,美团日报!$C93,线上订单!$D:$D,"美团")</f>
        <v>1414.64350085234</v>
      </c>
      <c r="G93" s="59">
        <f t="shared" si="7"/>
        <v>0.174283510666712</v>
      </c>
      <c r="H93" s="18">
        <f>SUMIFS(线上订单!$F:$F,线上订单!$B:$B,美团日报!$C93,线上订单!$D:$D,"美团")</f>
        <v>39</v>
      </c>
      <c r="I93" s="18">
        <f>SUMIFS(线上订单!$F:$F,线上订单!$B:$B,美团日报!$C93,线上订单!$D:$D,"美团")</f>
        <v>39</v>
      </c>
      <c r="J93" s="18">
        <f t="shared" si="8"/>
        <v>36.2729102782651</v>
      </c>
      <c r="K93" s="18" t="e">
        <f t="shared" si="9"/>
        <v>#REF!</v>
      </c>
      <c r="L93" s="59" t="e">
        <f>SUMIFS(#REF!,#REF!,美团日报!$C93,#REF!,"美团")</f>
        <v>#REF!</v>
      </c>
      <c r="M93" s="18"/>
      <c r="N93" s="18"/>
      <c r="O93" s="18" t="e">
        <f t="shared" si="10"/>
        <v>#REF!</v>
      </c>
      <c r="P93" s="59" t="e">
        <f>SUMIFS(#REF!,#REF!,美团日报!$C93,#REF!,"美团")</f>
        <v>#REF!</v>
      </c>
      <c r="Q93" s="18"/>
      <c r="R93" s="18"/>
      <c r="S93" s="18" t="e">
        <f t="shared" si="11"/>
        <v>#REF!</v>
      </c>
      <c r="T93" s="59" t="e">
        <f>SUMIFS(#REF!,#REF!,美团日报!$C93,#REF!,"美团")</f>
        <v>#REF!</v>
      </c>
      <c r="U93" s="18" t="e">
        <f t="shared" si="12"/>
        <v>#REF!</v>
      </c>
      <c r="V93" s="59" t="e">
        <f>SUMIFS(#REF!,#REF!,美团日报!$C93,#REF!,"美团")</f>
        <v>#REF!</v>
      </c>
      <c r="W93" s="16" t="s">
        <v>13</v>
      </c>
    </row>
    <row r="94" ht="14.4" spans="1:23">
      <c r="A94" s="16" t="s">
        <v>43</v>
      </c>
      <c r="B94" s="16" t="s">
        <v>575</v>
      </c>
      <c r="C94" s="16">
        <v>8727</v>
      </c>
      <c r="D94" s="16" t="s">
        <v>255</v>
      </c>
      <c r="E94" s="58">
        <f>_xlfn.IFNA(VLOOKUP(C:C,线上线下销售!B:D,3,0),0)</f>
        <v>0</v>
      </c>
      <c r="F94" s="18">
        <f>SUMIFS(线上订单!$E:$E,线上订单!$B:$B,美团日报!$C94,线上订单!$D:$D,"美团")</f>
        <v>0</v>
      </c>
      <c r="G94" s="59">
        <f t="shared" si="7"/>
        <v>0</v>
      </c>
      <c r="H94" s="18">
        <f>SUMIFS(线上订单!$F:$F,线上订单!$B:$B,美团日报!$C94,线上订单!$D:$D,"美团")</f>
        <v>0</v>
      </c>
      <c r="I94" s="18">
        <f>SUMIFS(线上订单!$F:$F,线上订单!$B:$B,美团日报!$C94,线上订单!$D:$D,"美团")</f>
        <v>0</v>
      </c>
      <c r="J94" s="18">
        <f t="shared" si="8"/>
        <v>0</v>
      </c>
      <c r="K94" s="18" t="e">
        <f t="shared" si="9"/>
        <v>#REF!</v>
      </c>
      <c r="L94" s="59" t="e">
        <f>SUMIFS(#REF!,#REF!,美团日报!$C94,#REF!,"美团")</f>
        <v>#REF!</v>
      </c>
      <c r="M94" s="18"/>
      <c r="N94" s="18"/>
      <c r="O94" s="18" t="e">
        <f t="shared" si="10"/>
        <v>#REF!</v>
      </c>
      <c r="P94" s="59" t="e">
        <f>SUMIFS(#REF!,#REF!,美团日报!$C94,#REF!,"美团")</f>
        <v>#REF!</v>
      </c>
      <c r="Q94" s="18"/>
      <c r="R94" s="18"/>
      <c r="S94" s="18" t="e">
        <f t="shared" si="11"/>
        <v>#REF!</v>
      </c>
      <c r="T94" s="59" t="e">
        <f>SUMIFS(#REF!,#REF!,美团日报!$C94,#REF!,"美团")</f>
        <v>#REF!</v>
      </c>
      <c r="U94" s="18" t="e">
        <f t="shared" si="12"/>
        <v>#REF!</v>
      </c>
      <c r="V94" s="59" t="e">
        <f>SUMIFS(#REF!,#REF!,美团日报!$C94,#REF!,"美团")</f>
        <v>#REF!</v>
      </c>
      <c r="W94" s="16" t="s">
        <v>13</v>
      </c>
    </row>
    <row r="95" ht="14.4" spans="1:23">
      <c r="A95" s="16" t="s">
        <v>48</v>
      </c>
      <c r="B95" s="16" t="s">
        <v>89</v>
      </c>
      <c r="C95" s="16">
        <v>8722</v>
      </c>
      <c r="D95" s="16" t="s">
        <v>257</v>
      </c>
      <c r="E95" s="58">
        <f>_xlfn.IFNA(VLOOKUP(C:C,线上线下销售!B:D,3,0),0)</f>
        <v>10388.1367</v>
      </c>
      <c r="F95" s="18">
        <f>SUMIFS(线上订单!$E:$E,线上订单!$B:$B,美团日报!$C95,线上订单!$D:$D,"美团")</f>
        <v>36.10619469026</v>
      </c>
      <c r="G95" s="59">
        <f t="shared" si="7"/>
        <v>0.00347571424336955</v>
      </c>
      <c r="H95" s="18">
        <f>SUMIFS(线上订单!$F:$F,线上订单!$B:$B,美团日报!$C95,线上订单!$D:$D,"美团")</f>
        <v>1</v>
      </c>
      <c r="I95" s="18">
        <f>SUMIFS(线上订单!$F:$F,线上订单!$B:$B,美团日报!$C95,线上订单!$D:$D,"美团")</f>
        <v>1</v>
      </c>
      <c r="J95" s="18">
        <f t="shared" si="8"/>
        <v>36.10619469026</v>
      </c>
      <c r="K95" s="18" t="e">
        <f t="shared" si="9"/>
        <v>#REF!</v>
      </c>
      <c r="L95" s="59" t="e">
        <f>SUMIFS(#REF!,#REF!,美团日报!$C95,#REF!,"美团")</f>
        <v>#REF!</v>
      </c>
      <c r="M95" s="18"/>
      <c r="N95" s="18"/>
      <c r="O95" s="18" t="e">
        <f t="shared" si="10"/>
        <v>#REF!</v>
      </c>
      <c r="P95" s="59" t="e">
        <f>SUMIFS(#REF!,#REF!,美团日报!$C95,#REF!,"美团")</f>
        <v>#REF!</v>
      </c>
      <c r="Q95" s="18"/>
      <c r="R95" s="18"/>
      <c r="S95" s="18" t="e">
        <f t="shared" si="11"/>
        <v>#REF!</v>
      </c>
      <c r="T95" s="59" t="e">
        <f>SUMIFS(#REF!,#REF!,美团日报!$C95,#REF!,"美团")</f>
        <v>#REF!</v>
      </c>
      <c r="U95" s="18" t="e">
        <f t="shared" si="12"/>
        <v>#REF!</v>
      </c>
      <c r="V95" s="59" t="e">
        <f>SUMIFS(#REF!,#REF!,美团日报!$C95,#REF!,"美团")</f>
        <v>#REF!</v>
      </c>
      <c r="W95" s="16" t="s">
        <v>13</v>
      </c>
    </row>
    <row r="96" ht="14.4" spans="1:23">
      <c r="A96" s="16" t="s">
        <v>43</v>
      </c>
      <c r="B96" s="16" t="s">
        <v>161</v>
      </c>
      <c r="C96" s="16">
        <v>8715</v>
      </c>
      <c r="D96" s="16" t="s">
        <v>259</v>
      </c>
      <c r="E96" s="58">
        <f>_xlfn.IFNA(VLOOKUP(C:C,线上线下销售!B:D,3,0),0)</f>
        <v>11398.6807</v>
      </c>
      <c r="F96" s="18">
        <f>SUMIFS(线上订单!$E:$E,线上订单!$B:$B,美团日报!$C96,线上订单!$D:$D,"美团")</f>
        <v>1993.8369732889</v>
      </c>
      <c r="G96" s="59">
        <f t="shared" si="7"/>
        <v>0.174918223061455</v>
      </c>
      <c r="H96" s="18">
        <f>SUMIFS(线上订单!$F:$F,线上订单!$B:$B,美团日报!$C96,线上订单!$D:$D,"美团")</f>
        <v>51</v>
      </c>
      <c r="I96" s="18">
        <f>SUMIFS(线上订单!$F:$F,线上订单!$B:$B,美团日报!$C96,线上订单!$D:$D,"美团")</f>
        <v>51</v>
      </c>
      <c r="J96" s="18">
        <f t="shared" si="8"/>
        <v>39.0948426135078</v>
      </c>
      <c r="K96" s="18" t="e">
        <f t="shared" si="9"/>
        <v>#REF!</v>
      </c>
      <c r="L96" s="59" t="e">
        <f>SUMIFS(#REF!,#REF!,美团日报!$C96,#REF!,"美团")</f>
        <v>#REF!</v>
      </c>
      <c r="M96" s="18"/>
      <c r="N96" s="18"/>
      <c r="O96" s="18" t="e">
        <f t="shared" si="10"/>
        <v>#REF!</v>
      </c>
      <c r="P96" s="59" t="e">
        <f>SUMIFS(#REF!,#REF!,美团日报!$C96,#REF!,"美团")</f>
        <v>#REF!</v>
      </c>
      <c r="Q96" s="18"/>
      <c r="R96" s="18"/>
      <c r="S96" s="18" t="e">
        <f t="shared" si="11"/>
        <v>#REF!</v>
      </c>
      <c r="T96" s="59" t="e">
        <f>SUMIFS(#REF!,#REF!,美团日报!$C96,#REF!,"美团")</f>
        <v>#REF!</v>
      </c>
      <c r="U96" s="18" t="e">
        <f t="shared" si="12"/>
        <v>#REF!</v>
      </c>
      <c r="V96" s="59" t="e">
        <f>SUMIFS(#REF!,#REF!,美团日报!$C96,#REF!,"美团")</f>
        <v>#REF!</v>
      </c>
      <c r="W96" s="16" t="s">
        <v>13</v>
      </c>
    </row>
    <row r="97" ht="14.4" spans="1:23">
      <c r="A97" s="16" t="s">
        <v>264</v>
      </c>
      <c r="B97" s="16" t="s">
        <v>350</v>
      </c>
      <c r="C97" s="16">
        <v>8720</v>
      </c>
      <c r="D97" s="16" t="s">
        <v>262</v>
      </c>
      <c r="E97" s="58">
        <f>_xlfn.IFNA(VLOOKUP(C:C,线上线下销售!B:D,3,0),0)</f>
        <v>9138.2401</v>
      </c>
      <c r="F97" s="18">
        <f>SUMIFS(线上订单!$E:$E,线上订单!$B:$B,美团日报!$C97,线上订单!$D:$D,"美团")</f>
        <v>2452.194365511</v>
      </c>
      <c r="G97" s="59">
        <f t="shared" si="7"/>
        <v>0.268344269648923</v>
      </c>
      <c r="H97" s="18">
        <f>SUMIFS(线上订单!$F:$F,线上订单!$B:$B,美团日报!$C97,线上订单!$D:$D,"美团")</f>
        <v>63</v>
      </c>
      <c r="I97" s="18">
        <f>SUMIFS(线上订单!$F:$F,线上订单!$B:$B,美团日报!$C97,线上订单!$D:$D,"美团")</f>
        <v>63</v>
      </c>
      <c r="J97" s="18">
        <f t="shared" si="8"/>
        <v>38.9237200874762</v>
      </c>
      <c r="K97" s="18" t="e">
        <f t="shared" si="9"/>
        <v>#REF!</v>
      </c>
      <c r="L97" s="59" t="e">
        <f>SUMIFS(#REF!,#REF!,美团日报!$C97,#REF!,"美团")</f>
        <v>#REF!</v>
      </c>
      <c r="M97" s="18"/>
      <c r="N97" s="18"/>
      <c r="O97" s="18" t="e">
        <f t="shared" si="10"/>
        <v>#REF!</v>
      </c>
      <c r="P97" s="59" t="e">
        <f>SUMIFS(#REF!,#REF!,美团日报!$C97,#REF!,"美团")</f>
        <v>#REF!</v>
      </c>
      <c r="Q97" s="18"/>
      <c r="R97" s="18"/>
      <c r="S97" s="18" t="e">
        <f t="shared" si="11"/>
        <v>#REF!</v>
      </c>
      <c r="T97" s="59" t="e">
        <f>SUMIFS(#REF!,#REF!,美团日报!$C97,#REF!,"美团")</f>
        <v>#REF!</v>
      </c>
      <c r="U97" s="18" t="e">
        <f t="shared" si="12"/>
        <v>#REF!</v>
      </c>
      <c r="V97" s="59" t="e">
        <f>SUMIFS(#REF!,#REF!,美团日报!$C97,#REF!,"美团")</f>
        <v>#REF!</v>
      </c>
      <c r="W97" s="16" t="s">
        <v>13</v>
      </c>
    </row>
    <row r="98" ht="14.4" spans="1:23">
      <c r="A98" s="16" t="s">
        <v>48</v>
      </c>
      <c r="B98" s="16" t="s">
        <v>89</v>
      </c>
      <c r="C98" s="16">
        <v>8717</v>
      </c>
      <c r="D98" s="16" t="s">
        <v>265</v>
      </c>
      <c r="E98" s="58">
        <f>_xlfn.IFNA(VLOOKUP(C:C,线上线下销售!B:D,3,0),0)</f>
        <v>8215.2866</v>
      </c>
      <c r="F98" s="18">
        <f>SUMIFS(线上订单!$E:$E,线上订单!$B:$B,美团日报!$C98,线上订单!$D:$D,"美团")</f>
        <v>510.69903385562</v>
      </c>
      <c r="G98" s="59">
        <f t="shared" si="7"/>
        <v>0.0621644817425627</v>
      </c>
      <c r="H98" s="18">
        <f>SUMIFS(线上订单!$F:$F,线上订单!$B:$B,美团日报!$C98,线上订单!$D:$D,"美团")</f>
        <v>13</v>
      </c>
      <c r="I98" s="18">
        <f>SUMIFS(线上订单!$F:$F,线上订单!$B:$B,美团日报!$C98,线上订单!$D:$D,"美团")</f>
        <v>13</v>
      </c>
      <c r="J98" s="18">
        <f t="shared" si="8"/>
        <v>39.2845410658169</v>
      </c>
      <c r="K98" s="18" t="e">
        <f t="shared" si="9"/>
        <v>#REF!</v>
      </c>
      <c r="L98" s="59" t="e">
        <f>SUMIFS(#REF!,#REF!,美团日报!$C98,#REF!,"美团")</f>
        <v>#REF!</v>
      </c>
      <c r="M98" s="18"/>
      <c r="N98" s="18"/>
      <c r="O98" s="18" t="e">
        <f t="shared" si="10"/>
        <v>#REF!</v>
      </c>
      <c r="P98" s="59" t="e">
        <f>SUMIFS(#REF!,#REF!,美团日报!$C98,#REF!,"美团")</f>
        <v>#REF!</v>
      </c>
      <c r="Q98" s="18"/>
      <c r="R98" s="18"/>
      <c r="S98" s="18" t="e">
        <f t="shared" si="11"/>
        <v>#REF!</v>
      </c>
      <c r="T98" s="59" t="e">
        <f>SUMIFS(#REF!,#REF!,美团日报!$C98,#REF!,"美团")</f>
        <v>#REF!</v>
      </c>
      <c r="U98" s="18" t="e">
        <f t="shared" si="12"/>
        <v>#REF!</v>
      </c>
      <c r="V98" s="59" t="e">
        <f>SUMIFS(#REF!,#REF!,美团日报!$C98,#REF!,"美团")</f>
        <v>#REF!</v>
      </c>
      <c r="W98" s="16" t="s">
        <v>13</v>
      </c>
    </row>
    <row r="99" ht="14.4" spans="1:23">
      <c r="A99" s="16" t="s">
        <v>43</v>
      </c>
      <c r="B99" s="16" t="s">
        <v>131</v>
      </c>
      <c r="C99" s="16">
        <v>8730</v>
      </c>
      <c r="D99" s="16" t="s">
        <v>267</v>
      </c>
      <c r="E99" s="58">
        <f>_xlfn.IFNA(VLOOKUP(C:C,线上线下销售!B:D,3,0),0)</f>
        <v>12851.1993</v>
      </c>
      <c r="F99" s="18">
        <f>SUMIFS(线上订单!$E:$E,线上订单!$B:$B,美团日报!$C99,线上订单!$D:$D,"美团")</f>
        <v>154.31030283349</v>
      </c>
      <c r="G99" s="59">
        <f t="shared" si="7"/>
        <v>0.0120074632126739</v>
      </c>
      <c r="H99" s="18">
        <f>SUMIFS(线上订单!$F:$F,线上订单!$B:$B,美团日报!$C99,线上订单!$D:$D,"美团")</f>
        <v>4</v>
      </c>
      <c r="I99" s="18">
        <f>SUMIFS(线上订单!$F:$F,线上订单!$B:$B,美团日报!$C99,线上订单!$D:$D,"美团")</f>
        <v>4</v>
      </c>
      <c r="J99" s="18">
        <f t="shared" si="8"/>
        <v>38.5775757083725</v>
      </c>
      <c r="K99" s="18" t="e">
        <f t="shared" si="9"/>
        <v>#REF!</v>
      </c>
      <c r="L99" s="59" t="e">
        <f>SUMIFS(#REF!,#REF!,美团日报!$C99,#REF!,"美团")</f>
        <v>#REF!</v>
      </c>
      <c r="M99" s="18"/>
      <c r="N99" s="18"/>
      <c r="O99" s="18" t="e">
        <f t="shared" si="10"/>
        <v>#REF!</v>
      </c>
      <c r="P99" s="59" t="e">
        <f>SUMIFS(#REF!,#REF!,美团日报!$C99,#REF!,"美团")</f>
        <v>#REF!</v>
      </c>
      <c r="Q99" s="18"/>
      <c r="R99" s="18"/>
      <c r="S99" s="18" t="e">
        <f t="shared" si="11"/>
        <v>#REF!</v>
      </c>
      <c r="T99" s="59" t="e">
        <f>SUMIFS(#REF!,#REF!,美团日报!$C99,#REF!,"美团")</f>
        <v>#REF!</v>
      </c>
      <c r="U99" s="18" t="e">
        <f t="shared" si="12"/>
        <v>#REF!</v>
      </c>
      <c r="V99" s="59" t="e">
        <f>SUMIFS(#REF!,#REF!,美团日报!$C99,#REF!,"美团")</f>
        <v>#REF!</v>
      </c>
      <c r="W99" s="16" t="s">
        <v>13</v>
      </c>
    </row>
    <row r="100" ht="14.4" spans="1:23">
      <c r="A100" s="16" t="s">
        <v>43</v>
      </c>
      <c r="B100" s="16" t="s">
        <v>301</v>
      </c>
      <c r="C100" s="16">
        <v>8698</v>
      </c>
      <c r="D100" s="16" t="s">
        <v>269</v>
      </c>
      <c r="E100" s="58">
        <f>_xlfn.IFNA(VLOOKUP(C:C,线上线下销售!B:D,3,0),0)</f>
        <v>9708.2172</v>
      </c>
      <c r="F100" s="18">
        <f>SUMIFS(线上订单!$E:$E,线上订单!$B:$B,美团日报!$C100,线上订单!$D:$D,"美团")</f>
        <v>284.15929203537</v>
      </c>
      <c r="G100" s="59">
        <f t="shared" si="7"/>
        <v>0.029269976781666</v>
      </c>
      <c r="H100" s="18">
        <f>SUMIFS(线上订单!$F:$F,线上订单!$B:$B,美团日报!$C100,线上订单!$D:$D,"美团")</f>
        <v>8</v>
      </c>
      <c r="I100" s="18">
        <f>SUMIFS(线上订单!$F:$F,线上订单!$B:$B,美团日报!$C100,线上订单!$D:$D,"美团")</f>
        <v>8</v>
      </c>
      <c r="J100" s="18">
        <f t="shared" si="8"/>
        <v>35.5199115044213</v>
      </c>
      <c r="K100" s="18" t="e">
        <f t="shared" si="9"/>
        <v>#REF!</v>
      </c>
      <c r="L100" s="59" t="e">
        <f>SUMIFS(#REF!,#REF!,美团日报!$C100,#REF!,"美团")</f>
        <v>#REF!</v>
      </c>
      <c r="M100" s="18"/>
      <c r="N100" s="18"/>
      <c r="O100" s="18" t="e">
        <f t="shared" si="10"/>
        <v>#REF!</v>
      </c>
      <c r="P100" s="59" t="e">
        <f>SUMIFS(#REF!,#REF!,美团日报!$C100,#REF!,"美团")</f>
        <v>#REF!</v>
      </c>
      <c r="Q100" s="18"/>
      <c r="R100" s="18"/>
      <c r="S100" s="18" t="e">
        <f t="shared" si="11"/>
        <v>#REF!</v>
      </c>
      <c r="T100" s="59" t="e">
        <f>SUMIFS(#REF!,#REF!,美团日报!$C100,#REF!,"美团")</f>
        <v>#REF!</v>
      </c>
      <c r="U100" s="18" t="e">
        <f t="shared" si="12"/>
        <v>#REF!</v>
      </c>
      <c r="V100" s="59" t="e">
        <f>SUMIFS(#REF!,#REF!,美团日报!$C100,#REF!,"美团")</f>
        <v>#REF!</v>
      </c>
      <c r="W100" s="16" t="s">
        <v>13</v>
      </c>
    </row>
    <row r="101" ht="14.4" spans="1:23">
      <c r="A101" s="16" t="s">
        <v>43</v>
      </c>
      <c r="B101" s="16" t="s">
        <v>575</v>
      </c>
      <c r="C101" s="16">
        <v>8731</v>
      </c>
      <c r="D101" s="16" t="s">
        <v>271</v>
      </c>
      <c r="E101" s="58">
        <f>_xlfn.IFNA(VLOOKUP(C:C,线上线下销售!B:D,3,0),0)</f>
        <v>7623.9562</v>
      </c>
      <c r="F101" s="18">
        <f>SUMIFS(线上订单!$E:$E,线上订单!$B:$B,美团日报!$C101,线上订单!$D:$D,"美团")</f>
        <v>967.25257773797</v>
      </c>
      <c r="G101" s="59">
        <f t="shared" si="7"/>
        <v>0.126870164565999</v>
      </c>
      <c r="H101" s="18">
        <f>SUMIFS(线上订单!$F:$F,线上订单!$B:$B,美团日报!$C101,线上订单!$D:$D,"美团")</f>
        <v>19</v>
      </c>
      <c r="I101" s="18">
        <f>SUMIFS(线上订单!$F:$F,线上订单!$B:$B,美团日报!$C101,线上订单!$D:$D,"美团")</f>
        <v>19</v>
      </c>
      <c r="J101" s="18">
        <f t="shared" si="8"/>
        <v>50.9080304072616</v>
      </c>
      <c r="K101" s="18" t="e">
        <f t="shared" si="9"/>
        <v>#REF!</v>
      </c>
      <c r="L101" s="59" t="e">
        <f>SUMIFS(#REF!,#REF!,美团日报!$C101,#REF!,"美团")</f>
        <v>#REF!</v>
      </c>
      <c r="M101" s="18"/>
      <c r="N101" s="18"/>
      <c r="O101" s="18" t="e">
        <f t="shared" si="10"/>
        <v>#REF!</v>
      </c>
      <c r="P101" s="59" t="e">
        <f>SUMIFS(#REF!,#REF!,美团日报!$C101,#REF!,"美团")</f>
        <v>#REF!</v>
      </c>
      <c r="Q101" s="18"/>
      <c r="R101" s="18"/>
      <c r="S101" s="18" t="e">
        <f t="shared" si="11"/>
        <v>#REF!</v>
      </c>
      <c r="T101" s="59" t="e">
        <f>SUMIFS(#REF!,#REF!,美团日报!$C101,#REF!,"美团")</f>
        <v>#REF!</v>
      </c>
      <c r="U101" s="18" t="e">
        <f t="shared" si="12"/>
        <v>#REF!</v>
      </c>
      <c r="V101" s="59" t="e">
        <f>SUMIFS(#REF!,#REF!,美团日报!$C101,#REF!,"美团")</f>
        <v>#REF!</v>
      </c>
      <c r="W101" s="16" t="s">
        <v>13</v>
      </c>
    </row>
    <row r="102" ht="14.4" spans="1:23">
      <c r="A102" s="16" t="s">
        <v>63</v>
      </c>
      <c r="B102" s="16" t="s">
        <v>574</v>
      </c>
      <c r="C102" s="16">
        <v>8737</v>
      </c>
      <c r="D102" s="16" t="s">
        <v>273</v>
      </c>
      <c r="E102" s="58">
        <f>_xlfn.IFNA(VLOOKUP(C:C,线上线下销售!B:D,3,0),0)</f>
        <v>12861.4771</v>
      </c>
      <c r="F102" s="18">
        <f>SUMIFS(线上订单!$E:$E,线上订单!$B:$B,美团日报!$C102,线上订单!$D:$D,"美团")</f>
        <v>78.25931639196</v>
      </c>
      <c r="G102" s="59">
        <f t="shared" si="7"/>
        <v>0.00608478449119658</v>
      </c>
      <c r="H102" s="18">
        <f>SUMIFS(线上订单!$F:$F,线上订单!$B:$B,美团日报!$C102,线上订单!$D:$D,"美团")</f>
        <v>2</v>
      </c>
      <c r="I102" s="18">
        <f>SUMIFS(线上订单!$F:$F,线上订单!$B:$B,美团日报!$C102,线上订单!$D:$D,"美团")</f>
        <v>2</v>
      </c>
      <c r="J102" s="18">
        <f t="shared" si="8"/>
        <v>39.12965819598</v>
      </c>
      <c r="K102" s="18" t="e">
        <f t="shared" si="9"/>
        <v>#REF!</v>
      </c>
      <c r="L102" s="59" t="e">
        <f>SUMIFS(#REF!,#REF!,美团日报!$C102,#REF!,"美团")</f>
        <v>#REF!</v>
      </c>
      <c r="M102" s="18"/>
      <c r="N102" s="18"/>
      <c r="O102" s="18" t="e">
        <f t="shared" si="10"/>
        <v>#REF!</v>
      </c>
      <c r="P102" s="59" t="e">
        <f>SUMIFS(#REF!,#REF!,美团日报!$C102,#REF!,"美团")</f>
        <v>#REF!</v>
      </c>
      <c r="Q102" s="18"/>
      <c r="R102" s="18"/>
      <c r="S102" s="18" t="e">
        <f t="shared" si="11"/>
        <v>#REF!</v>
      </c>
      <c r="T102" s="59" t="e">
        <f>SUMIFS(#REF!,#REF!,美团日报!$C102,#REF!,"美团")</f>
        <v>#REF!</v>
      </c>
      <c r="U102" s="18" t="e">
        <f t="shared" si="12"/>
        <v>#REF!</v>
      </c>
      <c r="V102" s="59" t="e">
        <f>SUMIFS(#REF!,#REF!,美团日报!$C102,#REF!,"美团")</f>
        <v>#REF!</v>
      </c>
      <c r="W102" s="16" t="s">
        <v>13</v>
      </c>
    </row>
    <row r="103" ht="14.4" spans="1:23">
      <c r="A103" s="16" t="s">
        <v>48</v>
      </c>
      <c r="B103" s="16" t="s">
        <v>64</v>
      </c>
      <c r="C103" s="16">
        <v>8735</v>
      </c>
      <c r="D103" s="16" t="s">
        <v>275</v>
      </c>
      <c r="E103" s="58">
        <f>_xlfn.IFNA(VLOOKUP(C:C,线上线下销售!B:D,3,0),0)</f>
        <v>5171.4056</v>
      </c>
      <c r="F103" s="18">
        <f>SUMIFS(线上订单!$E:$E,线上订单!$B:$B,美团日报!$C103,线上订单!$D:$D,"美团")</f>
        <v>165.84070796458</v>
      </c>
      <c r="G103" s="59">
        <f t="shared" si="7"/>
        <v>0.0320687876357213</v>
      </c>
      <c r="H103" s="18">
        <f>SUMIFS(线上订单!$F:$F,线上订单!$B:$B,美团日报!$C103,线上订单!$D:$D,"美团")</f>
        <v>4</v>
      </c>
      <c r="I103" s="18">
        <f>SUMIFS(线上订单!$F:$F,线上订单!$B:$B,美团日报!$C103,线上订单!$D:$D,"美团")</f>
        <v>4</v>
      </c>
      <c r="J103" s="18">
        <f t="shared" si="8"/>
        <v>41.460176991145</v>
      </c>
      <c r="K103" s="18" t="e">
        <f t="shared" si="9"/>
        <v>#REF!</v>
      </c>
      <c r="L103" s="59" t="e">
        <f>SUMIFS(#REF!,#REF!,美团日报!$C103,#REF!,"美团")</f>
        <v>#REF!</v>
      </c>
      <c r="M103" s="18"/>
      <c r="N103" s="18"/>
      <c r="O103" s="18" t="e">
        <f t="shared" si="10"/>
        <v>#REF!</v>
      </c>
      <c r="P103" s="59" t="e">
        <f>SUMIFS(#REF!,#REF!,美团日报!$C103,#REF!,"美团")</f>
        <v>#REF!</v>
      </c>
      <c r="Q103" s="18"/>
      <c r="R103" s="18"/>
      <c r="S103" s="18" t="e">
        <f t="shared" si="11"/>
        <v>#REF!</v>
      </c>
      <c r="T103" s="59" t="e">
        <f>SUMIFS(#REF!,#REF!,美团日报!$C103,#REF!,"美团")</f>
        <v>#REF!</v>
      </c>
      <c r="U103" s="18" t="e">
        <f t="shared" si="12"/>
        <v>#REF!</v>
      </c>
      <c r="V103" s="59" t="e">
        <f>SUMIFS(#REF!,#REF!,美团日报!$C103,#REF!,"美团")</f>
        <v>#REF!</v>
      </c>
      <c r="W103" s="16" t="s">
        <v>13</v>
      </c>
    </row>
    <row r="104" ht="14.4" spans="1:23">
      <c r="A104" s="16" t="s">
        <v>48</v>
      </c>
      <c r="B104" s="16" t="s">
        <v>49</v>
      </c>
      <c r="C104" s="16">
        <v>8705</v>
      </c>
      <c r="D104" s="16" t="s">
        <v>277</v>
      </c>
      <c r="E104" s="58">
        <f>_xlfn.IFNA(VLOOKUP(C:C,线上线下销售!B:D,3,0),0)</f>
        <v>11492.1719</v>
      </c>
      <c r="F104" s="18">
        <f>SUMIFS(线上订单!$E:$E,线上订单!$B:$B,美团日报!$C104,线上订单!$D:$D,"美团")</f>
        <v>367.72753105455</v>
      </c>
      <c r="G104" s="59">
        <f t="shared" si="7"/>
        <v>0.0319980882860402</v>
      </c>
      <c r="H104" s="18">
        <f>SUMIFS(线上订单!$F:$F,线上订单!$B:$B,美团日报!$C104,线上订单!$D:$D,"美团")</f>
        <v>10</v>
      </c>
      <c r="I104" s="18">
        <f>SUMIFS(线上订单!$F:$F,线上订单!$B:$B,美团日报!$C104,线上订单!$D:$D,"美团")</f>
        <v>10</v>
      </c>
      <c r="J104" s="18">
        <f t="shared" si="8"/>
        <v>36.772753105455</v>
      </c>
      <c r="K104" s="18" t="e">
        <f t="shared" si="9"/>
        <v>#REF!</v>
      </c>
      <c r="L104" s="59" t="e">
        <f>SUMIFS(#REF!,#REF!,美团日报!$C104,#REF!,"美团")</f>
        <v>#REF!</v>
      </c>
      <c r="M104" s="18"/>
      <c r="N104" s="18"/>
      <c r="O104" s="18" t="e">
        <f t="shared" si="10"/>
        <v>#REF!</v>
      </c>
      <c r="P104" s="59" t="e">
        <f>SUMIFS(#REF!,#REF!,美团日报!$C104,#REF!,"美团")</f>
        <v>#REF!</v>
      </c>
      <c r="Q104" s="18"/>
      <c r="R104" s="18"/>
      <c r="S104" s="18" t="e">
        <f t="shared" si="11"/>
        <v>#REF!</v>
      </c>
      <c r="T104" s="59" t="e">
        <f>SUMIFS(#REF!,#REF!,美团日报!$C104,#REF!,"美团")</f>
        <v>#REF!</v>
      </c>
      <c r="U104" s="18" t="e">
        <f t="shared" si="12"/>
        <v>#REF!</v>
      </c>
      <c r="V104" s="59" t="e">
        <f>SUMIFS(#REF!,#REF!,美团日报!$C104,#REF!,"美团")</f>
        <v>#REF!</v>
      </c>
      <c r="W104" s="16" t="s">
        <v>13</v>
      </c>
    </row>
    <row r="105" ht="14.4" spans="1:23">
      <c r="A105" s="16" t="s">
        <v>43</v>
      </c>
      <c r="B105" s="16" t="s">
        <v>143</v>
      </c>
      <c r="C105" s="16">
        <v>8734</v>
      </c>
      <c r="D105" s="16" t="s">
        <v>279</v>
      </c>
      <c r="E105" s="58">
        <f>_xlfn.IFNA(VLOOKUP(C:C,线上线下销售!B:D,3,0),0)</f>
        <v>0</v>
      </c>
      <c r="F105" s="18">
        <f>SUMIFS(线上订单!$E:$E,线上订单!$B:$B,美团日报!$C105,线上订单!$D:$D,"美团")</f>
        <v>0</v>
      </c>
      <c r="G105" s="59">
        <f t="shared" si="7"/>
        <v>0</v>
      </c>
      <c r="H105" s="18">
        <f>SUMIFS(线上订单!$F:$F,线上订单!$B:$B,美团日报!$C105,线上订单!$D:$D,"美团")</f>
        <v>0</v>
      </c>
      <c r="I105" s="18">
        <f>SUMIFS(线上订单!$F:$F,线上订单!$B:$B,美团日报!$C105,线上订单!$D:$D,"美团")</f>
        <v>0</v>
      </c>
      <c r="J105" s="18">
        <f t="shared" si="8"/>
        <v>0</v>
      </c>
      <c r="K105" s="18" t="e">
        <f t="shared" si="9"/>
        <v>#REF!</v>
      </c>
      <c r="L105" s="59" t="e">
        <f>SUMIFS(#REF!,#REF!,美团日报!$C105,#REF!,"美团")</f>
        <v>#REF!</v>
      </c>
      <c r="M105" s="18"/>
      <c r="N105" s="18"/>
      <c r="O105" s="18" t="e">
        <f t="shared" si="10"/>
        <v>#REF!</v>
      </c>
      <c r="P105" s="59" t="e">
        <f>SUMIFS(#REF!,#REF!,美团日报!$C105,#REF!,"美团")</f>
        <v>#REF!</v>
      </c>
      <c r="Q105" s="18"/>
      <c r="R105" s="18"/>
      <c r="S105" s="18" t="e">
        <f t="shared" si="11"/>
        <v>#REF!</v>
      </c>
      <c r="T105" s="59" t="e">
        <f>SUMIFS(#REF!,#REF!,美团日报!$C105,#REF!,"美团")</f>
        <v>#REF!</v>
      </c>
      <c r="U105" s="18" t="e">
        <f t="shared" si="12"/>
        <v>#REF!</v>
      </c>
      <c r="V105" s="59" t="e">
        <f>SUMIFS(#REF!,#REF!,美团日报!$C105,#REF!,"美团")</f>
        <v>#REF!</v>
      </c>
      <c r="W105" s="16" t="s">
        <v>13</v>
      </c>
    </row>
    <row r="106" ht="14.4" spans="1:23">
      <c r="A106" s="16" t="s">
        <v>56</v>
      </c>
      <c r="B106" s="16" t="s">
        <v>118</v>
      </c>
      <c r="C106" s="16">
        <v>8736</v>
      </c>
      <c r="D106" s="16" t="s">
        <v>282</v>
      </c>
      <c r="E106" s="58">
        <f>_xlfn.IFNA(VLOOKUP(C:C,线上线下销售!B:D,3,0),0)</f>
        <v>13865.2743</v>
      </c>
      <c r="F106" s="18">
        <f>SUMIFS(线上订单!$E:$E,线上订单!$B:$B,美团日报!$C106,线上订单!$D:$D,"美团")</f>
        <v>814.15885361688</v>
      </c>
      <c r="G106" s="59">
        <f t="shared" si="7"/>
        <v>0.0587192749311047</v>
      </c>
      <c r="H106" s="18">
        <f>SUMIFS(线上订单!$F:$F,线上订单!$B:$B,美团日报!$C106,线上订单!$D:$D,"美团")</f>
        <v>21</v>
      </c>
      <c r="I106" s="18">
        <f>SUMIFS(线上订单!$F:$F,线上订单!$B:$B,美团日报!$C106,线上订单!$D:$D,"美团")</f>
        <v>21</v>
      </c>
      <c r="J106" s="18">
        <f t="shared" si="8"/>
        <v>38.7694692198514</v>
      </c>
      <c r="K106" s="18" t="e">
        <f t="shared" si="9"/>
        <v>#REF!</v>
      </c>
      <c r="L106" s="59" t="e">
        <f>SUMIFS(#REF!,#REF!,美团日报!$C106,#REF!,"美团")</f>
        <v>#REF!</v>
      </c>
      <c r="M106" s="18"/>
      <c r="N106" s="18"/>
      <c r="O106" s="18" t="e">
        <f t="shared" si="10"/>
        <v>#REF!</v>
      </c>
      <c r="P106" s="59" t="e">
        <f>SUMIFS(#REF!,#REF!,美团日报!$C106,#REF!,"美团")</f>
        <v>#REF!</v>
      </c>
      <c r="Q106" s="18"/>
      <c r="R106" s="18"/>
      <c r="S106" s="18" t="e">
        <f t="shared" si="11"/>
        <v>#REF!</v>
      </c>
      <c r="T106" s="59" t="e">
        <f>SUMIFS(#REF!,#REF!,美团日报!$C106,#REF!,"美团")</f>
        <v>#REF!</v>
      </c>
      <c r="U106" s="18" t="e">
        <f t="shared" si="12"/>
        <v>#REF!</v>
      </c>
      <c r="V106" s="59" t="e">
        <f>SUMIFS(#REF!,#REF!,美团日报!$C106,#REF!,"美团")</f>
        <v>#REF!</v>
      </c>
      <c r="W106" s="16" t="s">
        <v>13</v>
      </c>
    </row>
    <row r="107" ht="14.4" spans="1:23">
      <c r="A107" s="16" t="s">
        <v>48</v>
      </c>
      <c r="B107" s="16" t="s">
        <v>64</v>
      </c>
      <c r="C107" s="16">
        <v>8741</v>
      </c>
      <c r="D107" s="16" t="s">
        <v>284</v>
      </c>
      <c r="E107" s="58">
        <f>_xlfn.IFNA(VLOOKUP(C:C,线上线下销售!B:D,3,0),0)</f>
        <v>10850.6639</v>
      </c>
      <c r="F107" s="18">
        <f>SUMIFS(线上订单!$E:$E,线上订单!$B:$B,美团日报!$C107,线上订单!$D:$D,"美团")</f>
        <v>0</v>
      </c>
      <c r="G107" s="59">
        <f t="shared" si="7"/>
        <v>0</v>
      </c>
      <c r="H107" s="18">
        <f>SUMIFS(线上订单!$F:$F,线上订单!$B:$B,美团日报!$C107,线上订单!$D:$D,"美团")</f>
        <v>0</v>
      </c>
      <c r="I107" s="18">
        <f>SUMIFS(线上订单!$F:$F,线上订单!$B:$B,美团日报!$C107,线上订单!$D:$D,"美团")</f>
        <v>0</v>
      </c>
      <c r="J107" s="18">
        <f t="shared" si="8"/>
        <v>0</v>
      </c>
      <c r="K107" s="18" t="e">
        <f t="shared" si="9"/>
        <v>#REF!</v>
      </c>
      <c r="L107" s="59" t="e">
        <f>SUMIFS(#REF!,#REF!,美团日报!$C107,#REF!,"美团")</f>
        <v>#REF!</v>
      </c>
      <c r="M107" s="18"/>
      <c r="N107" s="18"/>
      <c r="O107" s="18" t="e">
        <f t="shared" si="10"/>
        <v>#REF!</v>
      </c>
      <c r="P107" s="59" t="e">
        <f>SUMIFS(#REF!,#REF!,美团日报!$C107,#REF!,"美团")</f>
        <v>#REF!</v>
      </c>
      <c r="Q107" s="18"/>
      <c r="R107" s="18"/>
      <c r="S107" s="18" t="e">
        <f t="shared" si="11"/>
        <v>#REF!</v>
      </c>
      <c r="T107" s="59" t="e">
        <f>SUMIFS(#REF!,#REF!,美团日报!$C107,#REF!,"美团")</f>
        <v>#REF!</v>
      </c>
      <c r="U107" s="18" t="e">
        <f t="shared" si="12"/>
        <v>#REF!</v>
      </c>
      <c r="V107" s="59" t="e">
        <f>SUMIFS(#REF!,#REF!,美团日报!$C107,#REF!,"美团")</f>
        <v>#REF!</v>
      </c>
      <c r="W107" s="16" t="s">
        <v>13</v>
      </c>
    </row>
    <row r="108" ht="14.4" spans="1:23">
      <c r="A108" s="16" t="s">
        <v>56</v>
      </c>
      <c r="B108" s="16" t="s">
        <v>57</v>
      </c>
      <c r="C108" s="16">
        <v>8742</v>
      </c>
      <c r="D108" s="16" t="s">
        <v>286</v>
      </c>
      <c r="E108" s="58">
        <f>_xlfn.IFNA(VLOOKUP(C:C,线上线下销售!B:D,3,0),0)</f>
        <v>0</v>
      </c>
      <c r="F108" s="18">
        <f>SUMIFS(线上订单!$E:$E,线上订单!$B:$B,美团日报!$C108,线上订单!$D:$D,"美团")</f>
        <v>0</v>
      </c>
      <c r="G108" s="59">
        <f t="shared" si="7"/>
        <v>0</v>
      </c>
      <c r="H108" s="18">
        <f>SUMIFS(线上订单!$F:$F,线上订单!$B:$B,美团日报!$C108,线上订单!$D:$D,"美团")</f>
        <v>0</v>
      </c>
      <c r="I108" s="18">
        <f>SUMIFS(线上订单!$F:$F,线上订单!$B:$B,美团日报!$C108,线上订单!$D:$D,"美团")</f>
        <v>0</v>
      </c>
      <c r="J108" s="18">
        <f t="shared" si="8"/>
        <v>0</v>
      </c>
      <c r="K108" s="18" t="e">
        <f t="shared" si="9"/>
        <v>#REF!</v>
      </c>
      <c r="L108" s="59" t="e">
        <f>SUMIFS(#REF!,#REF!,美团日报!$C108,#REF!,"美团")</f>
        <v>#REF!</v>
      </c>
      <c r="M108" s="18"/>
      <c r="N108" s="18"/>
      <c r="O108" s="18" t="e">
        <f t="shared" si="10"/>
        <v>#REF!</v>
      </c>
      <c r="P108" s="59" t="e">
        <f>SUMIFS(#REF!,#REF!,美团日报!$C108,#REF!,"美团")</f>
        <v>#REF!</v>
      </c>
      <c r="Q108" s="18"/>
      <c r="R108" s="18"/>
      <c r="S108" s="18" t="e">
        <f t="shared" si="11"/>
        <v>#REF!</v>
      </c>
      <c r="T108" s="59" t="e">
        <f>SUMIFS(#REF!,#REF!,美团日报!$C108,#REF!,"美团")</f>
        <v>#REF!</v>
      </c>
      <c r="U108" s="18" t="e">
        <f t="shared" si="12"/>
        <v>#REF!</v>
      </c>
      <c r="V108" s="59" t="e">
        <f>SUMIFS(#REF!,#REF!,美团日报!$C108,#REF!,"美团")</f>
        <v>#REF!</v>
      </c>
      <c r="W108" s="16" t="s">
        <v>13</v>
      </c>
    </row>
    <row r="109" ht="14.4" spans="1:23">
      <c r="A109" s="16" t="s">
        <v>48</v>
      </c>
      <c r="B109" s="16" t="s">
        <v>64</v>
      </c>
      <c r="C109" s="16">
        <v>8743</v>
      </c>
      <c r="D109" s="16" t="s">
        <v>288</v>
      </c>
      <c r="E109" s="58">
        <f>_xlfn.IFNA(VLOOKUP(C:C,线上线下销售!B:D,3,0),0)</f>
        <v>51.4158</v>
      </c>
      <c r="F109" s="18">
        <f>SUMIFS(线上订单!$E:$E,线上订单!$B:$B,美团日报!$C109,线上订单!$D:$D,"美团")</f>
        <v>0</v>
      </c>
      <c r="G109" s="59">
        <f t="shared" si="7"/>
        <v>0</v>
      </c>
      <c r="H109" s="18">
        <f>SUMIFS(线上订单!$F:$F,线上订单!$B:$B,美团日报!$C109,线上订单!$D:$D,"美团")</f>
        <v>0</v>
      </c>
      <c r="I109" s="18">
        <f>SUMIFS(线上订单!$F:$F,线上订单!$B:$B,美团日报!$C109,线上订单!$D:$D,"美团")</f>
        <v>0</v>
      </c>
      <c r="J109" s="18">
        <f t="shared" si="8"/>
        <v>0</v>
      </c>
      <c r="K109" s="18" t="e">
        <f t="shared" si="9"/>
        <v>#REF!</v>
      </c>
      <c r="L109" s="59" t="e">
        <f>SUMIFS(#REF!,#REF!,美团日报!$C109,#REF!,"美团")</f>
        <v>#REF!</v>
      </c>
      <c r="M109" s="18"/>
      <c r="N109" s="18"/>
      <c r="O109" s="18" t="e">
        <f t="shared" si="10"/>
        <v>#REF!</v>
      </c>
      <c r="P109" s="59" t="e">
        <f>SUMIFS(#REF!,#REF!,美团日报!$C109,#REF!,"美团")</f>
        <v>#REF!</v>
      </c>
      <c r="Q109" s="18"/>
      <c r="R109" s="18"/>
      <c r="S109" s="18" t="e">
        <f t="shared" si="11"/>
        <v>#REF!</v>
      </c>
      <c r="T109" s="59" t="e">
        <f>SUMIFS(#REF!,#REF!,美团日报!$C109,#REF!,"美团")</f>
        <v>#REF!</v>
      </c>
      <c r="U109" s="18" t="e">
        <f t="shared" si="12"/>
        <v>#REF!</v>
      </c>
      <c r="V109" s="59" t="e">
        <f>SUMIFS(#REF!,#REF!,美团日报!$C109,#REF!,"美团")</f>
        <v>#REF!</v>
      </c>
      <c r="W109" s="16" t="s">
        <v>13</v>
      </c>
    </row>
    <row r="110" ht="14.4" spans="1:23">
      <c r="A110" s="16" t="s">
        <v>63</v>
      </c>
      <c r="B110" s="16" t="s">
        <v>60</v>
      </c>
      <c r="C110" s="16">
        <v>8745</v>
      </c>
      <c r="D110" s="16" t="s">
        <v>290</v>
      </c>
      <c r="E110" s="58">
        <f>_xlfn.IFNA(VLOOKUP(C:C,线上线下销售!B:D,3,0),0)</f>
        <v>33702.1923</v>
      </c>
      <c r="F110" s="18">
        <f>SUMIFS(线上订单!$E:$E,线上订单!$B:$B,美团日报!$C110,线上订单!$D:$D,"美团")</f>
        <v>0</v>
      </c>
      <c r="G110" s="59">
        <f t="shared" si="7"/>
        <v>0</v>
      </c>
      <c r="H110" s="18">
        <f>SUMIFS(线上订单!$F:$F,线上订单!$B:$B,美团日报!$C110,线上订单!$D:$D,"美团")</f>
        <v>0</v>
      </c>
      <c r="I110" s="18">
        <f>SUMIFS(线上订单!$F:$F,线上订单!$B:$B,美团日报!$C110,线上订单!$D:$D,"美团")</f>
        <v>0</v>
      </c>
      <c r="J110" s="18">
        <f t="shared" si="8"/>
        <v>0</v>
      </c>
      <c r="K110" s="18" t="e">
        <f t="shared" si="9"/>
        <v>#REF!</v>
      </c>
      <c r="L110" s="59" t="e">
        <f>SUMIFS(#REF!,#REF!,美团日报!$C110,#REF!,"美团")</f>
        <v>#REF!</v>
      </c>
      <c r="M110" s="18"/>
      <c r="N110" s="18"/>
      <c r="O110" s="18" t="e">
        <f t="shared" si="10"/>
        <v>#REF!</v>
      </c>
      <c r="P110" s="59" t="e">
        <f>SUMIFS(#REF!,#REF!,美团日报!$C110,#REF!,"美团")</f>
        <v>#REF!</v>
      </c>
      <c r="Q110" s="18"/>
      <c r="R110" s="18"/>
      <c r="S110" s="18" t="e">
        <f t="shared" si="11"/>
        <v>#REF!</v>
      </c>
      <c r="T110" s="59" t="e">
        <f>SUMIFS(#REF!,#REF!,美团日报!$C110,#REF!,"美团")</f>
        <v>#REF!</v>
      </c>
      <c r="U110" s="18" t="e">
        <f t="shared" si="12"/>
        <v>#REF!</v>
      </c>
      <c r="V110" s="59" t="e">
        <f>SUMIFS(#REF!,#REF!,美团日报!$C110,#REF!,"美团")</f>
        <v>#REF!</v>
      </c>
      <c r="W110" s="16" t="s">
        <v>13</v>
      </c>
    </row>
    <row r="111" ht="14.4" spans="1:23">
      <c r="A111" s="16" t="s">
        <v>63</v>
      </c>
      <c r="B111" s="16" t="s">
        <v>60</v>
      </c>
      <c r="C111" s="16">
        <v>8696</v>
      </c>
      <c r="D111" s="16" t="s">
        <v>292</v>
      </c>
      <c r="E111" s="58">
        <f>_xlfn.IFNA(VLOOKUP(C:C,线上线下销售!B:D,3,0),0)</f>
        <v>11589.3789</v>
      </c>
      <c r="F111" s="18">
        <f>SUMIFS(线上订单!$E:$E,线上订单!$B:$B,美团日报!$C111,线上订单!$D:$D,"美团")</f>
        <v>0</v>
      </c>
      <c r="G111" s="59">
        <f t="shared" si="7"/>
        <v>0</v>
      </c>
      <c r="H111" s="18">
        <f>SUMIFS(线上订单!$F:$F,线上订单!$B:$B,美团日报!$C111,线上订单!$D:$D,"美团")</f>
        <v>0</v>
      </c>
      <c r="I111" s="18">
        <f>SUMIFS(线上订单!$F:$F,线上订单!$B:$B,美团日报!$C111,线上订单!$D:$D,"美团")</f>
        <v>0</v>
      </c>
      <c r="J111" s="18">
        <f t="shared" si="8"/>
        <v>0</v>
      </c>
      <c r="K111" s="18" t="e">
        <f t="shared" si="9"/>
        <v>#REF!</v>
      </c>
      <c r="L111" s="59" t="e">
        <f>SUMIFS(#REF!,#REF!,美团日报!$C111,#REF!,"美团")</f>
        <v>#REF!</v>
      </c>
      <c r="M111" s="18"/>
      <c r="N111" s="18"/>
      <c r="O111" s="18" t="e">
        <f t="shared" si="10"/>
        <v>#REF!</v>
      </c>
      <c r="P111" s="59" t="e">
        <f>SUMIFS(#REF!,#REF!,美团日报!$C111,#REF!,"美团")</f>
        <v>#REF!</v>
      </c>
      <c r="Q111" s="18"/>
      <c r="R111" s="18"/>
      <c r="S111" s="18" t="e">
        <f t="shared" si="11"/>
        <v>#REF!</v>
      </c>
      <c r="T111" s="59" t="e">
        <f>SUMIFS(#REF!,#REF!,美团日报!$C111,#REF!,"美团")</f>
        <v>#REF!</v>
      </c>
      <c r="U111" s="18" t="e">
        <f t="shared" si="12"/>
        <v>#REF!</v>
      </c>
      <c r="V111" s="59" t="e">
        <f>SUMIFS(#REF!,#REF!,美团日报!$C111,#REF!,"美团")</f>
        <v>#REF!</v>
      </c>
      <c r="W111" s="16" t="s">
        <v>13</v>
      </c>
    </row>
    <row r="112" ht="14.4" spans="1:23">
      <c r="A112" s="16" t="s">
        <v>43</v>
      </c>
      <c r="B112" s="16" t="s">
        <v>161</v>
      </c>
      <c r="C112" s="16">
        <v>1550</v>
      </c>
      <c r="D112" s="16" t="s">
        <v>294</v>
      </c>
      <c r="E112" s="58">
        <f>_xlfn.IFNA(VLOOKUP(C:C,线上线下销售!B:D,3,0),0)</f>
        <v>6057.4418</v>
      </c>
      <c r="F112" s="18">
        <f>SUMIFS(线上订单!$E:$E,线上订单!$B:$B,美团日报!$C112,线上订单!$D:$D,"美团")</f>
        <v>516.94389867658</v>
      </c>
      <c r="G112" s="59">
        <f t="shared" si="7"/>
        <v>0.0853402997081342</v>
      </c>
      <c r="H112" s="18">
        <f>SUMIFS(线上订单!$F:$F,线上订单!$B:$B,美团日报!$C112,线上订单!$D:$D,"美团")</f>
        <v>15</v>
      </c>
      <c r="I112" s="18">
        <f>SUMIFS(线上订单!$F:$F,线上订单!$B:$B,美团日报!$C112,线上订单!$D:$D,"美团")</f>
        <v>15</v>
      </c>
      <c r="J112" s="18">
        <f t="shared" si="8"/>
        <v>34.4629265784387</v>
      </c>
      <c r="K112" s="18" t="e">
        <f t="shared" si="9"/>
        <v>#REF!</v>
      </c>
      <c r="L112" s="59" t="e">
        <f>SUMIFS(#REF!,#REF!,美团日报!$C112,#REF!,"美团")</f>
        <v>#REF!</v>
      </c>
      <c r="M112" s="18"/>
      <c r="N112" s="18"/>
      <c r="O112" s="18" t="e">
        <f t="shared" si="10"/>
        <v>#REF!</v>
      </c>
      <c r="P112" s="59" t="e">
        <f>SUMIFS(#REF!,#REF!,美团日报!$C112,#REF!,"美团")</f>
        <v>#REF!</v>
      </c>
      <c r="Q112" s="18"/>
      <c r="R112" s="18"/>
      <c r="S112" s="18" t="e">
        <f t="shared" si="11"/>
        <v>#REF!</v>
      </c>
      <c r="T112" s="59" t="e">
        <f>SUMIFS(#REF!,#REF!,美团日报!$C112,#REF!,"美团")</f>
        <v>#REF!</v>
      </c>
      <c r="U112" s="18" t="e">
        <f t="shared" si="12"/>
        <v>#REF!</v>
      </c>
      <c r="V112" s="59" t="e">
        <f>SUMIFS(#REF!,#REF!,美团日报!$C112,#REF!,"美团")</f>
        <v>#REF!</v>
      </c>
      <c r="W112" s="16" t="s">
        <v>19</v>
      </c>
    </row>
    <row r="113" ht="14.4" spans="1:23">
      <c r="A113" s="16" t="s">
        <v>264</v>
      </c>
      <c r="B113" s="16" t="s">
        <v>296</v>
      </c>
      <c r="C113" s="16">
        <v>1048</v>
      </c>
      <c r="D113" s="16" t="s">
        <v>297</v>
      </c>
      <c r="E113" s="58">
        <f>_xlfn.IFNA(VLOOKUP(C:C,线上线下销售!B:D,3,0),0)</f>
        <v>3878.4938</v>
      </c>
      <c r="F113" s="18">
        <f>SUMIFS(线上订单!$E:$E,线上订单!$B:$B,美团日报!$C113,线上订单!$D:$D,"美团")</f>
        <v>1787.51315255336</v>
      </c>
      <c r="G113" s="59">
        <f t="shared" si="7"/>
        <v>0.460878177129833</v>
      </c>
      <c r="H113" s="18">
        <f>SUMIFS(线上订单!$F:$F,线上订单!$B:$B,美团日报!$C113,线上订单!$D:$D,"美团")</f>
        <v>30</v>
      </c>
      <c r="I113" s="18">
        <f>SUMIFS(线上订单!$F:$F,线上订单!$B:$B,美团日报!$C113,线上订单!$D:$D,"美团")</f>
        <v>30</v>
      </c>
      <c r="J113" s="18">
        <f t="shared" si="8"/>
        <v>59.5837717517787</v>
      </c>
      <c r="K113" s="18" t="e">
        <f t="shared" si="9"/>
        <v>#REF!</v>
      </c>
      <c r="L113" s="59" t="e">
        <f>SUMIFS(#REF!,#REF!,美团日报!$C113,#REF!,"美团")</f>
        <v>#REF!</v>
      </c>
      <c r="M113" s="18"/>
      <c r="N113" s="18"/>
      <c r="O113" s="18" t="e">
        <f t="shared" si="10"/>
        <v>#REF!</v>
      </c>
      <c r="P113" s="59" t="e">
        <f>SUMIFS(#REF!,#REF!,美团日报!$C113,#REF!,"美团")</f>
        <v>#REF!</v>
      </c>
      <c r="Q113" s="18"/>
      <c r="R113" s="18"/>
      <c r="S113" s="18" t="e">
        <f t="shared" si="11"/>
        <v>#REF!</v>
      </c>
      <c r="T113" s="59" t="e">
        <f>SUMIFS(#REF!,#REF!,美团日报!$C113,#REF!,"美团")</f>
        <v>#REF!</v>
      </c>
      <c r="U113" s="18" t="e">
        <f t="shared" si="12"/>
        <v>#REF!</v>
      </c>
      <c r="V113" s="59" t="e">
        <f>SUMIFS(#REF!,#REF!,美团日报!$C113,#REF!,"美团")</f>
        <v>#REF!</v>
      </c>
      <c r="W113" s="16" t="s">
        <v>19</v>
      </c>
    </row>
    <row r="114" ht="14.4" spans="1:23">
      <c r="A114" s="16" t="s">
        <v>264</v>
      </c>
      <c r="B114" s="16" t="s">
        <v>296</v>
      </c>
      <c r="C114" s="16">
        <v>1049</v>
      </c>
      <c r="D114" s="16" t="s">
        <v>299</v>
      </c>
      <c r="E114" s="58">
        <f>_xlfn.IFNA(VLOOKUP(C:C,线上线下销售!B:D,3,0),0)</f>
        <v>1062.5343</v>
      </c>
      <c r="F114" s="18">
        <f>SUMIFS(线上订单!$E:$E,线上订单!$B:$B,美团日报!$C114,线上订单!$D:$D,"美团")</f>
        <v>217.78863359583</v>
      </c>
      <c r="G114" s="59">
        <f t="shared" si="7"/>
        <v>0.204970920558357</v>
      </c>
      <c r="H114" s="18">
        <f>SUMIFS(线上订单!$F:$F,线上订单!$B:$B,美团日报!$C114,线上订单!$D:$D,"美团")</f>
        <v>4</v>
      </c>
      <c r="I114" s="18">
        <f>SUMIFS(线上订单!$F:$F,线上订单!$B:$B,美团日报!$C114,线上订单!$D:$D,"美团")</f>
        <v>4</v>
      </c>
      <c r="J114" s="18">
        <f t="shared" si="8"/>
        <v>54.4471583989575</v>
      </c>
      <c r="K114" s="18" t="e">
        <f t="shared" si="9"/>
        <v>#REF!</v>
      </c>
      <c r="L114" s="59" t="e">
        <f>SUMIFS(#REF!,#REF!,美团日报!$C114,#REF!,"美团")</f>
        <v>#REF!</v>
      </c>
      <c r="M114" s="18"/>
      <c r="N114" s="18"/>
      <c r="O114" s="18" t="e">
        <f t="shared" si="10"/>
        <v>#REF!</v>
      </c>
      <c r="P114" s="59" t="e">
        <f>SUMIFS(#REF!,#REF!,美团日报!$C114,#REF!,"美团")</f>
        <v>#REF!</v>
      </c>
      <c r="Q114" s="18"/>
      <c r="R114" s="18"/>
      <c r="S114" s="18" t="e">
        <f t="shared" si="11"/>
        <v>#REF!</v>
      </c>
      <c r="T114" s="59" t="e">
        <f>SUMIFS(#REF!,#REF!,美团日报!$C114,#REF!,"美团")</f>
        <v>#REF!</v>
      </c>
      <c r="U114" s="18" t="e">
        <f t="shared" si="12"/>
        <v>#REF!</v>
      </c>
      <c r="V114" s="59" t="e">
        <f>SUMIFS(#REF!,#REF!,美团日报!$C114,#REF!,"美团")</f>
        <v>#REF!</v>
      </c>
      <c r="W114" s="16" t="s">
        <v>19</v>
      </c>
    </row>
    <row r="115" ht="14.4" spans="1:23">
      <c r="A115" s="16" t="s">
        <v>264</v>
      </c>
      <c r="B115" s="16" t="s">
        <v>576</v>
      </c>
      <c r="C115" s="16">
        <v>1055</v>
      </c>
      <c r="D115" s="16" t="s">
        <v>302</v>
      </c>
      <c r="E115" s="58">
        <f>_xlfn.IFNA(VLOOKUP(C:C,线上线下销售!B:D,3,0),0)</f>
        <v>6813.1809</v>
      </c>
      <c r="F115" s="18">
        <f>SUMIFS(线上订单!$E:$E,线上订单!$B:$B,美团日报!$C115,线上订单!$D:$D,"美团")</f>
        <v>1484.6074774702</v>
      </c>
      <c r="G115" s="59">
        <f t="shared" si="7"/>
        <v>0.217902254359663</v>
      </c>
      <c r="H115" s="18">
        <f>SUMIFS(线上订单!$F:$F,线上订单!$B:$B,美团日报!$C115,线上订单!$D:$D,"美团")</f>
        <v>33</v>
      </c>
      <c r="I115" s="18">
        <f>SUMIFS(线上订单!$F:$F,线上订单!$B:$B,美团日报!$C115,线上订单!$D:$D,"美团")</f>
        <v>33</v>
      </c>
      <c r="J115" s="18">
        <f t="shared" si="8"/>
        <v>44.9881053778848</v>
      </c>
      <c r="K115" s="18" t="e">
        <f t="shared" si="9"/>
        <v>#REF!</v>
      </c>
      <c r="L115" s="59" t="e">
        <f>SUMIFS(#REF!,#REF!,美团日报!$C115,#REF!,"美团")</f>
        <v>#REF!</v>
      </c>
      <c r="M115" s="18"/>
      <c r="N115" s="18"/>
      <c r="O115" s="18" t="e">
        <f t="shared" si="10"/>
        <v>#REF!</v>
      </c>
      <c r="P115" s="59" t="e">
        <f>SUMIFS(#REF!,#REF!,美团日报!$C115,#REF!,"美团")</f>
        <v>#REF!</v>
      </c>
      <c r="Q115" s="18"/>
      <c r="R115" s="18"/>
      <c r="S115" s="18" t="e">
        <f t="shared" si="11"/>
        <v>#REF!</v>
      </c>
      <c r="T115" s="59" t="e">
        <f>SUMIFS(#REF!,#REF!,美团日报!$C115,#REF!,"美团")</f>
        <v>#REF!</v>
      </c>
      <c r="U115" s="18" t="e">
        <f t="shared" si="12"/>
        <v>#REF!</v>
      </c>
      <c r="V115" s="59" t="e">
        <f>SUMIFS(#REF!,#REF!,美团日报!$C115,#REF!,"美团")</f>
        <v>#REF!</v>
      </c>
      <c r="W115" s="16" t="s">
        <v>19</v>
      </c>
    </row>
    <row r="116" ht="14.4" spans="1:23">
      <c r="A116" s="16" t="s">
        <v>264</v>
      </c>
      <c r="B116" s="16" t="s">
        <v>304</v>
      </c>
      <c r="C116" s="16">
        <v>1070</v>
      </c>
      <c r="D116" s="16" t="s">
        <v>305</v>
      </c>
      <c r="E116" s="58">
        <f>_xlfn.IFNA(VLOOKUP(C:C,线上线下销售!B:D,3,0),0)</f>
        <v>7517.4047</v>
      </c>
      <c r="F116" s="18">
        <f>SUMIFS(线上订单!$E:$E,线上订单!$B:$B,美团日报!$C116,线上订单!$D:$D,"美团")</f>
        <v>744.07323211823</v>
      </c>
      <c r="G116" s="59">
        <f t="shared" si="7"/>
        <v>0.0989800684960103</v>
      </c>
      <c r="H116" s="18">
        <f>SUMIFS(线上订单!$F:$F,线上订单!$B:$B,美团日报!$C116,线上订单!$D:$D,"美团")</f>
        <v>11</v>
      </c>
      <c r="I116" s="18">
        <f>SUMIFS(线上订单!$F:$F,线上订单!$B:$B,美团日报!$C116,线上订单!$D:$D,"美团")</f>
        <v>11</v>
      </c>
      <c r="J116" s="18">
        <f t="shared" si="8"/>
        <v>67.6430211016573</v>
      </c>
      <c r="K116" s="18" t="e">
        <f t="shared" si="9"/>
        <v>#REF!</v>
      </c>
      <c r="L116" s="59" t="e">
        <f>SUMIFS(#REF!,#REF!,美团日报!$C116,#REF!,"美团")</f>
        <v>#REF!</v>
      </c>
      <c r="M116" s="18"/>
      <c r="N116" s="18"/>
      <c r="O116" s="18" t="e">
        <f t="shared" si="10"/>
        <v>#REF!</v>
      </c>
      <c r="P116" s="59" t="e">
        <f>SUMIFS(#REF!,#REF!,美团日报!$C116,#REF!,"美团")</f>
        <v>#REF!</v>
      </c>
      <c r="Q116" s="18"/>
      <c r="R116" s="18"/>
      <c r="S116" s="18" t="e">
        <f t="shared" si="11"/>
        <v>#REF!</v>
      </c>
      <c r="T116" s="59" t="e">
        <f>SUMIFS(#REF!,#REF!,美团日报!$C116,#REF!,"美团")</f>
        <v>#REF!</v>
      </c>
      <c r="U116" s="18" t="e">
        <f t="shared" si="12"/>
        <v>#REF!</v>
      </c>
      <c r="V116" s="59" t="e">
        <f>SUMIFS(#REF!,#REF!,美团日报!$C116,#REF!,"美团")</f>
        <v>#REF!</v>
      </c>
      <c r="W116" s="16" t="s">
        <v>19</v>
      </c>
    </row>
    <row r="117" ht="14.4" spans="1:23">
      <c r="A117" s="16" t="s">
        <v>264</v>
      </c>
      <c r="B117" s="16" t="s">
        <v>576</v>
      </c>
      <c r="C117" s="16">
        <v>1075</v>
      </c>
      <c r="D117" s="16" t="s">
        <v>307</v>
      </c>
      <c r="E117" s="58">
        <f>_xlfn.IFNA(VLOOKUP(C:C,线上线下销售!B:D,3,0),0)</f>
        <v>3341.3106</v>
      </c>
      <c r="F117" s="18">
        <f>SUMIFS(线上订单!$E:$E,线上订单!$B:$B,美团日报!$C117,线上订单!$D:$D,"美团")</f>
        <v>506.35381992369</v>
      </c>
      <c r="G117" s="59">
        <f t="shared" si="7"/>
        <v>0.151543475163216</v>
      </c>
      <c r="H117" s="18">
        <f>SUMIFS(线上订单!$F:$F,线上订单!$B:$B,美团日报!$C117,线上订单!$D:$D,"美团")</f>
        <v>9</v>
      </c>
      <c r="I117" s="18">
        <f>SUMIFS(线上订单!$F:$F,线上订单!$B:$B,美团日报!$C117,线上订单!$D:$D,"美团")</f>
        <v>9</v>
      </c>
      <c r="J117" s="18">
        <f t="shared" si="8"/>
        <v>56.2615355470767</v>
      </c>
      <c r="K117" s="18" t="e">
        <f t="shared" si="9"/>
        <v>#REF!</v>
      </c>
      <c r="L117" s="59" t="e">
        <f>SUMIFS(#REF!,#REF!,美团日报!$C117,#REF!,"美团")</f>
        <v>#REF!</v>
      </c>
      <c r="M117" s="18"/>
      <c r="N117" s="18"/>
      <c r="O117" s="18" t="e">
        <f t="shared" si="10"/>
        <v>#REF!</v>
      </c>
      <c r="P117" s="59" t="e">
        <f>SUMIFS(#REF!,#REF!,美团日报!$C117,#REF!,"美团")</f>
        <v>#REF!</v>
      </c>
      <c r="Q117" s="18"/>
      <c r="R117" s="18"/>
      <c r="S117" s="18" t="e">
        <f t="shared" si="11"/>
        <v>#REF!</v>
      </c>
      <c r="T117" s="59" t="e">
        <f>SUMIFS(#REF!,#REF!,美团日报!$C117,#REF!,"美团")</f>
        <v>#REF!</v>
      </c>
      <c r="U117" s="18" t="e">
        <f t="shared" si="12"/>
        <v>#REF!</v>
      </c>
      <c r="V117" s="59" t="e">
        <f>SUMIFS(#REF!,#REF!,美团日报!$C117,#REF!,"美团")</f>
        <v>#REF!</v>
      </c>
      <c r="W117" s="16" t="s">
        <v>19</v>
      </c>
    </row>
    <row r="118" ht="14.4" spans="1:23">
      <c r="A118" s="16" t="s">
        <v>63</v>
      </c>
      <c r="B118" s="16" t="s">
        <v>152</v>
      </c>
      <c r="C118" s="16">
        <v>1081</v>
      </c>
      <c r="D118" s="16" t="s">
        <v>309</v>
      </c>
      <c r="E118" s="58">
        <f>_xlfn.IFNA(VLOOKUP(C:C,线上线下销售!B:D,3,0),0)</f>
        <v>0</v>
      </c>
      <c r="F118" s="18">
        <f>SUMIFS(线上订单!$E:$E,线上订单!$B:$B,美团日报!$C118,线上订单!$D:$D,"美团")</f>
        <v>0</v>
      </c>
      <c r="G118" s="59">
        <f t="shared" si="7"/>
        <v>0</v>
      </c>
      <c r="H118" s="18">
        <f>SUMIFS(线上订单!$F:$F,线上订单!$B:$B,美团日报!$C118,线上订单!$D:$D,"美团")</f>
        <v>0</v>
      </c>
      <c r="I118" s="18">
        <f>SUMIFS(线上订单!$F:$F,线上订单!$B:$B,美团日报!$C118,线上订单!$D:$D,"美团")</f>
        <v>0</v>
      </c>
      <c r="J118" s="18">
        <f t="shared" si="8"/>
        <v>0</v>
      </c>
      <c r="K118" s="18" t="e">
        <f t="shared" si="9"/>
        <v>#REF!</v>
      </c>
      <c r="L118" s="59" t="e">
        <f>SUMIFS(#REF!,#REF!,美团日报!$C118,#REF!,"美团")</f>
        <v>#REF!</v>
      </c>
      <c r="M118" s="18"/>
      <c r="N118" s="18"/>
      <c r="O118" s="18" t="e">
        <f t="shared" si="10"/>
        <v>#REF!</v>
      </c>
      <c r="P118" s="59" t="e">
        <f>SUMIFS(#REF!,#REF!,美团日报!$C118,#REF!,"美团")</f>
        <v>#REF!</v>
      </c>
      <c r="Q118" s="18"/>
      <c r="R118" s="18"/>
      <c r="S118" s="18" t="e">
        <f t="shared" si="11"/>
        <v>#REF!</v>
      </c>
      <c r="T118" s="59" t="e">
        <f>SUMIFS(#REF!,#REF!,美团日报!$C118,#REF!,"美团")</f>
        <v>#REF!</v>
      </c>
      <c r="U118" s="18" t="e">
        <f t="shared" si="12"/>
        <v>#REF!</v>
      </c>
      <c r="V118" s="59" t="e">
        <f>SUMIFS(#REF!,#REF!,美团日报!$C118,#REF!,"美团")</f>
        <v>#REF!</v>
      </c>
      <c r="W118" s="16" t="s">
        <v>19</v>
      </c>
    </row>
    <row r="119" ht="14.4" spans="1:23">
      <c r="A119" s="16" t="s">
        <v>264</v>
      </c>
      <c r="B119" s="16" t="s">
        <v>313</v>
      </c>
      <c r="C119" s="16">
        <v>1082</v>
      </c>
      <c r="D119" s="16" t="s">
        <v>311</v>
      </c>
      <c r="E119" s="58">
        <f>_xlfn.IFNA(VLOOKUP(C:C,线上线下销售!B:D,3,0),0)</f>
        <v>7959.1389</v>
      </c>
      <c r="F119" s="18">
        <f>SUMIFS(线上订单!$E:$E,线上订单!$B:$B,美团日报!$C119,线上订单!$D:$D,"美团")</f>
        <v>1264.84907039049</v>
      </c>
      <c r="G119" s="59">
        <f t="shared" si="7"/>
        <v>0.158917828458866</v>
      </c>
      <c r="H119" s="18">
        <f>SUMIFS(线上订单!$F:$F,线上订单!$B:$B,美团日报!$C119,线上订单!$D:$D,"美团")</f>
        <v>30</v>
      </c>
      <c r="I119" s="18">
        <f>SUMIFS(线上订单!$F:$F,线上订单!$B:$B,美团日报!$C119,线上订单!$D:$D,"美团")</f>
        <v>30</v>
      </c>
      <c r="J119" s="18">
        <f t="shared" si="8"/>
        <v>42.161635679683</v>
      </c>
      <c r="K119" s="18" t="e">
        <f t="shared" si="9"/>
        <v>#REF!</v>
      </c>
      <c r="L119" s="59" t="e">
        <f>SUMIFS(#REF!,#REF!,美团日报!$C119,#REF!,"美团")</f>
        <v>#REF!</v>
      </c>
      <c r="M119" s="18"/>
      <c r="N119" s="18"/>
      <c r="O119" s="18" t="e">
        <f t="shared" si="10"/>
        <v>#REF!</v>
      </c>
      <c r="P119" s="59" t="e">
        <f>SUMIFS(#REF!,#REF!,美团日报!$C119,#REF!,"美团")</f>
        <v>#REF!</v>
      </c>
      <c r="Q119" s="18"/>
      <c r="R119" s="18"/>
      <c r="S119" s="18" t="e">
        <f t="shared" si="11"/>
        <v>#REF!</v>
      </c>
      <c r="T119" s="59" t="e">
        <f>SUMIFS(#REF!,#REF!,美团日报!$C119,#REF!,"美团")</f>
        <v>#REF!</v>
      </c>
      <c r="U119" s="18" t="e">
        <f t="shared" si="12"/>
        <v>#REF!</v>
      </c>
      <c r="V119" s="59" t="e">
        <f>SUMIFS(#REF!,#REF!,美团日报!$C119,#REF!,"美团")</f>
        <v>#REF!</v>
      </c>
      <c r="W119" s="16" t="s">
        <v>19</v>
      </c>
    </row>
    <row r="120" ht="14.4" spans="1:23">
      <c r="A120" s="16" t="s">
        <v>264</v>
      </c>
      <c r="B120" s="16" t="s">
        <v>313</v>
      </c>
      <c r="C120" s="16">
        <v>1088</v>
      </c>
      <c r="D120" s="16" t="s">
        <v>314</v>
      </c>
      <c r="E120" s="58">
        <f>_xlfn.IFNA(VLOOKUP(C:C,线上线下销售!B:D,3,0),0)</f>
        <v>1218.1296</v>
      </c>
      <c r="F120" s="18">
        <f>SUMIFS(线上订单!$E:$E,线上订单!$B:$B,美团日报!$C120,线上订单!$D:$D,"美团")</f>
        <v>136.10619469024</v>
      </c>
      <c r="G120" s="59">
        <f t="shared" si="7"/>
        <v>0.111733755332963</v>
      </c>
      <c r="H120" s="18">
        <f>SUMIFS(线上订单!$F:$F,线上订单!$B:$B,美团日报!$C120,线上订单!$D:$D,"美团")</f>
        <v>4</v>
      </c>
      <c r="I120" s="18">
        <f>SUMIFS(线上订单!$F:$F,线上订单!$B:$B,美团日报!$C120,线上订单!$D:$D,"美团")</f>
        <v>4</v>
      </c>
      <c r="J120" s="18">
        <f t="shared" si="8"/>
        <v>34.02654867256</v>
      </c>
      <c r="K120" s="18" t="e">
        <f t="shared" si="9"/>
        <v>#REF!</v>
      </c>
      <c r="L120" s="59" t="e">
        <f>SUMIFS(#REF!,#REF!,美团日报!$C120,#REF!,"美团")</f>
        <v>#REF!</v>
      </c>
      <c r="M120" s="18"/>
      <c r="N120" s="18"/>
      <c r="O120" s="18" t="e">
        <f t="shared" si="10"/>
        <v>#REF!</v>
      </c>
      <c r="P120" s="59" t="e">
        <f>SUMIFS(#REF!,#REF!,美团日报!$C120,#REF!,"美团")</f>
        <v>#REF!</v>
      </c>
      <c r="Q120" s="18"/>
      <c r="R120" s="18"/>
      <c r="S120" s="18" t="e">
        <f t="shared" si="11"/>
        <v>#REF!</v>
      </c>
      <c r="T120" s="59" t="e">
        <f>SUMIFS(#REF!,#REF!,美团日报!$C120,#REF!,"美团")</f>
        <v>#REF!</v>
      </c>
      <c r="U120" s="18" t="e">
        <f t="shared" si="12"/>
        <v>#REF!</v>
      </c>
      <c r="V120" s="59" t="e">
        <f>SUMIFS(#REF!,#REF!,美团日报!$C120,#REF!,"美团")</f>
        <v>#REF!</v>
      </c>
      <c r="W120" s="16" t="s">
        <v>19</v>
      </c>
    </row>
    <row r="121" ht="14.4" spans="1:23">
      <c r="A121" s="16" t="s">
        <v>56</v>
      </c>
      <c r="B121" s="16" t="s">
        <v>573</v>
      </c>
      <c r="C121" s="16">
        <v>1102</v>
      </c>
      <c r="D121" s="16" t="s">
        <v>316</v>
      </c>
      <c r="E121" s="58">
        <f>_xlfn.IFNA(VLOOKUP(C:C,线上线下销售!B:D,3,0),0)</f>
        <v>5788.5174</v>
      </c>
      <c r="F121" s="18">
        <f>SUMIFS(线上订单!$E:$E,线上订单!$B:$B,美团日报!$C121,线上订单!$D:$D,"美团")</f>
        <v>394.69026548672</v>
      </c>
      <c r="G121" s="59">
        <f t="shared" si="7"/>
        <v>0.0681850356857734</v>
      </c>
      <c r="H121" s="18">
        <f>SUMIFS(线上订单!$F:$F,线上订单!$B:$B,美团日报!$C121,线上订单!$D:$D,"美团")</f>
        <v>12</v>
      </c>
      <c r="I121" s="18">
        <f>SUMIFS(线上订单!$F:$F,线上订单!$B:$B,美团日报!$C121,线上订单!$D:$D,"美团")</f>
        <v>12</v>
      </c>
      <c r="J121" s="18">
        <f t="shared" si="8"/>
        <v>32.8908554572267</v>
      </c>
      <c r="K121" s="18" t="e">
        <f t="shared" si="9"/>
        <v>#REF!</v>
      </c>
      <c r="L121" s="59" t="e">
        <f>SUMIFS(#REF!,#REF!,美团日报!$C121,#REF!,"美团")</f>
        <v>#REF!</v>
      </c>
      <c r="M121" s="18"/>
      <c r="N121" s="18"/>
      <c r="O121" s="18" t="e">
        <f t="shared" si="10"/>
        <v>#REF!</v>
      </c>
      <c r="P121" s="59" t="e">
        <f>SUMIFS(#REF!,#REF!,美团日报!$C121,#REF!,"美团")</f>
        <v>#REF!</v>
      </c>
      <c r="Q121" s="18"/>
      <c r="R121" s="18"/>
      <c r="S121" s="18" t="e">
        <f t="shared" si="11"/>
        <v>#REF!</v>
      </c>
      <c r="T121" s="59" t="e">
        <f>SUMIFS(#REF!,#REF!,美团日报!$C121,#REF!,"美团")</f>
        <v>#REF!</v>
      </c>
      <c r="U121" s="18" t="e">
        <f t="shared" si="12"/>
        <v>#REF!</v>
      </c>
      <c r="V121" s="59" t="e">
        <f>SUMIFS(#REF!,#REF!,美团日报!$C121,#REF!,"美团")</f>
        <v>#REF!</v>
      </c>
      <c r="W121" s="16" t="s">
        <v>19</v>
      </c>
    </row>
    <row r="122" ht="14.4" spans="1:23">
      <c r="A122" s="16" t="s">
        <v>63</v>
      </c>
      <c r="B122" s="16" t="s">
        <v>152</v>
      </c>
      <c r="C122" s="16">
        <v>1133</v>
      </c>
      <c r="D122" s="16" t="s">
        <v>318</v>
      </c>
      <c r="E122" s="58">
        <f>_xlfn.IFNA(VLOOKUP(C:C,线上线下销售!B:D,3,0),0)</f>
        <v>4404.1353</v>
      </c>
      <c r="F122" s="18">
        <f>SUMIFS(线上订单!$E:$E,线上订单!$B:$B,美团日报!$C122,线上订单!$D:$D,"美团")</f>
        <v>158.14159292035</v>
      </c>
      <c r="G122" s="59">
        <f t="shared" si="7"/>
        <v>0.035907523758489</v>
      </c>
      <c r="H122" s="18">
        <f>SUMIFS(线上订单!$F:$F,线上订单!$B:$B,美团日报!$C122,线上订单!$D:$D,"美团")</f>
        <v>5</v>
      </c>
      <c r="I122" s="18">
        <f>SUMIFS(线上订单!$F:$F,线上订单!$B:$B,美团日报!$C122,线上订单!$D:$D,"美团")</f>
        <v>5</v>
      </c>
      <c r="J122" s="18">
        <f t="shared" si="8"/>
        <v>31.62831858407</v>
      </c>
      <c r="K122" s="18" t="e">
        <f t="shared" si="9"/>
        <v>#REF!</v>
      </c>
      <c r="L122" s="59" t="e">
        <f>SUMIFS(#REF!,#REF!,美团日报!$C122,#REF!,"美团")</f>
        <v>#REF!</v>
      </c>
      <c r="M122" s="18"/>
      <c r="N122" s="18"/>
      <c r="O122" s="18" t="e">
        <f t="shared" si="10"/>
        <v>#REF!</v>
      </c>
      <c r="P122" s="59" t="e">
        <f>SUMIFS(#REF!,#REF!,美团日报!$C122,#REF!,"美团")</f>
        <v>#REF!</v>
      </c>
      <c r="Q122" s="18"/>
      <c r="R122" s="18"/>
      <c r="S122" s="18" t="e">
        <f t="shared" si="11"/>
        <v>#REF!</v>
      </c>
      <c r="T122" s="59" t="e">
        <f>SUMIFS(#REF!,#REF!,美团日报!$C122,#REF!,"美团")</f>
        <v>#REF!</v>
      </c>
      <c r="U122" s="18" t="e">
        <f t="shared" si="12"/>
        <v>#REF!</v>
      </c>
      <c r="V122" s="59" t="e">
        <f>SUMIFS(#REF!,#REF!,美团日报!$C122,#REF!,"美团")</f>
        <v>#REF!</v>
      </c>
      <c r="W122" s="16" t="s">
        <v>19</v>
      </c>
    </row>
    <row r="123" ht="14.4" spans="1:23">
      <c r="A123" s="16" t="s">
        <v>264</v>
      </c>
      <c r="B123" s="16" t="s">
        <v>261</v>
      </c>
      <c r="C123" s="16">
        <v>1146</v>
      </c>
      <c r="D123" s="16" t="s">
        <v>320</v>
      </c>
      <c r="E123" s="58">
        <f>_xlfn.IFNA(VLOOKUP(C:C,线上线下销售!B:D,3,0),0)</f>
        <v>4663.6757</v>
      </c>
      <c r="F123" s="18">
        <f>SUMIFS(线上订单!$E:$E,线上订单!$B:$B,美团日报!$C123,线上订单!$D:$D,"美团")</f>
        <v>312.31955833398</v>
      </c>
      <c r="G123" s="59">
        <f t="shared" si="7"/>
        <v>0.0669685412161013</v>
      </c>
      <c r="H123" s="18">
        <f>SUMIFS(线上订单!$F:$F,线上订单!$B:$B,美团日报!$C123,线上订单!$D:$D,"美团")</f>
        <v>8</v>
      </c>
      <c r="I123" s="18">
        <f>SUMIFS(线上订单!$F:$F,线上订单!$B:$B,美团日报!$C123,线上订单!$D:$D,"美团")</f>
        <v>8</v>
      </c>
      <c r="J123" s="18">
        <f t="shared" si="8"/>
        <v>39.0399447917475</v>
      </c>
      <c r="K123" s="18" t="e">
        <f t="shared" si="9"/>
        <v>#REF!</v>
      </c>
      <c r="L123" s="59" t="e">
        <f>SUMIFS(#REF!,#REF!,美团日报!$C123,#REF!,"美团")</f>
        <v>#REF!</v>
      </c>
      <c r="M123" s="18"/>
      <c r="N123" s="18"/>
      <c r="O123" s="18" t="e">
        <f t="shared" si="10"/>
        <v>#REF!</v>
      </c>
      <c r="P123" s="59" t="e">
        <f>SUMIFS(#REF!,#REF!,美团日报!$C123,#REF!,"美团")</f>
        <v>#REF!</v>
      </c>
      <c r="Q123" s="18"/>
      <c r="R123" s="18"/>
      <c r="S123" s="18" t="e">
        <f t="shared" si="11"/>
        <v>#REF!</v>
      </c>
      <c r="T123" s="59" t="e">
        <f>SUMIFS(#REF!,#REF!,美团日报!$C123,#REF!,"美团")</f>
        <v>#REF!</v>
      </c>
      <c r="U123" s="18" t="e">
        <f t="shared" si="12"/>
        <v>#REF!</v>
      </c>
      <c r="V123" s="59" t="e">
        <f>SUMIFS(#REF!,#REF!,美团日报!$C123,#REF!,"美团")</f>
        <v>#REF!</v>
      </c>
      <c r="W123" s="16" t="s">
        <v>19</v>
      </c>
    </row>
    <row r="124" ht="14.4" spans="1:23">
      <c r="A124" s="16" t="s">
        <v>264</v>
      </c>
      <c r="B124" s="16" t="s">
        <v>296</v>
      </c>
      <c r="C124" s="16">
        <v>1233</v>
      </c>
      <c r="D124" s="16" t="s">
        <v>322</v>
      </c>
      <c r="E124" s="58">
        <f>_xlfn.IFNA(VLOOKUP(C:C,线上线下销售!B:D,3,0),0)</f>
        <v>20650.5702</v>
      </c>
      <c r="F124" s="18">
        <f>SUMIFS(线上订单!$E:$E,线上订单!$B:$B,美团日报!$C124,线上订单!$D:$D,"美团")</f>
        <v>0</v>
      </c>
      <c r="G124" s="59">
        <f t="shared" si="7"/>
        <v>0</v>
      </c>
      <c r="H124" s="18">
        <f>SUMIFS(线上订单!$F:$F,线上订单!$B:$B,美团日报!$C124,线上订单!$D:$D,"美团")</f>
        <v>0</v>
      </c>
      <c r="I124" s="18">
        <f>SUMIFS(线上订单!$F:$F,线上订单!$B:$B,美团日报!$C124,线上订单!$D:$D,"美团")</f>
        <v>0</v>
      </c>
      <c r="J124" s="18">
        <f t="shared" si="8"/>
        <v>0</v>
      </c>
      <c r="K124" s="18" t="e">
        <f t="shared" si="9"/>
        <v>#REF!</v>
      </c>
      <c r="L124" s="59" t="e">
        <f>SUMIFS(#REF!,#REF!,美团日报!$C124,#REF!,"美团")</f>
        <v>#REF!</v>
      </c>
      <c r="M124" s="18"/>
      <c r="N124" s="18"/>
      <c r="O124" s="18" t="e">
        <f t="shared" si="10"/>
        <v>#REF!</v>
      </c>
      <c r="P124" s="59" t="e">
        <f>SUMIFS(#REF!,#REF!,美团日报!$C124,#REF!,"美团")</f>
        <v>#REF!</v>
      </c>
      <c r="Q124" s="18"/>
      <c r="R124" s="18"/>
      <c r="S124" s="18" t="e">
        <f t="shared" si="11"/>
        <v>#REF!</v>
      </c>
      <c r="T124" s="59" t="e">
        <f>SUMIFS(#REF!,#REF!,美团日报!$C124,#REF!,"美团")</f>
        <v>#REF!</v>
      </c>
      <c r="U124" s="18" t="e">
        <f t="shared" si="12"/>
        <v>#REF!</v>
      </c>
      <c r="V124" s="59" t="e">
        <f>SUMIFS(#REF!,#REF!,美团日报!$C124,#REF!,"美团")</f>
        <v>#REF!</v>
      </c>
      <c r="W124" s="16" t="s">
        <v>19</v>
      </c>
    </row>
    <row r="125" ht="14.4" spans="1:23">
      <c r="A125" s="16" t="s">
        <v>63</v>
      </c>
      <c r="B125" s="16" t="s">
        <v>152</v>
      </c>
      <c r="C125" s="16">
        <v>1278</v>
      </c>
      <c r="D125" s="16" t="s">
        <v>325</v>
      </c>
      <c r="E125" s="58">
        <f>_xlfn.IFNA(VLOOKUP(C:C,线上线下销售!B:D,3,0),0)</f>
        <v>6537.767</v>
      </c>
      <c r="F125" s="18">
        <f>SUMIFS(线上订单!$E:$E,线上订单!$B:$B,美团日报!$C125,线上订单!$D:$D,"美团")</f>
        <v>615.74896484525</v>
      </c>
      <c r="G125" s="59">
        <f t="shared" si="7"/>
        <v>0.0941833755845459</v>
      </c>
      <c r="H125" s="18">
        <f>SUMIFS(线上订单!$F:$F,线上订单!$B:$B,美团日报!$C125,线上订单!$D:$D,"美团")</f>
        <v>16</v>
      </c>
      <c r="I125" s="18">
        <f>SUMIFS(线上订单!$F:$F,线上订单!$B:$B,美团日报!$C125,线上订单!$D:$D,"美团")</f>
        <v>16</v>
      </c>
      <c r="J125" s="18">
        <f t="shared" si="8"/>
        <v>38.4843103028281</v>
      </c>
      <c r="K125" s="18" t="e">
        <f t="shared" si="9"/>
        <v>#REF!</v>
      </c>
      <c r="L125" s="59" t="e">
        <f>SUMIFS(#REF!,#REF!,美团日报!$C125,#REF!,"美团")</f>
        <v>#REF!</v>
      </c>
      <c r="M125" s="18"/>
      <c r="N125" s="18"/>
      <c r="O125" s="18" t="e">
        <f t="shared" si="10"/>
        <v>#REF!</v>
      </c>
      <c r="P125" s="59" t="e">
        <f>SUMIFS(#REF!,#REF!,美团日报!$C125,#REF!,"美团")</f>
        <v>#REF!</v>
      </c>
      <c r="Q125" s="18"/>
      <c r="R125" s="18"/>
      <c r="S125" s="18" t="e">
        <f t="shared" si="11"/>
        <v>#REF!</v>
      </c>
      <c r="T125" s="59" t="e">
        <f>SUMIFS(#REF!,#REF!,美团日报!$C125,#REF!,"美团")</f>
        <v>#REF!</v>
      </c>
      <c r="U125" s="18" t="e">
        <f t="shared" si="12"/>
        <v>#REF!</v>
      </c>
      <c r="V125" s="59" t="e">
        <f>SUMIFS(#REF!,#REF!,美团日报!$C125,#REF!,"美团")</f>
        <v>#REF!</v>
      </c>
      <c r="W125" s="16" t="s">
        <v>19</v>
      </c>
    </row>
    <row r="126" ht="14.4" spans="1:23">
      <c r="A126" s="16" t="s">
        <v>264</v>
      </c>
      <c r="B126" s="16" t="s">
        <v>327</v>
      </c>
      <c r="C126" s="16">
        <v>1280</v>
      </c>
      <c r="D126" s="16" t="s">
        <v>328</v>
      </c>
      <c r="E126" s="58">
        <f>_xlfn.IFNA(VLOOKUP(C:C,线上线下销售!B:D,3,0),0)</f>
        <v>7693.9039</v>
      </c>
      <c r="F126" s="18">
        <f>SUMIFS(线上订单!$E:$E,线上订单!$B:$B,美团日报!$C126,线上订单!$D:$D,"美团")</f>
        <v>108.407079646</v>
      </c>
      <c r="G126" s="59">
        <f t="shared" si="7"/>
        <v>0.0140899965810595</v>
      </c>
      <c r="H126" s="18">
        <f>SUMIFS(线上订单!$F:$F,线上订单!$B:$B,美团日报!$C126,线上订单!$D:$D,"美团")</f>
        <v>2</v>
      </c>
      <c r="I126" s="18">
        <f>SUMIFS(线上订单!$F:$F,线上订单!$B:$B,美团日报!$C126,线上订单!$D:$D,"美团")</f>
        <v>2</v>
      </c>
      <c r="J126" s="18">
        <f t="shared" si="8"/>
        <v>54.203539823</v>
      </c>
      <c r="K126" s="18" t="e">
        <f t="shared" si="9"/>
        <v>#REF!</v>
      </c>
      <c r="L126" s="59" t="e">
        <f>SUMIFS(#REF!,#REF!,美团日报!$C126,#REF!,"美团")</f>
        <v>#REF!</v>
      </c>
      <c r="M126" s="18"/>
      <c r="N126" s="18"/>
      <c r="O126" s="18" t="e">
        <f t="shared" si="10"/>
        <v>#REF!</v>
      </c>
      <c r="P126" s="59" t="e">
        <f>SUMIFS(#REF!,#REF!,美团日报!$C126,#REF!,"美团")</f>
        <v>#REF!</v>
      </c>
      <c r="Q126" s="18"/>
      <c r="R126" s="18"/>
      <c r="S126" s="18" t="e">
        <f t="shared" si="11"/>
        <v>#REF!</v>
      </c>
      <c r="T126" s="59" t="e">
        <f>SUMIFS(#REF!,#REF!,美团日报!$C126,#REF!,"美团")</f>
        <v>#REF!</v>
      </c>
      <c r="U126" s="18" t="e">
        <f t="shared" si="12"/>
        <v>#REF!</v>
      </c>
      <c r="V126" s="59" t="e">
        <f>SUMIFS(#REF!,#REF!,美团日报!$C126,#REF!,"美团")</f>
        <v>#REF!</v>
      </c>
      <c r="W126" s="16" t="s">
        <v>19</v>
      </c>
    </row>
    <row r="127" ht="14.4" spans="1:23">
      <c r="A127" s="16" t="s">
        <v>264</v>
      </c>
      <c r="B127" s="16" t="s">
        <v>304</v>
      </c>
      <c r="C127" s="16">
        <v>1281</v>
      </c>
      <c r="D127" s="16" t="s">
        <v>330</v>
      </c>
      <c r="E127" s="58">
        <f>_xlfn.IFNA(VLOOKUP(C:C,线上线下销售!B:D,3,0),0)</f>
        <v>1958.7437</v>
      </c>
      <c r="F127" s="18">
        <f>SUMIFS(线上订单!$E:$E,线上订单!$B:$B,美团日报!$C127,线上订单!$D:$D,"美团")</f>
        <v>0</v>
      </c>
      <c r="G127" s="59">
        <f t="shared" si="7"/>
        <v>0</v>
      </c>
      <c r="H127" s="18">
        <f>SUMIFS(线上订单!$F:$F,线上订单!$B:$B,美团日报!$C127,线上订单!$D:$D,"美团")</f>
        <v>0</v>
      </c>
      <c r="I127" s="18">
        <f>SUMIFS(线上订单!$F:$F,线上订单!$B:$B,美团日报!$C127,线上订单!$D:$D,"美团")</f>
        <v>0</v>
      </c>
      <c r="J127" s="18">
        <f t="shared" si="8"/>
        <v>0</v>
      </c>
      <c r="K127" s="18" t="e">
        <f t="shared" si="9"/>
        <v>#REF!</v>
      </c>
      <c r="L127" s="59" t="e">
        <f>SUMIFS(#REF!,#REF!,美团日报!$C127,#REF!,"美团")</f>
        <v>#REF!</v>
      </c>
      <c r="M127" s="18"/>
      <c r="N127" s="18"/>
      <c r="O127" s="18" t="e">
        <f t="shared" si="10"/>
        <v>#REF!</v>
      </c>
      <c r="P127" s="59" t="e">
        <f>SUMIFS(#REF!,#REF!,美团日报!$C127,#REF!,"美团")</f>
        <v>#REF!</v>
      </c>
      <c r="Q127" s="18"/>
      <c r="R127" s="18"/>
      <c r="S127" s="18" t="e">
        <f t="shared" si="11"/>
        <v>#REF!</v>
      </c>
      <c r="T127" s="59" t="e">
        <f>SUMIFS(#REF!,#REF!,美团日报!$C127,#REF!,"美团")</f>
        <v>#REF!</v>
      </c>
      <c r="U127" s="18" t="e">
        <f t="shared" si="12"/>
        <v>#REF!</v>
      </c>
      <c r="V127" s="59" t="e">
        <f>SUMIFS(#REF!,#REF!,美团日报!$C127,#REF!,"美团")</f>
        <v>#REF!</v>
      </c>
      <c r="W127" s="16" t="s">
        <v>19</v>
      </c>
    </row>
    <row r="128" ht="14.4" spans="1:23">
      <c r="A128" s="16" t="s">
        <v>264</v>
      </c>
      <c r="B128" s="16" t="s">
        <v>304</v>
      </c>
      <c r="C128" s="16">
        <v>1282</v>
      </c>
      <c r="D128" s="16" t="s">
        <v>332</v>
      </c>
      <c r="E128" s="58">
        <f>_xlfn.IFNA(VLOOKUP(C:C,线上线下销售!B:D,3,0),0)</f>
        <v>2624.6613</v>
      </c>
      <c r="F128" s="18">
        <f>SUMIFS(线上订单!$E:$E,线上订单!$B:$B,美团日报!$C128,线上订单!$D:$D,"美团")</f>
        <v>0</v>
      </c>
      <c r="G128" s="59">
        <f t="shared" si="7"/>
        <v>0</v>
      </c>
      <c r="H128" s="18">
        <f>SUMIFS(线上订单!$F:$F,线上订单!$B:$B,美团日报!$C128,线上订单!$D:$D,"美团")</f>
        <v>0</v>
      </c>
      <c r="I128" s="18">
        <f>SUMIFS(线上订单!$F:$F,线上订单!$B:$B,美团日报!$C128,线上订单!$D:$D,"美团")</f>
        <v>0</v>
      </c>
      <c r="J128" s="18">
        <f t="shared" si="8"/>
        <v>0</v>
      </c>
      <c r="K128" s="18" t="e">
        <f t="shared" si="9"/>
        <v>#REF!</v>
      </c>
      <c r="L128" s="59" t="e">
        <f>SUMIFS(#REF!,#REF!,美团日报!$C128,#REF!,"美团")</f>
        <v>#REF!</v>
      </c>
      <c r="M128" s="18"/>
      <c r="N128" s="18"/>
      <c r="O128" s="18" t="e">
        <f t="shared" si="10"/>
        <v>#REF!</v>
      </c>
      <c r="P128" s="59" t="e">
        <f>SUMIFS(#REF!,#REF!,美团日报!$C128,#REF!,"美团")</f>
        <v>#REF!</v>
      </c>
      <c r="Q128" s="18"/>
      <c r="R128" s="18"/>
      <c r="S128" s="18" t="e">
        <f t="shared" si="11"/>
        <v>#REF!</v>
      </c>
      <c r="T128" s="59" t="e">
        <f>SUMIFS(#REF!,#REF!,美团日报!$C128,#REF!,"美团")</f>
        <v>#REF!</v>
      </c>
      <c r="U128" s="18" t="e">
        <f t="shared" si="12"/>
        <v>#REF!</v>
      </c>
      <c r="V128" s="59" t="e">
        <f>SUMIFS(#REF!,#REF!,美团日报!$C128,#REF!,"美团")</f>
        <v>#REF!</v>
      </c>
      <c r="W128" s="16" t="s">
        <v>19</v>
      </c>
    </row>
    <row r="129" ht="14.4" spans="1:23">
      <c r="A129" s="16" t="s">
        <v>264</v>
      </c>
      <c r="B129" s="16" t="s">
        <v>327</v>
      </c>
      <c r="C129" s="16">
        <v>1293</v>
      </c>
      <c r="D129" s="16" t="s">
        <v>334</v>
      </c>
      <c r="E129" s="58">
        <f>_xlfn.IFNA(VLOOKUP(C:C,线上线下销售!B:D,3,0),0)</f>
        <v>3240.6656</v>
      </c>
      <c r="F129" s="18">
        <f>SUMIFS(线上订单!$E:$E,线上订单!$B:$B,美团日报!$C129,线上订单!$D:$D,"美团")</f>
        <v>25.22123893805</v>
      </c>
      <c r="G129" s="59">
        <f t="shared" si="7"/>
        <v>0.00778273418215381</v>
      </c>
      <c r="H129" s="18">
        <f>SUMIFS(线上订单!$F:$F,线上订单!$B:$B,美团日报!$C129,线上订单!$D:$D,"美团")</f>
        <v>1</v>
      </c>
      <c r="I129" s="18">
        <f>SUMIFS(线上订单!$F:$F,线上订单!$B:$B,美团日报!$C129,线上订单!$D:$D,"美团")</f>
        <v>1</v>
      </c>
      <c r="J129" s="18">
        <f t="shared" si="8"/>
        <v>25.22123893805</v>
      </c>
      <c r="K129" s="18" t="e">
        <f t="shared" si="9"/>
        <v>#REF!</v>
      </c>
      <c r="L129" s="59" t="e">
        <f>SUMIFS(#REF!,#REF!,美团日报!$C129,#REF!,"美团")</f>
        <v>#REF!</v>
      </c>
      <c r="M129" s="18"/>
      <c r="N129" s="18"/>
      <c r="O129" s="18" t="e">
        <f t="shared" si="10"/>
        <v>#REF!</v>
      </c>
      <c r="P129" s="59" t="e">
        <f>SUMIFS(#REF!,#REF!,美团日报!$C129,#REF!,"美团")</f>
        <v>#REF!</v>
      </c>
      <c r="Q129" s="18"/>
      <c r="R129" s="18"/>
      <c r="S129" s="18" t="e">
        <f t="shared" si="11"/>
        <v>#REF!</v>
      </c>
      <c r="T129" s="59" t="e">
        <f>SUMIFS(#REF!,#REF!,美团日报!$C129,#REF!,"美团")</f>
        <v>#REF!</v>
      </c>
      <c r="U129" s="18" t="e">
        <f t="shared" si="12"/>
        <v>#REF!</v>
      </c>
      <c r="V129" s="59" t="e">
        <f>SUMIFS(#REF!,#REF!,美团日报!$C129,#REF!,"美团")</f>
        <v>#REF!</v>
      </c>
      <c r="W129" s="16" t="s">
        <v>19</v>
      </c>
    </row>
    <row r="130" ht="14.4" spans="1:23">
      <c r="A130" s="16" t="s">
        <v>264</v>
      </c>
      <c r="B130" s="16" t="s">
        <v>304</v>
      </c>
      <c r="C130" s="16">
        <v>1294</v>
      </c>
      <c r="D130" s="16" t="s">
        <v>336</v>
      </c>
      <c r="E130" s="58">
        <f>_xlfn.IFNA(VLOOKUP(C:C,线上线下销售!B:D,3,0),0)</f>
        <v>5423.0795</v>
      </c>
      <c r="F130" s="18">
        <f>SUMIFS(线上订单!$E:$E,线上订单!$B:$B,美团日报!$C130,线上订单!$D:$D,"美团")</f>
        <v>159.73451327435</v>
      </c>
      <c r="G130" s="59">
        <f t="shared" si="7"/>
        <v>0.0294545771040882</v>
      </c>
      <c r="H130" s="18">
        <f>SUMIFS(线上订单!$F:$F,线上订单!$B:$B,美团日报!$C130,线上订单!$D:$D,"美团")</f>
        <v>2</v>
      </c>
      <c r="I130" s="18">
        <f>SUMIFS(线上订单!$F:$F,线上订单!$B:$B,美团日报!$C130,线上订单!$D:$D,"美团")</f>
        <v>2</v>
      </c>
      <c r="J130" s="18">
        <f t="shared" si="8"/>
        <v>79.867256637175</v>
      </c>
      <c r="K130" s="18" t="e">
        <f t="shared" si="9"/>
        <v>#REF!</v>
      </c>
      <c r="L130" s="59" t="e">
        <f>SUMIFS(#REF!,#REF!,美团日报!$C130,#REF!,"美团")</f>
        <v>#REF!</v>
      </c>
      <c r="M130" s="18"/>
      <c r="N130" s="18"/>
      <c r="O130" s="18" t="e">
        <f t="shared" si="10"/>
        <v>#REF!</v>
      </c>
      <c r="P130" s="59" t="e">
        <f>SUMIFS(#REF!,#REF!,美团日报!$C130,#REF!,"美团")</f>
        <v>#REF!</v>
      </c>
      <c r="Q130" s="18"/>
      <c r="R130" s="18"/>
      <c r="S130" s="18" t="e">
        <f t="shared" si="11"/>
        <v>#REF!</v>
      </c>
      <c r="T130" s="59" t="e">
        <f>SUMIFS(#REF!,#REF!,美团日报!$C130,#REF!,"美团")</f>
        <v>#REF!</v>
      </c>
      <c r="U130" s="18" t="e">
        <f t="shared" si="12"/>
        <v>#REF!</v>
      </c>
      <c r="V130" s="59" t="e">
        <f>SUMIFS(#REF!,#REF!,美团日报!$C130,#REF!,"美团")</f>
        <v>#REF!</v>
      </c>
      <c r="W130" s="16" t="s">
        <v>19</v>
      </c>
    </row>
    <row r="131" ht="14.4" spans="1:23">
      <c r="A131" s="16" t="s">
        <v>264</v>
      </c>
      <c r="B131" s="16" t="s">
        <v>576</v>
      </c>
      <c r="C131" s="16">
        <v>1295</v>
      </c>
      <c r="D131" s="16" t="s">
        <v>338</v>
      </c>
      <c r="E131" s="58">
        <f>_xlfn.IFNA(VLOOKUP(C:C,线上线下销售!B:D,3,0),0)</f>
        <v>2043.8197</v>
      </c>
      <c r="F131" s="18">
        <f>SUMIFS(线上订单!$E:$E,线上订单!$B:$B,美团日报!$C131,线上订单!$D:$D,"美团")</f>
        <v>276.15084842091</v>
      </c>
      <c r="G131" s="59">
        <f t="shared" ref="G131:G194" si="13">IFERROR(F131/E131,0)</f>
        <v>0.135115073223391</v>
      </c>
      <c r="H131" s="18">
        <f>SUMIFS(线上订单!$F:$F,线上订单!$B:$B,美团日报!$C131,线上订单!$D:$D,"美团")</f>
        <v>6</v>
      </c>
      <c r="I131" s="18">
        <f>SUMIFS(线上订单!$F:$F,线上订单!$B:$B,美团日报!$C131,线上订单!$D:$D,"美团")</f>
        <v>6</v>
      </c>
      <c r="J131" s="18">
        <f t="shared" ref="J131:J194" si="14">IFERROR(F131/I131,0)</f>
        <v>46.025141403485</v>
      </c>
      <c r="K131" s="18" t="e">
        <f t="shared" ref="K131:K194" si="15">H131*L131</f>
        <v>#REF!</v>
      </c>
      <c r="L131" s="59" t="e">
        <f>SUMIFS(#REF!,#REF!,美团日报!$C131,#REF!,"美团")</f>
        <v>#REF!</v>
      </c>
      <c r="M131" s="18"/>
      <c r="N131" s="18"/>
      <c r="O131" s="18" t="e">
        <f t="shared" ref="O131:O194" si="16">H131*(1-P131)</f>
        <v>#REF!</v>
      </c>
      <c r="P131" s="59" t="e">
        <f>SUMIFS(#REF!,#REF!,美团日报!$C131,#REF!,"美团")</f>
        <v>#REF!</v>
      </c>
      <c r="Q131" s="18"/>
      <c r="R131" s="18"/>
      <c r="S131" s="18" t="e">
        <f t="shared" ref="S131:S194" si="17">H131*T131</f>
        <v>#REF!</v>
      </c>
      <c r="T131" s="59" t="e">
        <f>SUMIFS(#REF!,#REF!,美团日报!$C131,#REF!,"美团")</f>
        <v>#REF!</v>
      </c>
      <c r="U131" s="18" t="e">
        <f t="shared" ref="U131:U194" si="18">H131*V131</f>
        <v>#REF!</v>
      </c>
      <c r="V131" s="59" t="e">
        <f>SUMIFS(#REF!,#REF!,美团日报!$C131,#REF!,"美团")</f>
        <v>#REF!</v>
      </c>
      <c r="W131" s="16" t="s">
        <v>19</v>
      </c>
    </row>
    <row r="132" ht="14.4" spans="1:23">
      <c r="A132" s="16" t="s">
        <v>56</v>
      </c>
      <c r="B132" s="16" t="s">
        <v>573</v>
      </c>
      <c r="C132" s="16">
        <v>1299</v>
      </c>
      <c r="D132" s="16" t="s">
        <v>340</v>
      </c>
      <c r="E132" s="58">
        <f>_xlfn.IFNA(VLOOKUP(C:C,线上线下销售!B:D,3,0),0)</f>
        <v>6651.875</v>
      </c>
      <c r="F132" s="18">
        <f>SUMIFS(线上订单!$E:$E,线上订单!$B:$B,美团日报!$C132,线上订单!$D:$D,"美团")</f>
        <v>1770.05123000734</v>
      </c>
      <c r="G132" s="59">
        <f t="shared" si="13"/>
        <v>0.266098089637484</v>
      </c>
      <c r="H132" s="18">
        <f>SUMIFS(线上订单!$F:$F,线上订单!$B:$B,美团日报!$C132,线上订单!$D:$D,"美团")</f>
        <v>39</v>
      </c>
      <c r="I132" s="18">
        <f>SUMIFS(线上订单!$F:$F,线上订单!$B:$B,美团日报!$C132,线上订单!$D:$D,"美团")</f>
        <v>39</v>
      </c>
      <c r="J132" s="18">
        <f t="shared" si="14"/>
        <v>45.3859289745472</v>
      </c>
      <c r="K132" s="18" t="e">
        <f t="shared" si="15"/>
        <v>#REF!</v>
      </c>
      <c r="L132" s="59" t="e">
        <f>SUMIFS(#REF!,#REF!,美团日报!$C132,#REF!,"美团")</f>
        <v>#REF!</v>
      </c>
      <c r="M132" s="18"/>
      <c r="N132" s="18"/>
      <c r="O132" s="18" t="e">
        <f t="shared" si="16"/>
        <v>#REF!</v>
      </c>
      <c r="P132" s="59" t="e">
        <f>SUMIFS(#REF!,#REF!,美团日报!$C132,#REF!,"美团")</f>
        <v>#REF!</v>
      </c>
      <c r="Q132" s="18"/>
      <c r="R132" s="18"/>
      <c r="S132" s="18" t="e">
        <f t="shared" si="17"/>
        <v>#REF!</v>
      </c>
      <c r="T132" s="59" t="e">
        <f>SUMIFS(#REF!,#REF!,美团日报!$C132,#REF!,"美团")</f>
        <v>#REF!</v>
      </c>
      <c r="U132" s="18" t="e">
        <f t="shared" si="18"/>
        <v>#REF!</v>
      </c>
      <c r="V132" s="59" t="e">
        <f>SUMIFS(#REF!,#REF!,美团日报!$C132,#REF!,"美团")</f>
        <v>#REF!</v>
      </c>
      <c r="W132" s="16" t="s">
        <v>19</v>
      </c>
    </row>
    <row r="133" ht="14.4" spans="1:23">
      <c r="A133" s="16" t="s">
        <v>264</v>
      </c>
      <c r="B133" s="16" t="s">
        <v>264</v>
      </c>
      <c r="C133" s="16">
        <v>1362</v>
      </c>
      <c r="D133" s="16" t="s">
        <v>342</v>
      </c>
      <c r="E133" s="58">
        <f>_xlfn.IFNA(VLOOKUP(C:C,线上线下销售!B:D,3,0),0)</f>
        <v>42322.7696</v>
      </c>
      <c r="F133" s="18">
        <f>SUMIFS(线上订单!$E:$E,线上订单!$B:$B,美团日报!$C133,线上订单!$D:$D,"美团")</f>
        <v>0</v>
      </c>
      <c r="G133" s="59">
        <f t="shared" si="13"/>
        <v>0</v>
      </c>
      <c r="H133" s="18">
        <f>SUMIFS(线上订单!$F:$F,线上订单!$B:$B,美团日报!$C133,线上订单!$D:$D,"美团")</f>
        <v>0</v>
      </c>
      <c r="I133" s="18">
        <f>SUMIFS(线上订单!$F:$F,线上订单!$B:$B,美团日报!$C133,线上订单!$D:$D,"美团")</f>
        <v>0</v>
      </c>
      <c r="J133" s="18">
        <f t="shared" si="14"/>
        <v>0</v>
      </c>
      <c r="K133" s="18" t="e">
        <f t="shared" si="15"/>
        <v>#REF!</v>
      </c>
      <c r="L133" s="59" t="e">
        <f>SUMIFS(#REF!,#REF!,美团日报!$C133,#REF!,"美团")</f>
        <v>#REF!</v>
      </c>
      <c r="M133" s="18"/>
      <c r="N133" s="18"/>
      <c r="O133" s="18" t="e">
        <f t="shared" si="16"/>
        <v>#REF!</v>
      </c>
      <c r="P133" s="59" t="e">
        <f>SUMIFS(#REF!,#REF!,美团日报!$C133,#REF!,"美团")</f>
        <v>#REF!</v>
      </c>
      <c r="Q133" s="18"/>
      <c r="R133" s="18"/>
      <c r="S133" s="18" t="e">
        <f t="shared" si="17"/>
        <v>#REF!</v>
      </c>
      <c r="T133" s="59" t="e">
        <f>SUMIFS(#REF!,#REF!,美团日报!$C133,#REF!,"美团")</f>
        <v>#REF!</v>
      </c>
      <c r="U133" s="18" t="e">
        <f t="shared" si="18"/>
        <v>#REF!</v>
      </c>
      <c r="V133" s="59" t="e">
        <f>SUMIFS(#REF!,#REF!,美团日报!$C133,#REF!,"美团")</f>
        <v>#REF!</v>
      </c>
      <c r="W133" s="16" t="s">
        <v>19</v>
      </c>
    </row>
    <row r="134" ht="14.4" spans="1:23">
      <c r="A134" s="16" t="s">
        <v>63</v>
      </c>
      <c r="B134" s="16" t="s">
        <v>152</v>
      </c>
      <c r="C134" s="16">
        <v>1366</v>
      </c>
      <c r="D134" s="16" t="s">
        <v>344</v>
      </c>
      <c r="E134" s="58">
        <f>_xlfn.IFNA(VLOOKUP(C:C,线上线下销售!B:D,3,0),0)</f>
        <v>8115.6428</v>
      </c>
      <c r="F134" s="18">
        <f>SUMIFS(线上订单!$E:$E,线上订单!$B:$B,美团日报!$C134,线上订单!$D:$D,"美团")</f>
        <v>2065.3089226271</v>
      </c>
      <c r="G134" s="59">
        <f t="shared" si="13"/>
        <v>0.254484946359036</v>
      </c>
      <c r="H134" s="18">
        <f>SUMIFS(线上订单!$F:$F,线上订单!$B:$B,美团日报!$C134,线上订单!$D:$D,"美团")</f>
        <v>44</v>
      </c>
      <c r="I134" s="18">
        <f>SUMIFS(线上订单!$F:$F,线上订单!$B:$B,美团日报!$C134,线上订单!$D:$D,"美团")</f>
        <v>44</v>
      </c>
      <c r="J134" s="18">
        <f t="shared" si="14"/>
        <v>46.9388391506159</v>
      </c>
      <c r="K134" s="18" t="e">
        <f t="shared" si="15"/>
        <v>#REF!</v>
      </c>
      <c r="L134" s="59" t="e">
        <f>SUMIFS(#REF!,#REF!,美团日报!$C134,#REF!,"美团")</f>
        <v>#REF!</v>
      </c>
      <c r="M134" s="18"/>
      <c r="N134" s="18"/>
      <c r="O134" s="18" t="e">
        <f t="shared" si="16"/>
        <v>#REF!</v>
      </c>
      <c r="P134" s="59" t="e">
        <f>SUMIFS(#REF!,#REF!,美团日报!$C134,#REF!,"美团")</f>
        <v>#REF!</v>
      </c>
      <c r="Q134" s="18"/>
      <c r="R134" s="18"/>
      <c r="S134" s="18" t="e">
        <f t="shared" si="17"/>
        <v>#REF!</v>
      </c>
      <c r="T134" s="59" t="e">
        <f>SUMIFS(#REF!,#REF!,美团日报!$C134,#REF!,"美团")</f>
        <v>#REF!</v>
      </c>
      <c r="U134" s="18" t="e">
        <f t="shared" si="18"/>
        <v>#REF!</v>
      </c>
      <c r="V134" s="59" t="e">
        <f>SUMIFS(#REF!,#REF!,美团日报!$C134,#REF!,"美团")</f>
        <v>#REF!</v>
      </c>
      <c r="W134" s="16" t="s">
        <v>19</v>
      </c>
    </row>
    <row r="135" ht="14.4" spans="1:23">
      <c r="A135" s="16" t="s">
        <v>63</v>
      </c>
      <c r="B135" s="16" t="s">
        <v>168</v>
      </c>
      <c r="C135" s="16">
        <v>1369</v>
      </c>
      <c r="D135" s="16" t="s">
        <v>346</v>
      </c>
      <c r="E135" s="58">
        <f>_xlfn.IFNA(VLOOKUP(C:C,线上线下销售!B:D,3,0),0)</f>
        <v>4210.5011</v>
      </c>
      <c r="F135" s="18">
        <f>SUMIFS(线上订单!$E:$E,线上订单!$B:$B,美团日报!$C135,线上订单!$D:$D,"美团")</f>
        <v>54.74303807745</v>
      </c>
      <c r="G135" s="59">
        <f t="shared" si="13"/>
        <v>0.0130015494064234</v>
      </c>
      <c r="H135" s="18">
        <f>SUMIFS(线上订单!$F:$F,线上订单!$B:$B,美团日报!$C135,线上订单!$D:$D,"美团")</f>
        <v>2</v>
      </c>
      <c r="I135" s="18">
        <f>SUMIFS(线上订单!$F:$F,线上订单!$B:$B,美团日报!$C135,线上订单!$D:$D,"美团")</f>
        <v>2</v>
      </c>
      <c r="J135" s="18">
        <f t="shared" si="14"/>
        <v>27.371519038725</v>
      </c>
      <c r="K135" s="18" t="e">
        <f t="shared" si="15"/>
        <v>#REF!</v>
      </c>
      <c r="L135" s="59" t="e">
        <f>SUMIFS(#REF!,#REF!,美团日报!$C135,#REF!,"美团")</f>
        <v>#REF!</v>
      </c>
      <c r="M135" s="18"/>
      <c r="N135" s="18"/>
      <c r="O135" s="18" t="e">
        <f t="shared" si="16"/>
        <v>#REF!</v>
      </c>
      <c r="P135" s="59" t="e">
        <f>SUMIFS(#REF!,#REF!,美团日报!$C135,#REF!,"美团")</f>
        <v>#REF!</v>
      </c>
      <c r="Q135" s="18"/>
      <c r="R135" s="18"/>
      <c r="S135" s="18" t="e">
        <f t="shared" si="17"/>
        <v>#REF!</v>
      </c>
      <c r="T135" s="59" t="e">
        <f>SUMIFS(#REF!,#REF!,美团日报!$C135,#REF!,"美团")</f>
        <v>#REF!</v>
      </c>
      <c r="U135" s="18" t="e">
        <f t="shared" si="18"/>
        <v>#REF!</v>
      </c>
      <c r="V135" s="59" t="e">
        <f>SUMIFS(#REF!,#REF!,美团日报!$C135,#REF!,"美团")</f>
        <v>#REF!</v>
      </c>
      <c r="W135" s="16" t="s">
        <v>19</v>
      </c>
    </row>
    <row r="136" ht="14.4" spans="1:23">
      <c r="A136" s="16" t="s">
        <v>264</v>
      </c>
      <c r="B136" s="16" t="s">
        <v>401</v>
      </c>
      <c r="C136" s="16">
        <v>1376</v>
      </c>
      <c r="D136" s="16" t="s">
        <v>348</v>
      </c>
      <c r="E136" s="58">
        <f>_xlfn.IFNA(VLOOKUP(C:C,线上线下销售!B:D,3,0),0)</f>
        <v>4458.686</v>
      </c>
      <c r="F136" s="18">
        <f>SUMIFS(线上订单!$E:$E,线上订单!$B:$B,美团日报!$C136,线上订单!$D:$D,"美团")</f>
        <v>0</v>
      </c>
      <c r="G136" s="59">
        <f t="shared" si="13"/>
        <v>0</v>
      </c>
      <c r="H136" s="18">
        <f>SUMIFS(线上订单!$F:$F,线上订单!$B:$B,美团日报!$C136,线上订单!$D:$D,"美团")</f>
        <v>0</v>
      </c>
      <c r="I136" s="18">
        <f>SUMIFS(线上订单!$F:$F,线上订单!$B:$B,美团日报!$C136,线上订单!$D:$D,"美团")</f>
        <v>0</v>
      </c>
      <c r="J136" s="18">
        <f t="shared" si="14"/>
        <v>0</v>
      </c>
      <c r="K136" s="18" t="e">
        <f t="shared" si="15"/>
        <v>#REF!</v>
      </c>
      <c r="L136" s="59" t="e">
        <f>SUMIFS(#REF!,#REF!,美团日报!$C136,#REF!,"美团")</f>
        <v>#REF!</v>
      </c>
      <c r="M136" s="18"/>
      <c r="N136" s="18"/>
      <c r="O136" s="18" t="e">
        <f t="shared" si="16"/>
        <v>#REF!</v>
      </c>
      <c r="P136" s="59" t="e">
        <f>SUMIFS(#REF!,#REF!,美团日报!$C136,#REF!,"美团")</f>
        <v>#REF!</v>
      </c>
      <c r="Q136" s="18"/>
      <c r="R136" s="18"/>
      <c r="S136" s="18" t="e">
        <f t="shared" si="17"/>
        <v>#REF!</v>
      </c>
      <c r="T136" s="59" t="e">
        <f>SUMIFS(#REF!,#REF!,美团日报!$C136,#REF!,"美团")</f>
        <v>#REF!</v>
      </c>
      <c r="U136" s="18" t="e">
        <f t="shared" si="18"/>
        <v>#REF!</v>
      </c>
      <c r="V136" s="59" t="e">
        <f>SUMIFS(#REF!,#REF!,美团日报!$C136,#REF!,"美团")</f>
        <v>#REF!</v>
      </c>
      <c r="W136" s="16" t="s">
        <v>19</v>
      </c>
    </row>
    <row r="137" ht="14.4" spans="1:23">
      <c r="A137" s="16" t="s">
        <v>264</v>
      </c>
      <c r="B137" s="16" t="s">
        <v>350</v>
      </c>
      <c r="C137" s="16">
        <v>1380</v>
      </c>
      <c r="D137" s="16" t="s">
        <v>351</v>
      </c>
      <c r="E137" s="58">
        <f>_xlfn.IFNA(VLOOKUP(C:C,线上线下销售!B:D,3,0),0)</f>
        <v>8888.8084</v>
      </c>
      <c r="F137" s="18">
        <f>SUMIFS(线上订单!$E:$E,线上订单!$B:$B,美团日报!$C137,线上订单!$D:$D,"美团")</f>
        <v>1249.63302752291</v>
      </c>
      <c r="G137" s="59">
        <f t="shared" si="13"/>
        <v>0.140584988593399</v>
      </c>
      <c r="H137" s="18">
        <f>SUMIFS(线上订单!$F:$F,线上订单!$B:$B,美团日报!$C137,线上订单!$D:$D,"美团")</f>
        <v>29</v>
      </c>
      <c r="I137" s="18">
        <f>SUMIFS(线上订单!$F:$F,线上订单!$B:$B,美团日报!$C137,线上订单!$D:$D,"美团")</f>
        <v>29</v>
      </c>
      <c r="J137" s="18">
        <f t="shared" si="14"/>
        <v>43.0907940525141</v>
      </c>
      <c r="K137" s="18" t="e">
        <f t="shared" si="15"/>
        <v>#REF!</v>
      </c>
      <c r="L137" s="59" t="e">
        <f>SUMIFS(#REF!,#REF!,美团日报!$C137,#REF!,"美团")</f>
        <v>#REF!</v>
      </c>
      <c r="M137" s="18"/>
      <c r="N137" s="18"/>
      <c r="O137" s="18" t="e">
        <f t="shared" si="16"/>
        <v>#REF!</v>
      </c>
      <c r="P137" s="59" t="e">
        <f>SUMIFS(#REF!,#REF!,美团日报!$C137,#REF!,"美团")</f>
        <v>#REF!</v>
      </c>
      <c r="Q137" s="18"/>
      <c r="R137" s="18"/>
      <c r="S137" s="18" t="e">
        <f t="shared" si="17"/>
        <v>#REF!</v>
      </c>
      <c r="T137" s="59" t="e">
        <f>SUMIFS(#REF!,#REF!,美团日报!$C137,#REF!,"美团")</f>
        <v>#REF!</v>
      </c>
      <c r="U137" s="18" t="e">
        <f t="shared" si="18"/>
        <v>#REF!</v>
      </c>
      <c r="V137" s="59" t="e">
        <f>SUMIFS(#REF!,#REF!,美团日报!$C137,#REF!,"美团")</f>
        <v>#REF!</v>
      </c>
      <c r="W137" s="16" t="s">
        <v>19</v>
      </c>
    </row>
    <row r="138" ht="14.4" spans="1:23">
      <c r="A138" s="16" t="s">
        <v>56</v>
      </c>
      <c r="B138" s="16" t="s">
        <v>52</v>
      </c>
      <c r="C138" s="16">
        <v>1386</v>
      </c>
      <c r="D138" s="16" t="s">
        <v>353</v>
      </c>
      <c r="E138" s="58">
        <f>_xlfn.IFNA(VLOOKUP(C:C,线上线下销售!B:D,3,0),0)</f>
        <v>4051.8608</v>
      </c>
      <c r="F138" s="18">
        <f>SUMIFS(线上订单!$E:$E,线上订单!$B:$B,美团日报!$C138,线上订单!$D:$D,"美团")</f>
        <v>69.64601769911</v>
      </c>
      <c r="G138" s="59">
        <f t="shared" si="13"/>
        <v>0.0171886501380082</v>
      </c>
      <c r="H138" s="18">
        <f>SUMIFS(线上订单!$F:$F,线上订单!$B:$B,美团日报!$C138,线上订单!$D:$D,"美团")</f>
        <v>1</v>
      </c>
      <c r="I138" s="18">
        <f>SUMIFS(线上订单!$F:$F,线上订单!$B:$B,美团日报!$C138,线上订单!$D:$D,"美团")</f>
        <v>1</v>
      </c>
      <c r="J138" s="18">
        <f t="shared" si="14"/>
        <v>69.64601769911</v>
      </c>
      <c r="K138" s="18" t="e">
        <f t="shared" si="15"/>
        <v>#REF!</v>
      </c>
      <c r="L138" s="59" t="e">
        <f>SUMIFS(#REF!,#REF!,美团日报!$C138,#REF!,"美团")</f>
        <v>#REF!</v>
      </c>
      <c r="M138" s="18"/>
      <c r="N138" s="18"/>
      <c r="O138" s="18" t="e">
        <f t="shared" si="16"/>
        <v>#REF!</v>
      </c>
      <c r="P138" s="59" t="e">
        <f>SUMIFS(#REF!,#REF!,美团日报!$C138,#REF!,"美团")</f>
        <v>#REF!</v>
      </c>
      <c r="Q138" s="18"/>
      <c r="R138" s="18"/>
      <c r="S138" s="18" t="e">
        <f t="shared" si="17"/>
        <v>#REF!</v>
      </c>
      <c r="T138" s="59" t="e">
        <f>SUMIFS(#REF!,#REF!,美团日报!$C138,#REF!,"美团")</f>
        <v>#REF!</v>
      </c>
      <c r="U138" s="18" t="e">
        <f t="shared" si="18"/>
        <v>#REF!</v>
      </c>
      <c r="V138" s="59" t="e">
        <f>SUMIFS(#REF!,#REF!,美团日报!$C138,#REF!,"美团")</f>
        <v>#REF!</v>
      </c>
      <c r="W138" s="16" t="s">
        <v>19</v>
      </c>
    </row>
    <row r="139" ht="14.4" spans="1:23">
      <c r="A139" s="16" t="s">
        <v>43</v>
      </c>
      <c r="B139" s="16" t="s">
        <v>38</v>
      </c>
      <c r="C139" s="16">
        <v>1441</v>
      </c>
      <c r="D139" s="16" t="s">
        <v>355</v>
      </c>
      <c r="E139" s="58">
        <f>_xlfn.IFNA(VLOOKUP(C:C,线上线下销售!B:D,3,0),0)</f>
        <v>0</v>
      </c>
      <c r="F139" s="18">
        <f>SUMIFS(线上订单!$E:$E,线上订单!$B:$B,美团日报!$C139,线上订单!$D:$D,"美团")</f>
        <v>0</v>
      </c>
      <c r="G139" s="59">
        <f t="shared" si="13"/>
        <v>0</v>
      </c>
      <c r="H139" s="18">
        <f>SUMIFS(线上订单!$F:$F,线上订单!$B:$B,美团日报!$C139,线上订单!$D:$D,"美团")</f>
        <v>0</v>
      </c>
      <c r="I139" s="18">
        <f>SUMIFS(线上订单!$F:$F,线上订单!$B:$B,美团日报!$C139,线上订单!$D:$D,"美团")</f>
        <v>0</v>
      </c>
      <c r="J139" s="18">
        <f t="shared" si="14"/>
        <v>0</v>
      </c>
      <c r="K139" s="18" t="e">
        <f t="shared" si="15"/>
        <v>#REF!</v>
      </c>
      <c r="L139" s="59" t="e">
        <f>SUMIFS(#REF!,#REF!,美团日报!$C139,#REF!,"美团")</f>
        <v>#REF!</v>
      </c>
      <c r="M139" s="18"/>
      <c r="N139" s="18"/>
      <c r="O139" s="18" t="e">
        <f t="shared" si="16"/>
        <v>#REF!</v>
      </c>
      <c r="P139" s="59" t="e">
        <f>SUMIFS(#REF!,#REF!,美团日报!$C139,#REF!,"美团")</f>
        <v>#REF!</v>
      </c>
      <c r="Q139" s="18"/>
      <c r="R139" s="18"/>
      <c r="S139" s="18" t="e">
        <f t="shared" si="17"/>
        <v>#REF!</v>
      </c>
      <c r="T139" s="59" t="e">
        <f>SUMIFS(#REF!,#REF!,美团日报!$C139,#REF!,"美团")</f>
        <v>#REF!</v>
      </c>
      <c r="U139" s="18" t="e">
        <f t="shared" si="18"/>
        <v>#REF!</v>
      </c>
      <c r="V139" s="59" t="e">
        <f>SUMIFS(#REF!,#REF!,美团日报!$C139,#REF!,"美团")</f>
        <v>#REF!</v>
      </c>
      <c r="W139" s="16" t="s">
        <v>19</v>
      </c>
    </row>
    <row r="140" ht="14.4" spans="1:23">
      <c r="A140" s="16" t="s">
        <v>56</v>
      </c>
      <c r="B140" s="16" t="s">
        <v>573</v>
      </c>
      <c r="C140" s="16">
        <v>1445</v>
      </c>
      <c r="D140" s="16" t="s">
        <v>357</v>
      </c>
      <c r="E140" s="58">
        <f>_xlfn.IFNA(VLOOKUP(C:C,线上线下销售!B:D,3,0),0)</f>
        <v>6229.7127</v>
      </c>
      <c r="F140" s="18">
        <f>SUMIFS(线上订单!$E:$E,线上订单!$B:$B,美团日报!$C140,线上订单!$D:$D,"美团")</f>
        <v>1582.49817325643</v>
      </c>
      <c r="G140" s="59">
        <f t="shared" si="13"/>
        <v>0.254024262347833</v>
      </c>
      <c r="H140" s="18">
        <f>SUMIFS(线上订单!$F:$F,线上订单!$B:$B,美团日报!$C140,线上订单!$D:$D,"美团")</f>
        <v>31</v>
      </c>
      <c r="I140" s="18">
        <f>SUMIFS(线上订单!$F:$F,线上订单!$B:$B,美团日报!$C140,线上订单!$D:$D,"美团")</f>
        <v>31</v>
      </c>
      <c r="J140" s="18">
        <f t="shared" si="14"/>
        <v>51.0483281695623</v>
      </c>
      <c r="K140" s="18" t="e">
        <f t="shared" si="15"/>
        <v>#REF!</v>
      </c>
      <c r="L140" s="59" t="e">
        <f>SUMIFS(#REF!,#REF!,美团日报!$C140,#REF!,"美团")</f>
        <v>#REF!</v>
      </c>
      <c r="M140" s="18"/>
      <c r="N140" s="18"/>
      <c r="O140" s="18" t="e">
        <f t="shared" si="16"/>
        <v>#REF!</v>
      </c>
      <c r="P140" s="59" t="e">
        <f>SUMIFS(#REF!,#REF!,美团日报!$C140,#REF!,"美团")</f>
        <v>#REF!</v>
      </c>
      <c r="Q140" s="18"/>
      <c r="R140" s="18"/>
      <c r="S140" s="18" t="e">
        <f t="shared" si="17"/>
        <v>#REF!</v>
      </c>
      <c r="T140" s="59" t="e">
        <f>SUMIFS(#REF!,#REF!,美团日报!$C140,#REF!,"美团")</f>
        <v>#REF!</v>
      </c>
      <c r="U140" s="18" t="e">
        <f t="shared" si="18"/>
        <v>#REF!</v>
      </c>
      <c r="V140" s="59" t="e">
        <f>SUMIFS(#REF!,#REF!,美团日报!$C140,#REF!,"美团")</f>
        <v>#REF!</v>
      </c>
      <c r="W140" s="16" t="s">
        <v>19</v>
      </c>
    </row>
    <row r="141" ht="14.4" spans="1:23">
      <c r="A141" s="16" t="s">
        <v>264</v>
      </c>
      <c r="B141" s="16" t="s">
        <v>359</v>
      </c>
      <c r="C141" s="16">
        <v>1446</v>
      </c>
      <c r="D141" s="16" t="s">
        <v>360</v>
      </c>
      <c r="E141" s="58">
        <f>_xlfn.IFNA(VLOOKUP(C:C,线上线下销售!B:D,3,0),0)</f>
        <v>8599.4312</v>
      </c>
      <c r="F141" s="18">
        <f>SUMIFS(线上订单!$E:$E,线上订单!$B:$B,美团日报!$C141,线上订单!$D:$D,"美团")</f>
        <v>0</v>
      </c>
      <c r="G141" s="59">
        <f t="shared" si="13"/>
        <v>0</v>
      </c>
      <c r="H141" s="18">
        <f>SUMIFS(线上订单!$F:$F,线上订单!$B:$B,美团日报!$C141,线上订单!$D:$D,"美团")</f>
        <v>0</v>
      </c>
      <c r="I141" s="18">
        <f>SUMIFS(线上订单!$F:$F,线上订单!$B:$B,美团日报!$C141,线上订单!$D:$D,"美团")</f>
        <v>0</v>
      </c>
      <c r="J141" s="18">
        <f t="shared" si="14"/>
        <v>0</v>
      </c>
      <c r="K141" s="18" t="e">
        <f t="shared" si="15"/>
        <v>#REF!</v>
      </c>
      <c r="L141" s="59" t="e">
        <f>SUMIFS(#REF!,#REF!,美团日报!$C141,#REF!,"美团")</f>
        <v>#REF!</v>
      </c>
      <c r="M141" s="18"/>
      <c r="N141" s="18"/>
      <c r="O141" s="18" t="e">
        <f t="shared" si="16"/>
        <v>#REF!</v>
      </c>
      <c r="P141" s="59" t="e">
        <f>SUMIFS(#REF!,#REF!,美团日报!$C141,#REF!,"美团")</f>
        <v>#REF!</v>
      </c>
      <c r="Q141" s="18"/>
      <c r="R141" s="18"/>
      <c r="S141" s="18" t="e">
        <f t="shared" si="17"/>
        <v>#REF!</v>
      </c>
      <c r="T141" s="59" t="e">
        <f>SUMIFS(#REF!,#REF!,美团日报!$C141,#REF!,"美团")</f>
        <v>#REF!</v>
      </c>
      <c r="U141" s="18" t="e">
        <f t="shared" si="18"/>
        <v>#REF!</v>
      </c>
      <c r="V141" s="59" t="e">
        <f>SUMIFS(#REF!,#REF!,美团日报!$C141,#REF!,"美团")</f>
        <v>#REF!</v>
      </c>
      <c r="W141" s="16" t="s">
        <v>19</v>
      </c>
    </row>
    <row r="142" ht="14.4" spans="1:23">
      <c r="A142" s="16" t="s">
        <v>264</v>
      </c>
      <c r="B142" s="16" t="s">
        <v>296</v>
      </c>
      <c r="C142" s="16">
        <v>1460</v>
      </c>
      <c r="D142" s="16" t="s">
        <v>362</v>
      </c>
      <c r="E142" s="58">
        <f>_xlfn.IFNA(VLOOKUP(C:C,线上线下销售!B:D,3,0),0)</f>
        <v>3442.3028</v>
      </c>
      <c r="F142" s="18">
        <f>SUMIFS(线上订单!$E:$E,线上订单!$B:$B,美团日报!$C142,线上订单!$D:$D,"美团")</f>
        <v>0</v>
      </c>
      <c r="G142" s="59">
        <f t="shared" si="13"/>
        <v>0</v>
      </c>
      <c r="H142" s="18">
        <f>SUMIFS(线上订单!$F:$F,线上订单!$B:$B,美团日报!$C142,线上订单!$D:$D,"美团")</f>
        <v>0</v>
      </c>
      <c r="I142" s="18">
        <f>SUMIFS(线上订单!$F:$F,线上订单!$B:$B,美团日报!$C142,线上订单!$D:$D,"美团")</f>
        <v>0</v>
      </c>
      <c r="J142" s="18">
        <f t="shared" si="14"/>
        <v>0</v>
      </c>
      <c r="K142" s="18" t="e">
        <f t="shared" si="15"/>
        <v>#REF!</v>
      </c>
      <c r="L142" s="59" t="e">
        <f>SUMIFS(#REF!,#REF!,美团日报!$C142,#REF!,"美团")</f>
        <v>#REF!</v>
      </c>
      <c r="M142" s="18"/>
      <c r="N142" s="18"/>
      <c r="O142" s="18" t="e">
        <f t="shared" si="16"/>
        <v>#REF!</v>
      </c>
      <c r="P142" s="59" t="e">
        <f>SUMIFS(#REF!,#REF!,美团日报!$C142,#REF!,"美团")</f>
        <v>#REF!</v>
      </c>
      <c r="Q142" s="18"/>
      <c r="R142" s="18"/>
      <c r="S142" s="18" t="e">
        <f t="shared" si="17"/>
        <v>#REF!</v>
      </c>
      <c r="T142" s="59" t="e">
        <f>SUMIFS(#REF!,#REF!,美团日报!$C142,#REF!,"美团")</f>
        <v>#REF!</v>
      </c>
      <c r="U142" s="18" t="e">
        <f t="shared" si="18"/>
        <v>#REF!</v>
      </c>
      <c r="V142" s="59" t="e">
        <f>SUMIFS(#REF!,#REF!,美团日报!$C142,#REF!,"美团")</f>
        <v>#REF!</v>
      </c>
      <c r="W142" s="16" t="s">
        <v>19</v>
      </c>
    </row>
    <row r="143" ht="14.4" spans="1:23">
      <c r="A143" s="16" t="s">
        <v>56</v>
      </c>
      <c r="B143" s="16" t="s">
        <v>52</v>
      </c>
      <c r="C143" s="16">
        <v>1461</v>
      </c>
      <c r="D143" s="16" t="s">
        <v>364</v>
      </c>
      <c r="E143" s="58">
        <f>_xlfn.IFNA(VLOOKUP(C:C,线上线下销售!B:D,3,0),0)</f>
        <v>6043.9715</v>
      </c>
      <c r="F143" s="18">
        <f>SUMIFS(线上订单!$E:$E,线上订单!$B:$B,美团日报!$C143,线上订单!$D:$D,"美团")</f>
        <v>140.19469026547</v>
      </c>
      <c r="G143" s="59">
        <f t="shared" si="13"/>
        <v>0.0231957894350544</v>
      </c>
      <c r="H143" s="18">
        <f>SUMIFS(线上订单!$F:$F,线上订单!$B:$B,美团日报!$C143,线上订单!$D:$D,"美团")</f>
        <v>3</v>
      </c>
      <c r="I143" s="18">
        <f>SUMIFS(线上订单!$F:$F,线上订单!$B:$B,美团日报!$C143,线上订单!$D:$D,"美团")</f>
        <v>3</v>
      </c>
      <c r="J143" s="18">
        <f t="shared" si="14"/>
        <v>46.7315634218233</v>
      </c>
      <c r="K143" s="18" t="e">
        <f t="shared" si="15"/>
        <v>#REF!</v>
      </c>
      <c r="L143" s="59" t="e">
        <f>SUMIFS(#REF!,#REF!,美团日报!$C143,#REF!,"美团")</f>
        <v>#REF!</v>
      </c>
      <c r="M143" s="18"/>
      <c r="N143" s="18"/>
      <c r="O143" s="18" t="e">
        <f t="shared" si="16"/>
        <v>#REF!</v>
      </c>
      <c r="P143" s="59" t="e">
        <f>SUMIFS(#REF!,#REF!,美团日报!$C143,#REF!,"美团")</f>
        <v>#REF!</v>
      </c>
      <c r="Q143" s="18"/>
      <c r="R143" s="18"/>
      <c r="S143" s="18" t="e">
        <f t="shared" si="17"/>
        <v>#REF!</v>
      </c>
      <c r="T143" s="59" t="e">
        <f>SUMIFS(#REF!,#REF!,美团日报!$C143,#REF!,"美团")</f>
        <v>#REF!</v>
      </c>
      <c r="U143" s="18" t="e">
        <f t="shared" si="18"/>
        <v>#REF!</v>
      </c>
      <c r="V143" s="59" t="e">
        <f>SUMIFS(#REF!,#REF!,美团日报!$C143,#REF!,"美团")</f>
        <v>#REF!</v>
      </c>
      <c r="W143" s="16" t="s">
        <v>19</v>
      </c>
    </row>
    <row r="144" ht="14.4" spans="1:23">
      <c r="A144" s="16" t="s">
        <v>43</v>
      </c>
      <c r="B144" s="16" t="s">
        <v>38</v>
      </c>
      <c r="C144" s="16">
        <v>1479</v>
      </c>
      <c r="D144" s="16" t="s">
        <v>366</v>
      </c>
      <c r="E144" s="58">
        <f>_xlfn.IFNA(VLOOKUP(C:C,线上线下销售!B:D,3,0),0)</f>
        <v>6124.353</v>
      </c>
      <c r="F144" s="18">
        <f>SUMIFS(线上订单!$E:$E,线上订单!$B:$B,美团日报!$C144,线上订单!$D:$D,"美团")</f>
        <v>24.42477876106</v>
      </c>
      <c r="G144" s="59">
        <f t="shared" si="13"/>
        <v>0.00398814025923391</v>
      </c>
      <c r="H144" s="18">
        <f>SUMIFS(线上订单!$F:$F,线上订单!$B:$B,美团日报!$C144,线上订单!$D:$D,"美团")</f>
        <v>1</v>
      </c>
      <c r="I144" s="18">
        <f>SUMIFS(线上订单!$F:$F,线上订单!$B:$B,美团日报!$C144,线上订单!$D:$D,"美团")</f>
        <v>1</v>
      </c>
      <c r="J144" s="18">
        <f t="shared" si="14"/>
        <v>24.42477876106</v>
      </c>
      <c r="K144" s="18" t="e">
        <f t="shared" si="15"/>
        <v>#REF!</v>
      </c>
      <c r="L144" s="59" t="e">
        <f>SUMIFS(#REF!,#REF!,美团日报!$C144,#REF!,"美团")</f>
        <v>#REF!</v>
      </c>
      <c r="M144" s="18"/>
      <c r="N144" s="18"/>
      <c r="O144" s="18" t="e">
        <f t="shared" si="16"/>
        <v>#REF!</v>
      </c>
      <c r="P144" s="59" t="e">
        <f>SUMIFS(#REF!,#REF!,美团日报!$C144,#REF!,"美团")</f>
        <v>#REF!</v>
      </c>
      <c r="Q144" s="18"/>
      <c r="R144" s="18"/>
      <c r="S144" s="18" t="e">
        <f t="shared" si="17"/>
        <v>#REF!</v>
      </c>
      <c r="T144" s="59" t="e">
        <f>SUMIFS(#REF!,#REF!,美团日报!$C144,#REF!,"美团")</f>
        <v>#REF!</v>
      </c>
      <c r="U144" s="18" t="e">
        <f t="shared" si="18"/>
        <v>#REF!</v>
      </c>
      <c r="V144" s="59" t="e">
        <f>SUMIFS(#REF!,#REF!,美团日报!$C144,#REF!,"美团")</f>
        <v>#REF!</v>
      </c>
      <c r="W144" s="16" t="s">
        <v>19</v>
      </c>
    </row>
    <row r="145" ht="14.4" spans="1:23">
      <c r="A145" s="16" t="s">
        <v>56</v>
      </c>
      <c r="B145" s="16" t="s">
        <v>70</v>
      </c>
      <c r="C145" s="16">
        <v>1496</v>
      </c>
      <c r="D145" s="16" t="s">
        <v>368</v>
      </c>
      <c r="E145" s="58">
        <f>_xlfn.IFNA(VLOOKUP(C:C,线上线下销售!B:D,3,0),0)</f>
        <v>2554.8199</v>
      </c>
      <c r="F145" s="18">
        <f>SUMIFS(线上订单!$E:$E,线上订单!$B:$B,美团日报!$C145,线上订单!$D:$D,"美团")</f>
        <v>218.17244458877</v>
      </c>
      <c r="G145" s="59">
        <f t="shared" si="13"/>
        <v>0.0853964087992152</v>
      </c>
      <c r="H145" s="18">
        <f>SUMIFS(线上订单!$F:$F,线上订单!$B:$B,美团日报!$C145,线上订单!$D:$D,"美团")</f>
        <v>3</v>
      </c>
      <c r="I145" s="18">
        <f>SUMIFS(线上订单!$F:$F,线上订单!$B:$B,美团日报!$C145,线上订单!$D:$D,"美团")</f>
        <v>3</v>
      </c>
      <c r="J145" s="18">
        <f t="shared" si="14"/>
        <v>72.7241481962567</v>
      </c>
      <c r="K145" s="18" t="e">
        <f t="shared" si="15"/>
        <v>#REF!</v>
      </c>
      <c r="L145" s="59" t="e">
        <f>SUMIFS(#REF!,#REF!,美团日报!$C145,#REF!,"美团")</f>
        <v>#REF!</v>
      </c>
      <c r="M145" s="18"/>
      <c r="N145" s="18"/>
      <c r="O145" s="18" t="e">
        <f t="shared" si="16"/>
        <v>#REF!</v>
      </c>
      <c r="P145" s="59" t="e">
        <f>SUMIFS(#REF!,#REF!,美团日报!$C145,#REF!,"美团")</f>
        <v>#REF!</v>
      </c>
      <c r="Q145" s="18"/>
      <c r="R145" s="18"/>
      <c r="S145" s="18" t="e">
        <f t="shared" si="17"/>
        <v>#REF!</v>
      </c>
      <c r="T145" s="59" t="e">
        <f>SUMIFS(#REF!,#REF!,美团日报!$C145,#REF!,"美团")</f>
        <v>#REF!</v>
      </c>
      <c r="U145" s="18" t="e">
        <f t="shared" si="18"/>
        <v>#REF!</v>
      </c>
      <c r="V145" s="59" t="e">
        <f>SUMIFS(#REF!,#REF!,美团日报!$C145,#REF!,"美团")</f>
        <v>#REF!</v>
      </c>
      <c r="W145" s="16" t="s">
        <v>19</v>
      </c>
    </row>
    <row r="146" ht="14.4" spans="1:23">
      <c r="A146" s="16" t="s">
        <v>264</v>
      </c>
      <c r="B146" s="16" t="s">
        <v>370</v>
      </c>
      <c r="C146" s="16">
        <v>1513</v>
      </c>
      <c r="D146" s="16" t="s">
        <v>371</v>
      </c>
      <c r="E146" s="58">
        <f>_xlfn.IFNA(VLOOKUP(C:C,线上线下销售!B:D,3,0),0)</f>
        <v>8802.3996</v>
      </c>
      <c r="F146" s="18">
        <f>SUMIFS(线上订单!$E:$E,线上订单!$B:$B,美团日报!$C146,线上订单!$D:$D,"美团")</f>
        <v>0</v>
      </c>
      <c r="G146" s="59">
        <f t="shared" si="13"/>
        <v>0</v>
      </c>
      <c r="H146" s="18">
        <f>SUMIFS(线上订单!$F:$F,线上订单!$B:$B,美团日报!$C146,线上订单!$D:$D,"美团")</f>
        <v>0</v>
      </c>
      <c r="I146" s="18">
        <f>SUMIFS(线上订单!$F:$F,线上订单!$B:$B,美团日报!$C146,线上订单!$D:$D,"美团")</f>
        <v>0</v>
      </c>
      <c r="J146" s="18">
        <f t="shared" si="14"/>
        <v>0</v>
      </c>
      <c r="K146" s="18" t="e">
        <f t="shared" si="15"/>
        <v>#REF!</v>
      </c>
      <c r="L146" s="59" t="e">
        <f>SUMIFS(#REF!,#REF!,美团日报!$C146,#REF!,"美团")</f>
        <v>#REF!</v>
      </c>
      <c r="M146" s="18"/>
      <c r="N146" s="18"/>
      <c r="O146" s="18" t="e">
        <f t="shared" si="16"/>
        <v>#REF!</v>
      </c>
      <c r="P146" s="59" t="e">
        <f>SUMIFS(#REF!,#REF!,美团日报!$C146,#REF!,"美团")</f>
        <v>#REF!</v>
      </c>
      <c r="Q146" s="18"/>
      <c r="R146" s="18"/>
      <c r="S146" s="18" t="e">
        <f t="shared" si="17"/>
        <v>#REF!</v>
      </c>
      <c r="T146" s="59" t="e">
        <f>SUMIFS(#REF!,#REF!,美团日报!$C146,#REF!,"美团")</f>
        <v>#REF!</v>
      </c>
      <c r="U146" s="18" t="e">
        <f t="shared" si="18"/>
        <v>#REF!</v>
      </c>
      <c r="V146" s="59" t="e">
        <f>SUMIFS(#REF!,#REF!,美团日报!$C146,#REF!,"美团")</f>
        <v>#REF!</v>
      </c>
      <c r="W146" s="16" t="s">
        <v>19</v>
      </c>
    </row>
    <row r="147" ht="14.4" spans="1:23">
      <c r="A147" s="16" t="s">
        <v>264</v>
      </c>
      <c r="B147" s="16" t="s">
        <v>359</v>
      </c>
      <c r="C147" s="16">
        <v>1529</v>
      </c>
      <c r="D147" s="16" t="s">
        <v>373</v>
      </c>
      <c r="E147" s="58">
        <f>_xlfn.IFNA(VLOOKUP(C:C,线上线下销售!B:D,3,0),0)</f>
        <v>19411.4845</v>
      </c>
      <c r="F147" s="18">
        <f>SUMIFS(线上订单!$E:$E,线上订单!$B:$B,美团日报!$C147,线上订单!$D:$D,"美团")</f>
        <v>0</v>
      </c>
      <c r="G147" s="59">
        <f t="shared" si="13"/>
        <v>0</v>
      </c>
      <c r="H147" s="18">
        <f>SUMIFS(线上订单!$F:$F,线上订单!$B:$B,美团日报!$C147,线上订单!$D:$D,"美团")</f>
        <v>0</v>
      </c>
      <c r="I147" s="18">
        <f>SUMIFS(线上订单!$F:$F,线上订单!$B:$B,美团日报!$C147,线上订单!$D:$D,"美团")</f>
        <v>0</v>
      </c>
      <c r="J147" s="18">
        <f t="shared" si="14"/>
        <v>0</v>
      </c>
      <c r="K147" s="18" t="e">
        <f t="shared" si="15"/>
        <v>#REF!</v>
      </c>
      <c r="L147" s="59" t="e">
        <f>SUMIFS(#REF!,#REF!,美团日报!$C147,#REF!,"美团")</f>
        <v>#REF!</v>
      </c>
      <c r="M147" s="18"/>
      <c r="N147" s="18"/>
      <c r="O147" s="18" t="e">
        <f t="shared" si="16"/>
        <v>#REF!</v>
      </c>
      <c r="P147" s="59" t="e">
        <f>SUMIFS(#REF!,#REF!,美团日报!$C147,#REF!,"美团")</f>
        <v>#REF!</v>
      </c>
      <c r="Q147" s="18"/>
      <c r="R147" s="18"/>
      <c r="S147" s="18" t="e">
        <f t="shared" si="17"/>
        <v>#REF!</v>
      </c>
      <c r="T147" s="59" t="e">
        <f>SUMIFS(#REF!,#REF!,美团日报!$C147,#REF!,"美团")</f>
        <v>#REF!</v>
      </c>
      <c r="U147" s="18" t="e">
        <f t="shared" si="18"/>
        <v>#REF!</v>
      </c>
      <c r="V147" s="59" t="e">
        <f>SUMIFS(#REF!,#REF!,美团日报!$C147,#REF!,"美团")</f>
        <v>#REF!</v>
      </c>
      <c r="W147" s="16" t="s">
        <v>19</v>
      </c>
    </row>
    <row r="148" ht="14.4" spans="1:23">
      <c r="A148" s="16" t="s">
        <v>48</v>
      </c>
      <c r="B148" s="16" t="s">
        <v>111</v>
      </c>
      <c r="C148" s="16">
        <v>1533</v>
      </c>
      <c r="D148" s="16" t="s">
        <v>375</v>
      </c>
      <c r="E148" s="58">
        <f>_xlfn.IFNA(VLOOKUP(C:C,线上线下销售!B:D,3,0),0)</f>
        <v>0</v>
      </c>
      <c r="F148" s="18">
        <f>SUMIFS(线上订单!$E:$E,线上订单!$B:$B,美团日报!$C148,线上订单!$D:$D,"美团")</f>
        <v>0</v>
      </c>
      <c r="G148" s="59">
        <f t="shared" si="13"/>
        <v>0</v>
      </c>
      <c r="H148" s="18">
        <f>SUMIFS(线上订单!$F:$F,线上订单!$B:$B,美团日报!$C148,线上订单!$D:$D,"美团")</f>
        <v>0</v>
      </c>
      <c r="I148" s="18">
        <f>SUMIFS(线上订单!$F:$F,线上订单!$B:$B,美团日报!$C148,线上订单!$D:$D,"美团")</f>
        <v>0</v>
      </c>
      <c r="J148" s="18">
        <f t="shared" si="14"/>
        <v>0</v>
      </c>
      <c r="K148" s="18" t="e">
        <f t="shared" si="15"/>
        <v>#REF!</v>
      </c>
      <c r="L148" s="59" t="e">
        <f>SUMIFS(#REF!,#REF!,美团日报!$C148,#REF!,"美团")</f>
        <v>#REF!</v>
      </c>
      <c r="M148" s="18"/>
      <c r="N148" s="18"/>
      <c r="O148" s="18" t="e">
        <f t="shared" si="16"/>
        <v>#REF!</v>
      </c>
      <c r="P148" s="59" t="e">
        <f>SUMIFS(#REF!,#REF!,美团日报!$C148,#REF!,"美团")</f>
        <v>#REF!</v>
      </c>
      <c r="Q148" s="18"/>
      <c r="R148" s="18"/>
      <c r="S148" s="18" t="e">
        <f t="shared" si="17"/>
        <v>#REF!</v>
      </c>
      <c r="T148" s="59" t="e">
        <f>SUMIFS(#REF!,#REF!,美团日报!$C148,#REF!,"美团")</f>
        <v>#REF!</v>
      </c>
      <c r="U148" s="18" t="e">
        <f t="shared" si="18"/>
        <v>#REF!</v>
      </c>
      <c r="V148" s="59" t="e">
        <f>SUMIFS(#REF!,#REF!,美团日报!$C148,#REF!,"美团")</f>
        <v>#REF!</v>
      </c>
      <c r="W148" s="16" t="s">
        <v>19</v>
      </c>
    </row>
    <row r="149" ht="14.4" spans="1:23">
      <c r="A149" s="16" t="s">
        <v>264</v>
      </c>
      <c r="B149" s="16" t="s">
        <v>327</v>
      </c>
      <c r="C149" s="16">
        <v>1540</v>
      </c>
      <c r="D149" s="16" t="s">
        <v>377</v>
      </c>
      <c r="E149" s="58">
        <f>_xlfn.IFNA(VLOOKUP(C:C,线上线下销售!B:D,3,0),0)</f>
        <v>28849.2624</v>
      </c>
      <c r="F149" s="18">
        <f>SUMIFS(线上订单!$E:$E,线上订单!$B:$B,美团日报!$C149,线上订单!$D:$D,"美团")</f>
        <v>0</v>
      </c>
      <c r="G149" s="59">
        <f t="shared" si="13"/>
        <v>0</v>
      </c>
      <c r="H149" s="18">
        <f>SUMIFS(线上订单!$F:$F,线上订单!$B:$B,美团日报!$C149,线上订单!$D:$D,"美团")</f>
        <v>0</v>
      </c>
      <c r="I149" s="18">
        <f>SUMIFS(线上订单!$F:$F,线上订单!$B:$B,美团日报!$C149,线上订单!$D:$D,"美团")</f>
        <v>0</v>
      </c>
      <c r="J149" s="18">
        <f t="shared" si="14"/>
        <v>0</v>
      </c>
      <c r="K149" s="18" t="e">
        <f t="shared" si="15"/>
        <v>#REF!</v>
      </c>
      <c r="L149" s="59" t="e">
        <f>SUMIFS(#REF!,#REF!,美团日报!$C149,#REF!,"美团")</f>
        <v>#REF!</v>
      </c>
      <c r="M149" s="18"/>
      <c r="N149" s="18"/>
      <c r="O149" s="18" t="e">
        <f t="shared" si="16"/>
        <v>#REF!</v>
      </c>
      <c r="P149" s="59" t="e">
        <f>SUMIFS(#REF!,#REF!,美团日报!$C149,#REF!,"美团")</f>
        <v>#REF!</v>
      </c>
      <c r="Q149" s="18"/>
      <c r="R149" s="18"/>
      <c r="S149" s="18" t="e">
        <f t="shared" si="17"/>
        <v>#REF!</v>
      </c>
      <c r="T149" s="59" t="e">
        <f>SUMIFS(#REF!,#REF!,美团日报!$C149,#REF!,"美团")</f>
        <v>#REF!</v>
      </c>
      <c r="U149" s="18" t="e">
        <f t="shared" si="18"/>
        <v>#REF!</v>
      </c>
      <c r="V149" s="59" t="e">
        <f>SUMIFS(#REF!,#REF!,美团日报!$C149,#REF!,"美团")</f>
        <v>#REF!</v>
      </c>
      <c r="W149" s="16" t="s">
        <v>19</v>
      </c>
    </row>
    <row r="150" ht="14.4" spans="1:23">
      <c r="A150" s="16" t="s">
        <v>43</v>
      </c>
      <c r="B150" s="16" t="s">
        <v>575</v>
      </c>
      <c r="C150" s="16">
        <v>1543</v>
      </c>
      <c r="D150" s="16" t="s">
        <v>379</v>
      </c>
      <c r="E150" s="58">
        <f>_xlfn.IFNA(VLOOKUP(C:C,线上线下销售!B:D,3,0),0)</f>
        <v>5973.562</v>
      </c>
      <c r="F150" s="18">
        <f>SUMIFS(线上订单!$E:$E,线上订单!$B:$B,美团日报!$C150,线上订单!$D:$D,"美团")</f>
        <v>150.61946902656</v>
      </c>
      <c r="G150" s="59">
        <f t="shared" si="13"/>
        <v>0.0252143476583251</v>
      </c>
      <c r="H150" s="18">
        <f>SUMIFS(线上订单!$F:$F,线上订单!$B:$B,美团日报!$C150,线上订单!$D:$D,"美团")</f>
        <v>2</v>
      </c>
      <c r="I150" s="18">
        <f>SUMIFS(线上订单!$F:$F,线上订单!$B:$B,美团日报!$C150,线上订单!$D:$D,"美团")</f>
        <v>2</v>
      </c>
      <c r="J150" s="18">
        <f t="shared" si="14"/>
        <v>75.30973451328</v>
      </c>
      <c r="K150" s="18" t="e">
        <f t="shared" si="15"/>
        <v>#REF!</v>
      </c>
      <c r="L150" s="59" t="e">
        <f>SUMIFS(#REF!,#REF!,美团日报!$C150,#REF!,"美团")</f>
        <v>#REF!</v>
      </c>
      <c r="M150" s="18"/>
      <c r="N150" s="18"/>
      <c r="O150" s="18" t="e">
        <f t="shared" si="16"/>
        <v>#REF!</v>
      </c>
      <c r="P150" s="59" t="e">
        <f>SUMIFS(#REF!,#REF!,美团日报!$C150,#REF!,"美团")</f>
        <v>#REF!</v>
      </c>
      <c r="Q150" s="18"/>
      <c r="R150" s="18"/>
      <c r="S150" s="18" t="e">
        <f t="shared" si="17"/>
        <v>#REF!</v>
      </c>
      <c r="T150" s="59" t="e">
        <f>SUMIFS(#REF!,#REF!,美团日报!$C150,#REF!,"美团")</f>
        <v>#REF!</v>
      </c>
      <c r="U150" s="18" t="e">
        <f t="shared" si="18"/>
        <v>#REF!</v>
      </c>
      <c r="V150" s="59" t="e">
        <f>SUMIFS(#REF!,#REF!,美团日报!$C150,#REF!,"美团")</f>
        <v>#REF!</v>
      </c>
      <c r="W150" s="16" t="s">
        <v>19</v>
      </c>
    </row>
    <row r="151" ht="14.4" spans="1:23">
      <c r="A151" s="16" t="s">
        <v>63</v>
      </c>
      <c r="B151" s="16" t="s">
        <v>86</v>
      </c>
      <c r="C151" s="16">
        <v>1566</v>
      </c>
      <c r="D151" s="16" t="s">
        <v>381</v>
      </c>
      <c r="E151" s="58">
        <f>_xlfn.IFNA(VLOOKUP(C:C,线上线下销售!B:D,3,0),0)</f>
        <v>4504.1906</v>
      </c>
      <c r="F151" s="18">
        <f>SUMIFS(线上订单!$E:$E,线上订单!$B:$B,美团日报!$C151,线上订单!$D:$D,"美团")</f>
        <v>270.26548672563</v>
      </c>
      <c r="G151" s="59">
        <f t="shared" si="13"/>
        <v>0.0600031194784763</v>
      </c>
      <c r="H151" s="18">
        <f>SUMIFS(线上订单!$F:$F,线上订单!$B:$B,美团日报!$C151,线上订单!$D:$D,"美团")</f>
        <v>6</v>
      </c>
      <c r="I151" s="18">
        <f>SUMIFS(线上订单!$F:$F,线上订单!$B:$B,美团日报!$C151,线上订单!$D:$D,"美团")</f>
        <v>6</v>
      </c>
      <c r="J151" s="18">
        <f t="shared" si="14"/>
        <v>45.044247787605</v>
      </c>
      <c r="K151" s="18" t="e">
        <f t="shared" si="15"/>
        <v>#REF!</v>
      </c>
      <c r="L151" s="59" t="e">
        <f>SUMIFS(#REF!,#REF!,美团日报!$C151,#REF!,"美团")</f>
        <v>#REF!</v>
      </c>
      <c r="M151" s="18"/>
      <c r="N151" s="18"/>
      <c r="O151" s="18" t="e">
        <f t="shared" si="16"/>
        <v>#REF!</v>
      </c>
      <c r="P151" s="59" t="e">
        <f>SUMIFS(#REF!,#REF!,美团日报!$C151,#REF!,"美团")</f>
        <v>#REF!</v>
      </c>
      <c r="Q151" s="18"/>
      <c r="R151" s="18"/>
      <c r="S151" s="18" t="e">
        <f t="shared" si="17"/>
        <v>#REF!</v>
      </c>
      <c r="T151" s="59" t="e">
        <f>SUMIFS(#REF!,#REF!,美团日报!$C151,#REF!,"美团")</f>
        <v>#REF!</v>
      </c>
      <c r="U151" s="18" t="e">
        <f t="shared" si="18"/>
        <v>#REF!</v>
      </c>
      <c r="V151" s="59" t="e">
        <f>SUMIFS(#REF!,#REF!,美团日报!$C151,#REF!,"美团")</f>
        <v>#REF!</v>
      </c>
      <c r="W151" s="16" t="s">
        <v>19</v>
      </c>
    </row>
    <row r="152" ht="14.4" spans="1:23">
      <c r="A152" s="16" t="s">
        <v>56</v>
      </c>
      <c r="B152" s="16" t="s">
        <v>73</v>
      </c>
      <c r="C152" s="16">
        <v>1578</v>
      </c>
      <c r="D152" s="16" t="s">
        <v>383</v>
      </c>
      <c r="E152" s="58">
        <f>_xlfn.IFNA(VLOOKUP(C:C,线上线下销售!B:D,3,0),0)</f>
        <v>2173.402</v>
      </c>
      <c r="F152" s="18">
        <f>SUMIFS(线上订单!$E:$E,线上订单!$B:$B,美团日报!$C152,线上订单!$D:$D,"美团")</f>
        <v>170.38564585532</v>
      </c>
      <c r="G152" s="59">
        <f t="shared" si="13"/>
        <v>0.0783958263843136</v>
      </c>
      <c r="H152" s="18">
        <f>SUMIFS(线上订单!$F:$F,线上订单!$B:$B,美团日报!$C152,线上订单!$D:$D,"美团")</f>
        <v>4</v>
      </c>
      <c r="I152" s="18">
        <f>SUMIFS(线上订单!$F:$F,线上订单!$B:$B,美团日报!$C152,线上订单!$D:$D,"美团")</f>
        <v>4</v>
      </c>
      <c r="J152" s="18">
        <f t="shared" si="14"/>
        <v>42.59641146383</v>
      </c>
      <c r="K152" s="18" t="e">
        <f t="shared" si="15"/>
        <v>#REF!</v>
      </c>
      <c r="L152" s="59" t="e">
        <f>SUMIFS(#REF!,#REF!,美团日报!$C152,#REF!,"美团")</f>
        <v>#REF!</v>
      </c>
      <c r="M152" s="18"/>
      <c r="N152" s="18"/>
      <c r="O152" s="18" t="e">
        <f t="shared" si="16"/>
        <v>#REF!</v>
      </c>
      <c r="P152" s="59" t="e">
        <f>SUMIFS(#REF!,#REF!,美团日报!$C152,#REF!,"美团")</f>
        <v>#REF!</v>
      </c>
      <c r="Q152" s="18"/>
      <c r="R152" s="18"/>
      <c r="S152" s="18" t="e">
        <f t="shared" si="17"/>
        <v>#REF!</v>
      </c>
      <c r="T152" s="59" t="e">
        <f>SUMIFS(#REF!,#REF!,美团日报!$C152,#REF!,"美团")</f>
        <v>#REF!</v>
      </c>
      <c r="U152" s="18" t="e">
        <f t="shared" si="18"/>
        <v>#REF!</v>
      </c>
      <c r="V152" s="59" t="e">
        <f>SUMIFS(#REF!,#REF!,美团日报!$C152,#REF!,"美团")</f>
        <v>#REF!</v>
      </c>
      <c r="W152" s="16" t="s">
        <v>19</v>
      </c>
    </row>
    <row r="153" ht="14.4" spans="1:23">
      <c r="A153" s="16" t="s">
        <v>48</v>
      </c>
      <c r="B153" s="16" t="s">
        <v>111</v>
      </c>
      <c r="C153" s="16">
        <v>1584</v>
      </c>
      <c r="D153" s="16" t="s">
        <v>385</v>
      </c>
      <c r="E153" s="58">
        <f>_xlfn.IFNA(VLOOKUP(C:C,线上线下销售!B:D,3,0),0)</f>
        <v>9183.5087</v>
      </c>
      <c r="F153" s="18">
        <f>SUMIFS(线上订单!$E:$E,线上订单!$B:$B,美团日报!$C153,线上订单!$D:$D,"美团")</f>
        <v>0</v>
      </c>
      <c r="G153" s="59">
        <f t="shared" si="13"/>
        <v>0</v>
      </c>
      <c r="H153" s="18">
        <f>SUMIFS(线上订单!$F:$F,线上订单!$B:$B,美团日报!$C153,线上订单!$D:$D,"美团")</f>
        <v>0</v>
      </c>
      <c r="I153" s="18">
        <f>SUMIFS(线上订单!$F:$F,线上订单!$B:$B,美团日报!$C153,线上订单!$D:$D,"美团")</f>
        <v>0</v>
      </c>
      <c r="J153" s="18">
        <f t="shared" si="14"/>
        <v>0</v>
      </c>
      <c r="K153" s="18" t="e">
        <f t="shared" si="15"/>
        <v>#REF!</v>
      </c>
      <c r="L153" s="59" t="e">
        <f>SUMIFS(#REF!,#REF!,美团日报!$C153,#REF!,"美团")</f>
        <v>#REF!</v>
      </c>
      <c r="M153" s="18"/>
      <c r="N153" s="18"/>
      <c r="O153" s="18" t="e">
        <f t="shared" si="16"/>
        <v>#REF!</v>
      </c>
      <c r="P153" s="59" t="e">
        <f>SUMIFS(#REF!,#REF!,美团日报!$C153,#REF!,"美团")</f>
        <v>#REF!</v>
      </c>
      <c r="Q153" s="18"/>
      <c r="R153" s="18"/>
      <c r="S153" s="18" t="e">
        <f t="shared" si="17"/>
        <v>#REF!</v>
      </c>
      <c r="T153" s="59" t="e">
        <f>SUMIFS(#REF!,#REF!,美团日报!$C153,#REF!,"美团")</f>
        <v>#REF!</v>
      </c>
      <c r="U153" s="18" t="e">
        <f t="shared" si="18"/>
        <v>#REF!</v>
      </c>
      <c r="V153" s="59" t="e">
        <f>SUMIFS(#REF!,#REF!,美团日报!$C153,#REF!,"美团")</f>
        <v>#REF!</v>
      </c>
      <c r="W153" s="16" t="s">
        <v>19</v>
      </c>
    </row>
    <row r="154" ht="14.4" spans="1:23">
      <c r="A154" s="16" t="s">
        <v>264</v>
      </c>
      <c r="B154" s="16" t="s">
        <v>313</v>
      </c>
      <c r="C154" s="16">
        <v>1585</v>
      </c>
      <c r="D154" s="16" t="s">
        <v>387</v>
      </c>
      <c r="E154" s="58">
        <f>_xlfn.IFNA(VLOOKUP(C:C,线上线下销售!B:D,3,0),0)</f>
        <v>4477.3014</v>
      </c>
      <c r="F154" s="18">
        <f>SUMIFS(线上订单!$E:$E,线上订单!$B:$B,美团日报!$C154,线上订单!$D:$D,"美团")</f>
        <v>0</v>
      </c>
      <c r="G154" s="59">
        <f t="shared" si="13"/>
        <v>0</v>
      </c>
      <c r="H154" s="18">
        <f>SUMIFS(线上订单!$F:$F,线上订单!$B:$B,美团日报!$C154,线上订单!$D:$D,"美团")</f>
        <v>0</v>
      </c>
      <c r="I154" s="18">
        <f>SUMIFS(线上订单!$F:$F,线上订单!$B:$B,美团日报!$C154,线上订单!$D:$D,"美团")</f>
        <v>0</v>
      </c>
      <c r="J154" s="18">
        <f t="shared" si="14"/>
        <v>0</v>
      </c>
      <c r="K154" s="18" t="e">
        <f t="shared" si="15"/>
        <v>#REF!</v>
      </c>
      <c r="L154" s="59" t="e">
        <f>SUMIFS(#REF!,#REF!,美团日报!$C154,#REF!,"美团")</f>
        <v>#REF!</v>
      </c>
      <c r="M154" s="18"/>
      <c r="N154" s="18"/>
      <c r="O154" s="18" t="e">
        <f t="shared" si="16"/>
        <v>#REF!</v>
      </c>
      <c r="P154" s="59" t="e">
        <f>SUMIFS(#REF!,#REF!,美团日报!$C154,#REF!,"美团")</f>
        <v>#REF!</v>
      </c>
      <c r="Q154" s="18"/>
      <c r="R154" s="18"/>
      <c r="S154" s="18" t="e">
        <f t="shared" si="17"/>
        <v>#REF!</v>
      </c>
      <c r="T154" s="59" t="e">
        <f>SUMIFS(#REF!,#REF!,美团日报!$C154,#REF!,"美团")</f>
        <v>#REF!</v>
      </c>
      <c r="U154" s="18" t="e">
        <f t="shared" si="18"/>
        <v>#REF!</v>
      </c>
      <c r="V154" s="59" t="e">
        <f>SUMIFS(#REF!,#REF!,美团日报!$C154,#REF!,"美团")</f>
        <v>#REF!</v>
      </c>
      <c r="W154" s="16" t="s">
        <v>19</v>
      </c>
    </row>
    <row r="155" ht="14.4" spans="1:23">
      <c r="A155" s="16" t="s">
        <v>264</v>
      </c>
      <c r="B155" s="16" t="s">
        <v>264</v>
      </c>
      <c r="C155" s="16">
        <v>1590</v>
      </c>
      <c r="D155" s="16" t="s">
        <v>389</v>
      </c>
      <c r="E155" s="58">
        <f>_xlfn.IFNA(VLOOKUP(C:C,线上线下销售!B:D,3,0),0)</f>
        <v>30902.6089</v>
      </c>
      <c r="F155" s="18">
        <f>SUMIFS(线上订单!$E:$E,线上订单!$B:$B,美团日报!$C155,线上订单!$D:$D,"美团")</f>
        <v>0</v>
      </c>
      <c r="G155" s="59">
        <f t="shared" si="13"/>
        <v>0</v>
      </c>
      <c r="H155" s="18">
        <f>SUMIFS(线上订单!$F:$F,线上订单!$B:$B,美团日报!$C155,线上订单!$D:$D,"美团")</f>
        <v>0</v>
      </c>
      <c r="I155" s="18">
        <f>SUMIFS(线上订单!$F:$F,线上订单!$B:$B,美团日报!$C155,线上订单!$D:$D,"美团")</f>
        <v>0</v>
      </c>
      <c r="J155" s="18">
        <f t="shared" si="14"/>
        <v>0</v>
      </c>
      <c r="K155" s="18" t="e">
        <f t="shared" si="15"/>
        <v>#REF!</v>
      </c>
      <c r="L155" s="59" t="e">
        <f>SUMIFS(#REF!,#REF!,美团日报!$C155,#REF!,"美团")</f>
        <v>#REF!</v>
      </c>
      <c r="M155" s="18"/>
      <c r="N155" s="18"/>
      <c r="O155" s="18" t="e">
        <f t="shared" si="16"/>
        <v>#REF!</v>
      </c>
      <c r="P155" s="59" t="e">
        <f>SUMIFS(#REF!,#REF!,美团日报!$C155,#REF!,"美团")</f>
        <v>#REF!</v>
      </c>
      <c r="Q155" s="18"/>
      <c r="R155" s="18"/>
      <c r="S155" s="18" t="e">
        <f t="shared" si="17"/>
        <v>#REF!</v>
      </c>
      <c r="T155" s="59" t="e">
        <f>SUMIFS(#REF!,#REF!,美团日报!$C155,#REF!,"美团")</f>
        <v>#REF!</v>
      </c>
      <c r="U155" s="18" t="e">
        <f t="shared" si="18"/>
        <v>#REF!</v>
      </c>
      <c r="V155" s="59" t="e">
        <f>SUMIFS(#REF!,#REF!,美团日报!$C155,#REF!,"美团")</f>
        <v>#REF!</v>
      </c>
      <c r="W155" s="16" t="s">
        <v>19</v>
      </c>
    </row>
    <row r="156" ht="14.4" spans="1:23">
      <c r="A156" s="16" t="s">
        <v>43</v>
      </c>
      <c r="B156" s="16" t="s">
        <v>38</v>
      </c>
      <c r="C156" s="16">
        <v>1594</v>
      </c>
      <c r="D156" s="16" t="s">
        <v>391</v>
      </c>
      <c r="E156" s="58">
        <f>_xlfn.IFNA(VLOOKUP(C:C,线上线下销售!B:D,3,0),0)</f>
        <v>17569.3745</v>
      </c>
      <c r="F156" s="18">
        <f>SUMIFS(线上订单!$E:$E,线上订单!$B:$B,美团日报!$C156,线上订单!$D:$D,"美团")</f>
        <v>2661.29252252963</v>
      </c>
      <c r="G156" s="59">
        <f t="shared" si="13"/>
        <v>0.151473379005589</v>
      </c>
      <c r="H156" s="18">
        <f>SUMIFS(线上订单!$F:$F,线上订单!$B:$B,美团日报!$C156,线上订单!$D:$D,"美团")</f>
        <v>65</v>
      </c>
      <c r="I156" s="18">
        <f>SUMIFS(线上订单!$F:$F,线上订单!$B:$B,美团日报!$C156,线上订单!$D:$D,"美团")</f>
        <v>65</v>
      </c>
      <c r="J156" s="18">
        <f t="shared" si="14"/>
        <v>40.9429618850712</v>
      </c>
      <c r="K156" s="18" t="e">
        <f t="shared" si="15"/>
        <v>#REF!</v>
      </c>
      <c r="L156" s="59" t="e">
        <f>SUMIFS(#REF!,#REF!,美团日报!$C156,#REF!,"美团")</f>
        <v>#REF!</v>
      </c>
      <c r="M156" s="18"/>
      <c r="N156" s="18"/>
      <c r="O156" s="18" t="e">
        <f t="shared" si="16"/>
        <v>#REF!</v>
      </c>
      <c r="P156" s="59" t="e">
        <f>SUMIFS(#REF!,#REF!,美团日报!$C156,#REF!,"美团")</f>
        <v>#REF!</v>
      </c>
      <c r="Q156" s="18"/>
      <c r="R156" s="18"/>
      <c r="S156" s="18" t="e">
        <f t="shared" si="17"/>
        <v>#REF!</v>
      </c>
      <c r="T156" s="59" t="e">
        <f>SUMIFS(#REF!,#REF!,美团日报!$C156,#REF!,"美团")</f>
        <v>#REF!</v>
      </c>
      <c r="U156" s="18" t="e">
        <f t="shared" si="18"/>
        <v>#REF!</v>
      </c>
      <c r="V156" s="59" t="e">
        <f>SUMIFS(#REF!,#REF!,美团日报!$C156,#REF!,"美团")</f>
        <v>#REF!</v>
      </c>
      <c r="W156" s="16" t="s">
        <v>19</v>
      </c>
    </row>
    <row r="157" ht="14.4" spans="1:23">
      <c r="A157" s="16" t="s">
        <v>63</v>
      </c>
      <c r="B157" s="16" t="s">
        <v>152</v>
      </c>
      <c r="C157" s="16">
        <v>1604</v>
      </c>
      <c r="D157" s="16" t="s">
        <v>393</v>
      </c>
      <c r="E157" s="58">
        <f>_xlfn.IFNA(VLOOKUP(C:C,线上线下销售!B:D,3,0),0)</f>
        <v>9005.413</v>
      </c>
      <c r="F157" s="18">
        <f>SUMIFS(线上订单!$E:$E,线上订单!$B:$B,美团日报!$C157,线上订单!$D:$D,"美团")</f>
        <v>1749.46220670618</v>
      </c>
      <c r="G157" s="59">
        <f t="shared" si="13"/>
        <v>0.194267848315916</v>
      </c>
      <c r="H157" s="18">
        <f>SUMIFS(线上订单!$F:$F,线上订单!$B:$B,美团日报!$C157,线上订单!$D:$D,"美团")</f>
        <v>45</v>
      </c>
      <c r="I157" s="18">
        <f>SUMIFS(线上订单!$F:$F,线上订单!$B:$B,美团日报!$C157,线上订单!$D:$D,"美团")</f>
        <v>45</v>
      </c>
      <c r="J157" s="18">
        <f t="shared" si="14"/>
        <v>38.876937926804</v>
      </c>
      <c r="K157" s="18" t="e">
        <f t="shared" si="15"/>
        <v>#REF!</v>
      </c>
      <c r="L157" s="59" t="e">
        <f>SUMIFS(#REF!,#REF!,美团日报!$C157,#REF!,"美团")</f>
        <v>#REF!</v>
      </c>
      <c r="M157" s="18"/>
      <c r="N157" s="18"/>
      <c r="O157" s="18" t="e">
        <f t="shared" si="16"/>
        <v>#REF!</v>
      </c>
      <c r="P157" s="59" t="e">
        <f>SUMIFS(#REF!,#REF!,美团日报!$C157,#REF!,"美团")</f>
        <v>#REF!</v>
      </c>
      <c r="Q157" s="18"/>
      <c r="R157" s="18"/>
      <c r="S157" s="18" t="e">
        <f t="shared" si="17"/>
        <v>#REF!</v>
      </c>
      <c r="T157" s="59" t="e">
        <f>SUMIFS(#REF!,#REF!,美团日报!$C157,#REF!,"美团")</f>
        <v>#REF!</v>
      </c>
      <c r="U157" s="18" t="e">
        <f t="shared" si="18"/>
        <v>#REF!</v>
      </c>
      <c r="V157" s="59" t="e">
        <f>SUMIFS(#REF!,#REF!,美团日报!$C157,#REF!,"美团")</f>
        <v>#REF!</v>
      </c>
      <c r="W157" s="16" t="s">
        <v>19</v>
      </c>
    </row>
    <row r="158" ht="14.4" spans="1:23">
      <c r="A158" s="16" t="s">
        <v>264</v>
      </c>
      <c r="B158" s="16" t="s">
        <v>313</v>
      </c>
      <c r="C158" s="16">
        <v>1607</v>
      </c>
      <c r="D158" s="16" t="s">
        <v>395</v>
      </c>
      <c r="E158" s="58">
        <f>_xlfn.IFNA(VLOOKUP(C:C,线上线下销售!B:D,3,0),0)</f>
        <v>2566.3553</v>
      </c>
      <c r="F158" s="18">
        <f>SUMIFS(线上订单!$E:$E,线上订单!$B:$B,美团日报!$C158,线上订单!$D:$D,"美团")</f>
        <v>312.1222700333</v>
      </c>
      <c r="G158" s="59">
        <f t="shared" si="13"/>
        <v>0.12162083326237</v>
      </c>
      <c r="H158" s="18">
        <f>SUMIFS(线上订单!$F:$F,线上订单!$B:$B,美团日报!$C158,线上订单!$D:$D,"美团")</f>
        <v>9</v>
      </c>
      <c r="I158" s="18">
        <f>SUMIFS(线上订单!$F:$F,线上订单!$B:$B,美团日报!$C158,线上订单!$D:$D,"美团")</f>
        <v>9</v>
      </c>
      <c r="J158" s="18">
        <f t="shared" si="14"/>
        <v>34.6802522259222</v>
      </c>
      <c r="K158" s="18" t="e">
        <f t="shared" si="15"/>
        <v>#REF!</v>
      </c>
      <c r="L158" s="59" t="e">
        <f>SUMIFS(#REF!,#REF!,美团日报!$C158,#REF!,"美团")</f>
        <v>#REF!</v>
      </c>
      <c r="M158" s="18"/>
      <c r="N158" s="18"/>
      <c r="O158" s="18" t="e">
        <f t="shared" si="16"/>
        <v>#REF!</v>
      </c>
      <c r="P158" s="59" t="e">
        <f>SUMIFS(#REF!,#REF!,美团日报!$C158,#REF!,"美团")</f>
        <v>#REF!</v>
      </c>
      <c r="Q158" s="18"/>
      <c r="R158" s="18"/>
      <c r="S158" s="18" t="e">
        <f t="shared" si="17"/>
        <v>#REF!</v>
      </c>
      <c r="T158" s="59" t="e">
        <f>SUMIFS(#REF!,#REF!,美团日报!$C158,#REF!,"美团")</f>
        <v>#REF!</v>
      </c>
      <c r="U158" s="18" t="e">
        <f t="shared" si="18"/>
        <v>#REF!</v>
      </c>
      <c r="V158" s="59" t="e">
        <f>SUMIFS(#REF!,#REF!,美团日报!$C158,#REF!,"美团")</f>
        <v>#REF!</v>
      </c>
      <c r="W158" s="16" t="s">
        <v>19</v>
      </c>
    </row>
    <row r="159" ht="14.4" spans="1:23">
      <c r="A159" s="16" t="s">
        <v>264</v>
      </c>
      <c r="B159" s="16" t="s">
        <v>313</v>
      </c>
      <c r="C159" s="16">
        <v>1608</v>
      </c>
      <c r="D159" s="16" t="s">
        <v>397</v>
      </c>
      <c r="E159" s="58">
        <f>_xlfn.IFNA(VLOOKUP(C:C,线上线下销售!B:D,3,0),0)</f>
        <v>4191.665</v>
      </c>
      <c r="F159" s="18">
        <f>SUMIFS(线上订单!$E:$E,线上订单!$B:$B,美团日报!$C159,线上订单!$D:$D,"美团")</f>
        <v>866.51246245023</v>
      </c>
      <c r="G159" s="59">
        <f t="shared" si="13"/>
        <v>0.206722737253628</v>
      </c>
      <c r="H159" s="18">
        <f>SUMIFS(线上订单!$F:$F,线上订单!$B:$B,美团日报!$C159,线上订单!$D:$D,"美团")</f>
        <v>20</v>
      </c>
      <c r="I159" s="18">
        <f>SUMIFS(线上订单!$F:$F,线上订单!$B:$B,美团日报!$C159,线上订单!$D:$D,"美团")</f>
        <v>20</v>
      </c>
      <c r="J159" s="18">
        <f t="shared" si="14"/>
        <v>43.3256231225115</v>
      </c>
      <c r="K159" s="18" t="e">
        <f t="shared" si="15"/>
        <v>#REF!</v>
      </c>
      <c r="L159" s="59" t="e">
        <f>SUMIFS(#REF!,#REF!,美团日报!$C159,#REF!,"美团")</f>
        <v>#REF!</v>
      </c>
      <c r="M159" s="18"/>
      <c r="N159" s="18"/>
      <c r="O159" s="18" t="e">
        <f t="shared" si="16"/>
        <v>#REF!</v>
      </c>
      <c r="P159" s="59" t="e">
        <f>SUMIFS(#REF!,#REF!,美团日报!$C159,#REF!,"美团")</f>
        <v>#REF!</v>
      </c>
      <c r="Q159" s="18"/>
      <c r="R159" s="18"/>
      <c r="S159" s="18" t="e">
        <f t="shared" si="17"/>
        <v>#REF!</v>
      </c>
      <c r="T159" s="59" t="e">
        <f>SUMIFS(#REF!,#REF!,美团日报!$C159,#REF!,"美团")</f>
        <v>#REF!</v>
      </c>
      <c r="U159" s="18" t="e">
        <f t="shared" si="18"/>
        <v>#REF!</v>
      </c>
      <c r="V159" s="59" t="e">
        <f>SUMIFS(#REF!,#REF!,美团日报!$C159,#REF!,"美团")</f>
        <v>#REF!</v>
      </c>
      <c r="W159" s="16" t="s">
        <v>19</v>
      </c>
    </row>
    <row r="160" ht="14.4" spans="1:23">
      <c r="A160" s="16" t="s">
        <v>264</v>
      </c>
      <c r="B160" s="16" t="s">
        <v>313</v>
      </c>
      <c r="C160" s="16">
        <v>1620</v>
      </c>
      <c r="D160" s="16" t="s">
        <v>399</v>
      </c>
      <c r="E160" s="58">
        <f>_xlfn.IFNA(VLOOKUP(C:C,线上线下销售!B:D,3,0),0)</f>
        <v>5662.4727</v>
      </c>
      <c r="F160" s="18">
        <f>SUMIFS(线上订单!$E:$E,线上订单!$B:$B,美团日报!$C160,线上订单!$D:$D,"美团")</f>
        <v>0</v>
      </c>
      <c r="G160" s="59">
        <f t="shared" si="13"/>
        <v>0</v>
      </c>
      <c r="H160" s="18">
        <f>SUMIFS(线上订单!$F:$F,线上订单!$B:$B,美团日报!$C160,线上订单!$D:$D,"美团")</f>
        <v>0</v>
      </c>
      <c r="I160" s="18">
        <f>SUMIFS(线上订单!$F:$F,线上订单!$B:$B,美团日报!$C160,线上订单!$D:$D,"美团")</f>
        <v>0</v>
      </c>
      <c r="J160" s="18">
        <f t="shared" si="14"/>
        <v>0</v>
      </c>
      <c r="K160" s="18" t="e">
        <f t="shared" si="15"/>
        <v>#REF!</v>
      </c>
      <c r="L160" s="59" t="e">
        <f>SUMIFS(#REF!,#REF!,美团日报!$C160,#REF!,"美团")</f>
        <v>#REF!</v>
      </c>
      <c r="M160" s="18"/>
      <c r="N160" s="18"/>
      <c r="O160" s="18" t="e">
        <f t="shared" si="16"/>
        <v>#REF!</v>
      </c>
      <c r="P160" s="59" t="e">
        <f>SUMIFS(#REF!,#REF!,美团日报!$C160,#REF!,"美团")</f>
        <v>#REF!</v>
      </c>
      <c r="Q160" s="18"/>
      <c r="R160" s="18"/>
      <c r="S160" s="18" t="e">
        <f t="shared" si="17"/>
        <v>#REF!</v>
      </c>
      <c r="T160" s="59" t="e">
        <f>SUMIFS(#REF!,#REF!,美团日报!$C160,#REF!,"美团")</f>
        <v>#REF!</v>
      </c>
      <c r="U160" s="18" t="e">
        <f t="shared" si="18"/>
        <v>#REF!</v>
      </c>
      <c r="V160" s="59" t="e">
        <f>SUMIFS(#REF!,#REF!,美团日报!$C160,#REF!,"美团")</f>
        <v>#REF!</v>
      </c>
      <c r="W160" s="16" t="s">
        <v>19</v>
      </c>
    </row>
    <row r="161" ht="14.4" spans="1:23">
      <c r="A161" s="16" t="s">
        <v>264</v>
      </c>
      <c r="B161" s="16" t="s">
        <v>401</v>
      </c>
      <c r="C161" s="16">
        <v>1640</v>
      </c>
      <c r="D161" s="16" t="s">
        <v>402</v>
      </c>
      <c r="E161" s="58">
        <f>_xlfn.IFNA(VLOOKUP(C:C,线上线下销售!B:D,3,0),0)</f>
        <v>1167.3953</v>
      </c>
      <c r="F161" s="18">
        <f>SUMIFS(线上订单!$E:$E,线上订单!$B:$B,美团日报!$C161,线上订单!$D:$D,"美团")</f>
        <v>0</v>
      </c>
      <c r="G161" s="59">
        <f t="shared" si="13"/>
        <v>0</v>
      </c>
      <c r="H161" s="18">
        <f>SUMIFS(线上订单!$F:$F,线上订单!$B:$B,美团日报!$C161,线上订单!$D:$D,"美团")</f>
        <v>0</v>
      </c>
      <c r="I161" s="18">
        <f>SUMIFS(线上订单!$F:$F,线上订单!$B:$B,美团日报!$C161,线上订单!$D:$D,"美团")</f>
        <v>0</v>
      </c>
      <c r="J161" s="18">
        <f t="shared" si="14"/>
        <v>0</v>
      </c>
      <c r="K161" s="18" t="e">
        <f t="shared" si="15"/>
        <v>#REF!</v>
      </c>
      <c r="L161" s="59" t="e">
        <f>SUMIFS(#REF!,#REF!,美团日报!$C161,#REF!,"美团")</f>
        <v>#REF!</v>
      </c>
      <c r="M161" s="18"/>
      <c r="N161" s="18"/>
      <c r="O161" s="18" t="e">
        <f t="shared" si="16"/>
        <v>#REF!</v>
      </c>
      <c r="P161" s="59" t="e">
        <f>SUMIFS(#REF!,#REF!,美团日报!$C161,#REF!,"美团")</f>
        <v>#REF!</v>
      </c>
      <c r="Q161" s="18"/>
      <c r="R161" s="18"/>
      <c r="S161" s="18" t="e">
        <f t="shared" si="17"/>
        <v>#REF!</v>
      </c>
      <c r="T161" s="59" t="e">
        <f>SUMIFS(#REF!,#REF!,美团日报!$C161,#REF!,"美团")</f>
        <v>#REF!</v>
      </c>
      <c r="U161" s="18" t="e">
        <f t="shared" si="18"/>
        <v>#REF!</v>
      </c>
      <c r="V161" s="59" t="e">
        <f>SUMIFS(#REF!,#REF!,美团日报!$C161,#REF!,"美团")</f>
        <v>#REF!</v>
      </c>
      <c r="W161" s="16" t="s">
        <v>19</v>
      </c>
    </row>
    <row r="162" ht="14.4" spans="1:23">
      <c r="A162" s="16" t="s">
        <v>264</v>
      </c>
      <c r="B162" s="16" t="s">
        <v>401</v>
      </c>
      <c r="C162" s="16">
        <v>1641</v>
      </c>
      <c r="D162" s="16" t="s">
        <v>404</v>
      </c>
      <c r="E162" s="58">
        <f>_xlfn.IFNA(VLOOKUP(C:C,线上线下销售!B:D,3,0),0)</f>
        <v>0</v>
      </c>
      <c r="F162" s="18">
        <f>SUMIFS(线上订单!$E:$E,线上订单!$B:$B,美团日报!$C162,线上订单!$D:$D,"美团")</f>
        <v>0</v>
      </c>
      <c r="G162" s="59">
        <f t="shared" si="13"/>
        <v>0</v>
      </c>
      <c r="H162" s="18">
        <f>SUMIFS(线上订单!$F:$F,线上订单!$B:$B,美团日报!$C162,线上订单!$D:$D,"美团")</f>
        <v>0</v>
      </c>
      <c r="I162" s="18">
        <f>SUMIFS(线上订单!$F:$F,线上订单!$B:$B,美团日报!$C162,线上订单!$D:$D,"美团")</f>
        <v>0</v>
      </c>
      <c r="J162" s="18">
        <f t="shared" si="14"/>
        <v>0</v>
      </c>
      <c r="K162" s="18" t="e">
        <f t="shared" si="15"/>
        <v>#REF!</v>
      </c>
      <c r="L162" s="59" t="e">
        <f>SUMIFS(#REF!,#REF!,美团日报!$C162,#REF!,"美团")</f>
        <v>#REF!</v>
      </c>
      <c r="M162" s="18"/>
      <c r="N162" s="18"/>
      <c r="O162" s="18" t="e">
        <f t="shared" si="16"/>
        <v>#REF!</v>
      </c>
      <c r="P162" s="59" t="e">
        <f>SUMIFS(#REF!,#REF!,美团日报!$C162,#REF!,"美团")</f>
        <v>#REF!</v>
      </c>
      <c r="Q162" s="18"/>
      <c r="R162" s="18"/>
      <c r="S162" s="18" t="e">
        <f t="shared" si="17"/>
        <v>#REF!</v>
      </c>
      <c r="T162" s="59" t="e">
        <f>SUMIFS(#REF!,#REF!,美团日报!$C162,#REF!,"美团")</f>
        <v>#REF!</v>
      </c>
      <c r="U162" s="18" t="e">
        <f t="shared" si="18"/>
        <v>#REF!</v>
      </c>
      <c r="V162" s="59" t="e">
        <f>SUMIFS(#REF!,#REF!,美团日报!$C162,#REF!,"美团")</f>
        <v>#REF!</v>
      </c>
      <c r="W162" s="16" t="s">
        <v>19</v>
      </c>
    </row>
    <row r="163" ht="14.4" spans="1:23">
      <c r="A163" s="16" t="s">
        <v>264</v>
      </c>
      <c r="B163" s="16" t="s">
        <v>401</v>
      </c>
      <c r="C163" s="16">
        <v>1642</v>
      </c>
      <c r="D163" s="16" t="s">
        <v>406</v>
      </c>
      <c r="E163" s="58">
        <f>_xlfn.IFNA(VLOOKUP(C:C,线上线下销售!B:D,3,0),0)</f>
        <v>0</v>
      </c>
      <c r="F163" s="18">
        <f>SUMIFS(线上订单!$E:$E,线上订单!$B:$B,美团日报!$C163,线上订单!$D:$D,"美团")</f>
        <v>0</v>
      </c>
      <c r="G163" s="59">
        <f t="shared" si="13"/>
        <v>0</v>
      </c>
      <c r="H163" s="18">
        <f>SUMIFS(线上订单!$F:$F,线上订单!$B:$B,美团日报!$C163,线上订单!$D:$D,"美团")</f>
        <v>0</v>
      </c>
      <c r="I163" s="18">
        <f>SUMIFS(线上订单!$F:$F,线上订单!$B:$B,美团日报!$C163,线上订单!$D:$D,"美团")</f>
        <v>0</v>
      </c>
      <c r="J163" s="18">
        <f t="shared" si="14"/>
        <v>0</v>
      </c>
      <c r="K163" s="18" t="e">
        <f t="shared" si="15"/>
        <v>#REF!</v>
      </c>
      <c r="L163" s="59" t="e">
        <f>SUMIFS(#REF!,#REF!,美团日报!$C163,#REF!,"美团")</f>
        <v>#REF!</v>
      </c>
      <c r="M163" s="18"/>
      <c r="N163" s="18"/>
      <c r="O163" s="18" t="e">
        <f t="shared" si="16"/>
        <v>#REF!</v>
      </c>
      <c r="P163" s="59" t="e">
        <f>SUMIFS(#REF!,#REF!,美团日报!$C163,#REF!,"美团")</f>
        <v>#REF!</v>
      </c>
      <c r="Q163" s="18"/>
      <c r="R163" s="18"/>
      <c r="S163" s="18" t="e">
        <f t="shared" si="17"/>
        <v>#REF!</v>
      </c>
      <c r="T163" s="59" t="e">
        <f>SUMIFS(#REF!,#REF!,美团日报!$C163,#REF!,"美团")</f>
        <v>#REF!</v>
      </c>
      <c r="U163" s="18" t="e">
        <f t="shared" si="18"/>
        <v>#REF!</v>
      </c>
      <c r="V163" s="59" t="e">
        <f>SUMIFS(#REF!,#REF!,美团日报!$C163,#REF!,"美团")</f>
        <v>#REF!</v>
      </c>
      <c r="W163" s="16" t="s">
        <v>19</v>
      </c>
    </row>
    <row r="164" ht="14.4" spans="1:23">
      <c r="A164" s="16" t="s">
        <v>264</v>
      </c>
      <c r="B164" s="16" t="s">
        <v>261</v>
      </c>
      <c r="C164" s="16">
        <v>1644</v>
      </c>
      <c r="D164" s="16" t="s">
        <v>408</v>
      </c>
      <c r="E164" s="58">
        <f>_xlfn.IFNA(VLOOKUP(C:C,线上线下销售!B:D,3,0),0)</f>
        <v>9261.9673</v>
      </c>
      <c r="F164" s="18">
        <f>SUMIFS(线上订单!$E:$E,线上订单!$B:$B,美团日报!$C164,线上订单!$D:$D,"美团")</f>
        <v>0</v>
      </c>
      <c r="G164" s="59">
        <f t="shared" si="13"/>
        <v>0</v>
      </c>
      <c r="H164" s="18">
        <f>SUMIFS(线上订单!$F:$F,线上订单!$B:$B,美团日报!$C164,线上订单!$D:$D,"美团")</f>
        <v>0</v>
      </c>
      <c r="I164" s="18">
        <f>SUMIFS(线上订单!$F:$F,线上订单!$B:$B,美团日报!$C164,线上订单!$D:$D,"美团")</f>
        <v>0</v>
      </c>
      <c r="J164" s="18">
        <f t="shared" si="14"/>
        <v>0</v>
      </c>
      <c r="K164" s="18" t="e">
        <f t="shared" si="15"/>
        <v>#REF!</v>
      </c>
      <c r="L164" s="59" t="e">
        <f>SUMIFS(#REF!,#REF!,美团日报!$C164,#REF!,"美团")</f>
        <v>#REF!</v>
      </c>
      <c r="M164" s="18"/>
      <c r="N164" s="18"/>
      <c r="O164" s="18" t="e">
        <f t="shared" si="16"/>
        <v>#REF!</v>
      </c>
      <c r="P164" s="59" t="e">
        <f>SUMIFS(#REF!,#REF!,美团日报!$C164,#REF!,"美团")</f>
        <v>#REF!</v>
      </c>
      <c r="Q164" s="18"/>
      <c r="R164" s="18"/>
      <c r="S164" s="18" t="e">
        <f t="shared" si="17"/>
        <v>#REF!</v>
      </c>
      <c r="T164" s="59" t="e">
        <f>SUMIFS(#REF!,#REF!,美团日报!$C164,#REF!,"美团")</f>
        <v>#REF!</v>
      </c>
      <c r="U164" s="18" t="e">
        <f t="shared" si="18"/>
        <v>#REF!</v>
      </c>
      <c r="V164" s="59" t="e">
        <f>SUMIFS(#REF!,#REF!,美团日报!$C164,#REF!,"美团")</f>
        <v>#REF!</v>
      </c>
      <c r="W164" s="16" t="s">
        <v>19</v>
      </c>
    </row>
    <row r="165" ht="14.4" spans="1:23">
      <c r="A165" s="16" t="s">
        <v>264</v>
      </c>
      <c r="B165" s="16" t="s">
        <v>576</v>
      </c>
      <c r="C165" s="16">
        <v>1646</v>
      </c>
      <c r="D165" s="16" t="s">
        <v>410</v>
      </c>
      <c r="E165" s="58">
        <f>_xlfn.IFNA(VLOOKUP(C:C,线上线下销售!B:D,3,0),0)</f>
        <v>4876.462</v>
      </c>
      <c r="F165" s="18">
        <f>SUMIFS(线上订单!$E:$E,线上订单!$B:$B,美团日报!$C165,线上订单!$D:$D,"美团")</f>
        <v>0</v>
      </c>
      <c r="G165" s="59">
        <f t="shared" si="13"/>
        <v>0</v>
      </c>
      <c r="H165" s="18">
        <f>SUMIFS(线上订单!$F:$F,线上订单!$B:$B,美团日报!$C165,线上订单!$D:$D,"美团")</f>
        <v>0</v>
      </c>
      <c r="I165" s="18">
        <f>SUMIFS(线上订单!$F:$F,线上订单!$B:$B,美团日报!$C165,线上订单!$D:$D,"美团")</f>
        <v>0</v>
      </c>
      <c r="J165" s="18">
        <f t="shared" si="14"/>
        <v>0</v>
      </c>
      <c r="K165" s="18" t="e">
        <f t="shared" si="15"/>
        <v>#REF!</v>
      </c>
      <c r="L165" s="59" t="e">
        <f>SUMIFS(#REF!,#REF!,美团日报!$C165,#REF!,"美团")</f>
        <v>#REF!</v>
      </c>
      <c r="M165" s="18"/>
      <c r="N165" s="18"/>
      <c r="O165" s="18" t="e">
        <f t="shared" si="16"/>
        <v>#REF!</v>
      </c>
      <c r="P165" s="59" t="e">
        <f>SUMIFS(#REF!,#REF!,美团日报!$C165,#REF!,"美团")</f>
        <v>#REF!</v>
      </c>
      <c r="Q165" s="18"/>
      <c r="R165" s="18"/>
      <c r="S165" s="18" t="e">
        <f t="shared" si="17"/>
        <v>#REF!</v>
      </c>
      <c r="T165" s="59" t="e">
        <f>SUMIFS(#REF!,#REF!,美团日报!$C165,#REF!,"美团")</f>
        <v>#REF!</v>
      </c>
      <c r="U165" s="18" t="e">
        <f t="shared" si="18"/>
        <v>#REF!</v>
      </c>
      <c r="V165" s="59" t="e">
        <f>SUMIFS(#REF!,#REF!,美团日报!$C165,#REF!,"美团")</f>
        <v>#REF!</v>
      </c>
      <c r="W165" s="16" t="s">
        <v>19</v>
      </c>
    </row>
    <row r="166" ht="14.4" spans="1:23">
      <c r="A166" s="16" t="s">
        <v>264</v>
      </c>
      <c r="B166" s="16" t="s">
        <v>327</v>
      </c>
      <c r="C166" s="16">
        <v>1651</v>
      </c>
      <c r="D166" s="16" t="s">
        <v>412</v>
      </c>
      <c r="E166" s="58">
        <f>_xlfn.IFNA(VLOOKUP(C:C,线上线下销售!B:D,3,0),0)</f>
        <v>3889.6729</v>
      </c>
      <c r="F166" s="18">
        <f>SUMIFS(线上订单!$E:$E,线上订单!$B:$B,美团日报!$C166,线上订单!$D:$D,"美团")</f>
        <v>0</v>
      </c>
      <c r="G166" s="59">
        <f t="shared" si="13"/>
        <v>0</v>
      </c>
      <c r="H166" s="18">
        <f>SUMIFS(线上订单!$F:$F,线上订单!$B:$B,美团日报!$C166,线上订单!$D:$D,"美团")</f>
        <v>0</v>
      </c>
      <c r="I166" s="18">
        <f>SUMIFS(线上订单!$F:$F,线上订单!$B:$B,美团日报!$C166,线上订单!$D:$D,"美团")</f>
        <v>0</v>
      </c>
      <c r="J166" s="18">
        <f t="shared" si="14"/>
        <v>0</v>
      </c>
      <c r="K166" s="18" t="e">
        <f t="shared" si="15"/>
        <v>#REF!</v>
      </c>
      <c r="L166" s="59" t="e">
        <f>SUMIFS(#REF!,#REF!,美团日报!$C166,#REF!,"美团")</f>
        <v>#REF!</v>
      </c>
      <c r="M166" s="18"/>
      <c r="N166" s="18"/>
      <c r="O166" s="18" t="e">
        <f t="shared" si="16"/>
        <v>#REF!</v>
      </c>
      <c r="P166" s="59" t="e">
        <f>SUMIFS(#REF!,#REF!,美团日报!$C166,#REF!,"美团")</f>
        <v>#REF!</v>
      </c>
      <c r="Q166" s="18"/>
      <c r="R166" s="18"/>
      <c r="S166" s="18" t="e">
        <f t="shared" si="17"/>
        <v>#REF!</v>
      </c>
      <c r="T166" s="59" t="e">
        <f>SUMIFS(#REF!,#REF!,美团日报!$C166,#REF!,"美团")</f>
        <v>#REF!</v>
      </c>
      <c r="U166" s="18" t="e">
        <f t="shared" si="18"/>
        <v>#REF!</v>
      </c>
      <c r="V166" s="59" t="e">
        <f>SUMIFS(#REF!,#REF!,美团日报!$C166,#REF!,"美团")</f>
        <v>#REF!</v>
      </c>
      <c r="W166" s="16" t="s">
        <v>19</v>
      </c>
    </row>
    <row r="167" ht="14.4" spans="1:23">
      <c r="A167" s="16" t="s">
        <v>264</v>
      </c>
      <c r="B167" s="16" t="s">
        <v>401</v>
      </c>
      <c r="C167" s="16">
        <v>1656</v>
      </c>
      <c r="D167" s="16" t="s">
        <v>413</v>
      </c>
      <c r="E167" s="58">
        <f>_xlfn.IFNA(VLOOKUP(C:C,线上线下销售!B:D,3,0),0)</f>
        <v>0</v>
      </c>
      <c r="F167" s="18">
        <f>SUMIFS(线上订单!$E:$E,线上订单!$B:$B,美团日报!$C167,线上订单!$D:$D,"美团")</f>
        <v>0</v>
      </c>
      <c r="G167" s="59">
        <f t="shared" si="13"/>
        <v>0</v>
      </c>
      <c r="H167" s="18">
        <f>SUMIFS(线上订单!$F:$F,线上订单!$B:$B,美团日报!$C167,线上订单!$D:$D,"美团")</f>
        <v>0</v>
      </c>
      <c r="I167" s="18">
        <f>SUMIFS(线上订单!$F:$F,线上订单!$B:$B,美团日报!$C167,线上订单!$D:$D,"美团")</f>
        <v>0</v>
      </c>
      <c r="J167" s="18">
        <f t="shared" si="14"/>
        <v>0</v>
      </c>
      <c r="K167" s="18" t="e">
        <f t="shared" si="15"/>
        <v>#REF!</v>
      </c>
      <c r="L167" s="59" t="e">
        <f>SUMIFS(#REF!,#REF!,美团日报!$C167,#REF!,"美团")</f>
        <v>#REF!</v>
      </c>
      <c r="M167" s="18"/>
      <c r="N167" s="18"/>
      <c r="O167" s="18" t="e">
        <f t="shared" si="16"/>
        <v>#REF!</v>
      </c>
      <c r="P167" s="59" t="e">
        <f>SUMIFS(#REF!,#REF!,美团日报!$C167,#REF!,"美团")</f>
        <v>#REF!</v>
      </c>
      <c r="Q167" s="18"/>
      <c r="R167" s="18"/>
      <c r="S167" s="18" t="e">
        <f t="shared" si="17"/>
        <v>#REF!</v>
      </c>
      <c r="T167" s="59" t="e">
        <f>SUMIFS(#REF!,#REF!,美团日报!$C167,#REF!,"美团")</f>
        <v>#REF!</v>
      </c>
      <c r="U167" s="18" t="e">
        <f t="shared" si="18"/>
        <v>#REF!</v>
      </c>
      <c r="V167" s="59" t="e">
        <f>SUMIFS(#REF!,#REF!,美团日报!$C167,#REF!,"美团")</f>
        <v>#REF!</v>
      </c>
      <c r="W167" s="16" t="s">
        <v>19</v>
      </c>
    </row>
    <row r="168" ht="14.4" spans="1:23">
      <c r="A168" s="16" t="s">
        <v>56</v>
      </c>
      <c r="B168" s="16" t="s">
        <v>73</v>
      </c>
      <c r="C168" s="16">
        <v>1664</v>
      </c>
      <c r="D168" s="16" t="s">
        <v>415</v>
      </c>
      <c r="E168" s="58">
        <f>_xlfn.IFNA(VLOOKUP(C:C,线上线下销售!B:D,3,0),0)</f>
        <v>10781.4649</v>
      </c>
      <c r="F168" s="18">
        <f>SUMIFS(线上订单!$E:$E,线上订单!$B:$B,美团日报!$C168,线上订单!$D:$D,"美团")</f>
        <v>989.55752212391</v>
      </c>
      <c r="G168" s="59">
        <f t="shared" si="13"/>
        <v>0.0917832160381016</v>
      </c>
      <c r="H168" s="18">
        <f>SUMIFS(线上订单!$F:$F,线上订单!$B:$B,美团日报!$C168,线上订单!$D:$D,"美团")</f>
        <v>24</v>
      </c>
      <c r="I168" s="18">
        <f>SUMIFS(线上订单!$F:$F,线上订单!$B:$B,美团日报!$C168,线上订单!$D:$D,"美团")</f>
        <v>24</v>
      </c>
      <c r="J168" s="18">
        <f t="shared" si="14"/>
        <v>41.2315634218296</v>
      </c>
      <c r="K168" s="18" t="e">
        <f t="shared" si="15"/>
        <v>#REF!</v>
      </c>
      <c r="L168" s="59" t="e">
        <f>SUMIFS(#REF!,#REF!,美团日报!$C168,#REF!,"美团")</f>
        <v>#REF!</v>
      </c>
      <c r="M168" s="18"/>
      <c r="N168" s="18"/>
      <c r="O168" s="18" t="e">
        <f t="shared" si="16"/>
        <v>#REF!</v>
      </c>
      <c r="P168" s="59" t="e">
        <f>SUMIFS(#REF!,#REF!,美团日报!$C168,#REF!,"美团")</f>
        <v>#REF!</v>
      </c>
      <c r="Q168" s="18"/>
      <c r="R168" s="18"/>
      <c r="S168" s="18" t="e">
        <f t="shared" si="17"/>
        <v>#REF!</v>
      </c>
      <c r="T168" s="59" t="e">
        <f>SUMIFS(#REF!,#REF!,美团日报!$C168,#REF!,"美团")</f>
        <v>#REF!</v>
      </c>
      <c r="U168" s="18" t="e">
        <f t="shared" si="18"/>
        <v>#REF!</v>
      </c>
      <c r="V168" s="59" t="e">
        <f>SUMIFS(#REF!,#REF!,美团日报!$C168,#REF!,"美团")</f>
        <v>#REF!</v>
      </c>
      <c r="W168" s="16" t="s">
        <v>19</v>
      </c>
    </row>
    <row r="169" ht="14.4" spans="1:23">
      <c r="A169" s="16" t="s">
        <v>264</v>
      </c>
      <c r="B169" s="16" t="s">
        <v>370</v>
      </c>
      <c r="C169" s="16">
        <v>1671</v>
      </c>
      <c r="D169" s="16" t="s">
        <v>417</v>
      </c>
      <c r="E169" s="58">
        <f>_xlfn.IFNA(VLOOKUP(C:C,线上线下销售!B:D,3,0),0)</f>
        <v>0</v>
      </c>
      <c r="F169" s="18">
        <f>SUMIFS(线上订单!$E:$E,线上订单!$B:$B,美团日报!$C169,线上订单!$D:$D,"美团")</f>
        <v>0</v>
      </c>
      <c r="G169" s="59">
        <f t="shared" si="13"/>
        <v>0</v>
      </c>
      <c r="H169" s="18">
        <f>SUMIFS(线上订单!$F:$F,线上订单!$B:$B,美团日报!$C169,线上订单!$D:$D,"美团")</f>
        <v>0</v>
      </c>
      <c r="I169" s="18">
        <f>SUMIFS(线上订单!$F:$F,线上订单!$B:$B,美团日报!$C169,线上订单!$D:$D,"美团")</f>
        <v>0</v>
      </c>
      <c r="J169" s="18">
        <f t="shared" si="14"/>
        <v>0</v>
      </c>
      <c r="K169" s="18" t="e">
        <f t="shared" si="15"/>
        <v>#REF!</v>
      </c>
      <c r="L169" s="59" t="e">
        <f>SUMIFS(#REF!,#REF!,美团日报!$C169,#REF!,"美团")</f>
        <v>#REF!</v>
      </c>
      <c r="M169" s="18"/>
      <c r="N169" s="18"/>
      <c r="O169" s="18" t="e">
        <f t="shared" si="16"/>
        <v>#REF!</v>
      </c>
      <c r="P169" s="59" t="e">
        <f>SUMIFS(#REF!,#REF!,美团日报!$C169,#REF!,"美团")</f>
        <v>#REF!</v>
      </c>
      <c r="Q169" s="18"/>
      <c r="R169" s="18"/>
      <c r="S169" s="18" t="e">
        <f t="shared" si="17"/>
        <v>#REF!</v>
      </c>
      <c r="T169" s="59" t="e">
        <f>SUMIFS(#REF!,#REF!,美团日报!$C169,#REF!,"美团")</f>
        <v>#REF!</v>
      </c>
      <c r="U169" s="18" t="e">
        <f t="shared" si="18"/>
        <v>#REF!</v>
      </c>
      <c r="V169" s="59" t="e">
        <f>SUMIFS(#REF!,#REF!,美团日报!$C169,#REF!,"美团")</f>
        <v>#REF!</v>
      </c>
      <c r="W169" s="16" t="s">
        <v>19</v>
      </c>
    </row>
    <row r="170" ht="14.4" spans="1:23">
      <c r="A170" s="16" t="s">
        <v>264</v>
      </c>
      <c r="B170" s="16" t="s">
        <v>313</v>
      </c>
      <c r="C170" s="16">
        <v>1672</v>
      </c>
      <c r="D170" s="16" t="s">
        <v>419</v>
      </c>
      <c r="E170" s="58">
        <f>_xlfn.IFNA(VLOOKUP(C:C,线上线下销售!B:D,3,0),0)</f>
        <v>3637.5168</v>
      </c>
      <c r="F170" s="18">
        <f>SUMIFS(线上订单!$E:$E,线上订单!$B:$B,美团日报!$C170,线上订单!$D:$D,"美团")</f>
        <v>0</v>
      </c>
      <c r="G170" s="59">
        <f t="shared" si="13"/>
        <v>0</v>
      </c>
      <c r="H170" s="18">
        <f>SUMIFS(线上订单!$F:$F,线上订单!$B:$B,美团日报!$C170,线上订单!$D:$D,"美团")</f>
        <v>0</v>
      </c>
      <c r="I170" s="18">
        <f>SUMIFS(线上订单!$F:$F,线上订单!$B:$B,美团日报!$C170,线上订单!$D:$D,"美团")</f>
        <v>0</v>
      </c>
      <c r="J170" s="18">
        <f t="shared" si="14"/>
        <v>0</v>
      </c>
      <c r="K170" s="18" t="e">
        <f t="shared" si="15"/>
        <v>#REF!</v>
      </c>
      <c r="L170" s="59" t="e">
        <f>SUMIFS(#REF!,#REF!,美团日报!$C170,#REF!,"美团")</f>
        <v>#REF!</v>
      </c>
      <c r="M170" s="18"/>
      <c r="N170" s="18"/>
      <c r="O170" s="18" t="e">
        <f t="shared" si="16"/>
        <v>#REF!</v>
      </c>
      <c r="P170" s="59" t="e">
        <f>SUMIFS(#REF!,#REF!,美团日报!$C170,#REF!,"美团")</f>
        <v>#REF!</v>
      </c>
      <c r="Q170" s="18"/>
      <c r="R170" s="18"/>
      <c r="S170" s="18" t="e">
        <f t="shared" si="17"/>
        <v>#REF!</v>
      </c>
      <c r="T170" s="59" t="e">
        <f>SUMIFS(#REF!,#REF!,美团日报!$C170,#REF!,"美团")</f>
        <v>#REF!</v>
      </c>
      <c r="U170" s="18" t="e">
        <f t="shared" si="18"/>
        <v>#REF!</v>
      </c>
      <c r="V170" s="59" t="e">
        <f>SUMIFS(#REF!,#REF!,美团日报!$C170,#REF!,"美团")</f>
        <v>#REF!</v>
      </c>
      <c r="W170" s="16" t="s">
        <v>19</v>
      </c>
    </row>
    <row r="171" ht="14.4" spans="1:23">
      <c r="A171" s="16" t="s">
        <v>264</v>
      </c>
      <c r="B171" s="16" t="s">
        <v>576</v>
      </c>
      <c r="C171" s="16">
        <v>1677</v>
      </c>
      <c r="D171" s="16" t="s">
        <v>421</v>
      </c>
      <c r="E171" s="58">
        <f>_xlfn.IFNA(VLOOKUP(C:C,线上线下销售!B:D,3,0),0)</f>
        <v>6826.9306</v>
      </c>
      <c r="F171" s="18">
        <f>SUMIFS(线上订单!$E:$E,线上订单!$B:$B,美团日报!$C171,线上订单!$D:$D,"美团")</f>
        <v>0</v>
      </c>
      <c r="G171" s="59">
        <f t="shared" si="13"/>
        <v>0</v>
      </c>
      <c r="H171" s="18">
        <f>SUMIFS(线上订单!$F:$F,线上订单!$B:$B,美团日报!$C171,线上订单!$D:$D,"美团")</f>
        <v>0</v>
      </c>
      <c r="I171" s="18">
        <f>SUMIFS(线上订单!$F:$F,线上订单!$B:$B,美团日报!$C171,线上订单!$D:$D,"美团")</f>
        <v>0</v>
      </c>
      <c r="J171" s="18">
        <f t="shared" si="14"/>
        <v>0</v>
      </c>
      <c r="K171" s="18" t="e">
        <f t="shared" si="15"/>
        <v>#REF!</v>
      </c>
      <c r="L171" s="59" t="e">
        <f>SUMIFS(#REF!,#REF!,美团日报!$C171,#REF!,"美团")</f>
        <v>#REF!</v>
      </c>
      <c r="M171" s="18"/>
      <c r="N171" s="18"/>
      <c r="O171" s="18" t="e">
        <f t="shared" si="16"/>
        <v>#REF!</v>
      </c>
      <c r="P171" s="59" t="e">
        <f>SUMIFS(#REF!,#REF!,美团日报!$C171,#REF!,"美团")</f>
        <v>#REF!</v>
      </c>
      <c r="Q171" s="18"/>
      <c r="R171" s="18"/>
      <c r="S171" s="18" t="e">
        <f t="shared" si="17"/>
        <v>#REF!</v>
      </c>
      <c r="T171" s="59" t="e">
        <f>SUMIFS(#REF!,#REF!,美团日报!$C171,#REF!,"美团")</f>
        <v>#REF!</v>
      </c>
      <c r="U171" s="18" t="e">
        <f t="shared" si="18"/>
        <v>#REF!</v>
      </c>
      <c r="V171" s="59" t="e">
        <f>SUMIFS(#REF!,#REF!,美团日报!$C171,#REF!,"美团")</f>
        <v>#REF!</v>
      </c>
      <c r="W171" s="16" t="s">
        <v>19</v>
      </c>
    </row>
    <row r="172" ht="14.4" spans="1:23">
      <c r="A172" s="16" t="s">
        <v>264</v>
      </c>
      <c r="B172" s="16" t="s">
        <v>359</v>
      </c>
      <c r="C172" s="16">
        <v>1686</v>
      </c>
      <c r="D172" s="16" t="s">
        <v>423</v>
      </c>
      <c r="E172" s="58">
        <f>_xlfn.IFNA(VLOOKUP(C:C,线上线下销售!B:D,3,0),0)</f>
        <v>8765.6691</v>
      </c>
      <c r="F172" s="18">
        <f>SUMIFS(线上订单!$E:$E,线上订单!$B:$B,美团日报!$C172,线上订单!$D:$D,"美团")</f>
        <v>0</v>
      </c>
      <c r="G172" s="59">
        <f t="shared" si="13"/>
        <v>0</v>
      </c>
      <c r="H172" s="18">
        <f>SUMIFS(线上订单!$F:$F,线上订单!$B:$B,美团日报!$C172,线上订单!$D:$D,"美团")</f>
        <v>0</v>
      </c>
      <c r="I172" s="18">
        <f>SUMIFS(线上订单!$F:$F,线上订单!$B:$B,美团日报!$C172,线上订单!$D:$D,"美团")</f>
        <v>0</v>
      </c>
      <c r="J172" s="18">
        <f t="shared" si="14"/>
        <v>0</v>
      </c>
      <c r="K172" s="18" t="e">
        <f t="shared" si="15"/>
        <v>#REF!</v>
      </c>
      <c r="L172" s="59" t="e">
        <f>SUMIFS(#REF!,#REF!,美团日报!$C172,#REF!,"美团")</f>
        <v>#REF!</v>
      </c>
      <c r="M172" s="18"/>
      <c r="N172" s="18"/>
      <c r="O172" s="18" t="e">
        <f t="shared" si="16"/>
        <v>#REF!</v>
      </c>
      <c r="P172" s="59" t="e">
        <f>SUMIFS(#REF!,#REF!,美团日报!$C172,#REF!,"美团")</f>
        <v>#REF!</v>
      </c>
      <c r="Q172" s="18"/>
      <c r="R172" s="18"/>
      <c r="S172" s="18" t="e">
        <f t="shared" si="17"/>
        <v>#REF!</v>
      </c>
      <c r="T172" s="59" t="e">
        <f>SUMIFS(#REF!,#REF!,美团日报!$C172,#REF!,"美团")</f>
        <v>#REF!</v>
      </c>
      <c r="U172" s="18" t="e">
        <f t="shared" si="18"/>
        <v>#REF!</v>
      </c>
      <c r="V172" s="59" t="e">
        <f>SUMIFS(#REF!,#REF!,美团日报!$C172,#REF!,"美团")</f>
        <v>#REF!</v>
      </c>
      <c r="W172" s="16" t="s">
        <v>19</v>
      </c>
    </row>
    <row r="173" ht="14.4" spans="1:23">
      <c r="A173" s="16" t="s">
        <v>264</v>
      </c>
      <c r="B173" s="16" t="s">
        <v>261</v>
      </c>
      <c r="C173" s="16">
        <v>1687</v>
      </c>
      <c r="D173" s="16" t="s">
        <v>425</v>
      </c>
      <c r="E173" s="58">
        <f>_xlfn.IFNA(VLOOKUP(C:C,线上线下销售!B:D,3,0),0)</f>
        <v>3252.1825</v>
      </c>
      <c r="F173" s="18">
        <f>SUMIFS(线上订单!$E:$E,线上订单!$B:$B,美团日报!$C173,线上订单!$D:$D,"美团")</f>
        <v>0</v>
      </c>
      <c r="G173" s="59">
        <f t="shared" si="13"/>
        <v>0</v>
      </c>
      <c r="H173" s="18">
        <f>SUMIFS(线上订单!$F:$F,线上订单!$B:$B,美团日报!$C173,线上订单!$D:$D,"美团")</f>
        <v>0</v>
      </c>
      <c r="I173" s="18">
        <f>SUMIFS(线上订单!$F:$F,线上订单!$B:$B,美团日报!$C173,线上订单!$D:$D,"美团")</f>
        <v>0</v>
      </c>
      <c r="J173" s="18">
        <f t="shared" si="14"/>
        <v>0</v>
      </c>
      <c r="K173" s="18" t="e">
        <f t="shared" si="15"/>
        <v>#REF!</v>
      </c>
      <c r="L173" s="59" t="e">
        <f>SUMIFS(#REF!,#REF!,美团日报!$C173,#REF!,"美团")</f>
        <v>#REF!</v>
      </c>
      <c r="M173" s="18"/>
      <c r="N173" s="18"/>
      <c r="O173" s="18" t="e">
        <f t="shared" si="16"/>
        <v>#REF!</v>
      </c>
      <c r="P173" s="59" t="e">
        <f>SUMIFS(#REF!,#REF!,美团日报!$C173,#REF!,"美团")</f>
        <v>#REF!</v>
      </c>
      <c r="Q173" s="18"/>
      <c r="R173" s="18"/>
      <c r="S173" s="18" t="e">
        <f t="shared" si="17"/>
        <v>#REF!</v>
      </c>
      <c r="T173" s="59" t="e">
        <f>SUMIFS(#REF!,#REF!,美团日报!$C173,#REF!,"美团")</f>
        <v>#REF!</v>
      </c>
      <c r="U173" s="18" t="e">
        <f t="shared" si="18"/>
        <v>#REF!</v>
      </c>
      <c r="V173" s="59" t="e">
        <f>SUMIFS(#REF!,#REF!,美团日报!$C173,#REF!,"美团")</f>
        <v>#REF!</v>
      </c>
      <c r="W173" s="16" t="s">
        <v>19</v>
      </c>
    </row>
    <row r="174" ht="14.4" spans="1:23">
      <c r="A174" s="16" t="s">
        <v>264</v>
      </c>
      <c r="B174" s="16" t="s">
        <v>261</v>
      </c>
      <c r="C174" s="16">
        <v>1688</v>
      </c>
      <c r="D174" s="16" t="s">
        <v>427</v>
      </c>
      <c r="E174" s="58">
        <f>_xlfn.IFNA(VLOOKUP(C:C,线上线下销售!B:D,3,0),0)</f>
        <v>6319.0287</v>
      </c>
      <c r="F174" s="18">
        <f>SUMIFS(线上订单!$E:$E,线上订单!$B:$B,美团日报!$C174,线上订单!$D:$D,"美团")</f>
        <v>0</v>
      </c>
      <c r="G174" s="59">
        <f t="shared" si="13"/>
        <v>0</v>
      </c>
      <c r="H174" s="18">
        <f>SUMIFS(线上订单!$F:$F,线上订单!$B:$B,美团日报!$C174,线上订单!$D:$D,"美团")</f>
        <v>0</v>
      </c>
      <c r="I174" s="18">
        <f>SUMIFS(线上订单!$F:$F,线上订单!$B:$B,美团日报!$C174,线上订单!$D:$D,"美团")</f>
        <v>0</v>
      </c>
      <c r="J174" s="18">
        <f t="shared" si="14"/>
        <v>0</v>
      </c>
      <c r="K174" s="18" t="e">
        <f t="shared" si="15"/>
        <v>#REF!</v>
      </c>
      <c r="L174" s="59" t="e">
        <f>SUMIFS(#REF!,#REF!,美团日报!$C174,#REF!,"美团")</f>
        <v>#REF!</v>
      </c>
      <c r="M174" s="18"/>
      <c r="N174" s="18"/>
      <c r="O174" s="18" t="e">
        <f t="shared" si="16"/>
        <v>#REF!</v>
      </c>
      <c r="P174" s="59" t="e">
        <f>SUMIFS(#REF!,#REF!,美团日报!$C174,#REF!,"美团")</f>
        <v>#REF!</v>
      </c>
      <c r="Q174" s="18"/>
      <c r="R174" s="18"/>
      <c r="S174" s="18" t="e">
        <f t="shared" si="17"/>
        <v>#REF!</v>
      </c>
      <c r="T174" s="59" t="e">
        <f>SUMIFS(#REF!,#REF!,美团日报!$C174,#REF!,"美团")</f>
        <v>#REF!</v>
      </c>
      <c r="U174" s="18" t="e">
        <f t="shared" si="18"/>
        <v>#REF!</v>
      </c>
      <c r="V174" s="59" t="e">
        <f>SUMIFS(#REF!,#REF!,美团日报!$C174,#REF!,"美团")</f>
        <v>#REF!</v>
      </c>
      <c r="W174" s="16" t="s">
        <v>19</v>
      </c>
    </row>
    <row r="175" ht="14.4" spans="1:23">
      <c r="A175" s="16" t="s">
        <v>56</v>
      </c>
      <c r="B175" s="16" t="s">
        <v>118</v>
      </c>
      <c r="C175" s="16">
        <v>1693</v>
      </c>
      <c r="D175" s="16" t="s">
        <v>428</v>
      </c>
      <c r="E175" s="58">
        <f>_xlfn.IFNA(VLOOKUP(C:C,线上线下销售!B:D,3,0),0)</f>
        <v>1622.7013</v>
      </c>
      <c r="F175" s="18">
        <f>SUMIFS(线上订单!$E:$E,线上订单!$B:$B,美团日报!$C175,线上订单!$D:$D,"美团")</f>
        <v>0</v>
      </c>
      <c r="G175" s="59">
        <f t="shared" si="13"/>
        <v>0</v>
      </c>
      <c r="H175" s="18">
        <f>SUMIFS(线上订单!$F:$F,线上订单!$B:$B,美团日报!$C175,线上订单!$D:$D,"美团")</f>
        <v>0</v>
      </c>
      <c r="I175" s="18">
        <f>SUMIFS(线上订单!$F:$F,线上订单!$B:$B,美团日报!$C175,线上订单!$D:$D,"美团")</f>
        <v>0</v>
      </c>
      <c r="J175" s="18">
        <f t="shared" si="14"/>
        <v>0</v>
      </c>
      <c r="K175" s="18" t="e">
        <f t="shared" si="15"/>
        <v>#REF!</v>
      </c>
      <c r="L175" s="59" t="e">
        <f>SUMIFS(#REF!,#REF!,美团日报!$C175,#REF!,"美团")</f>
        <v>#REF!</v>
      </c>
      <c r="M175" s="18"/>
      <c r="N175" s="18"/>
      <c r="O175" s="18" t="e">
        <f t="shared" si="16"/>
        <v>#REF!</v>
      </c>
      <c r="P175" s="59" t="e">
        <f>SUMIFS(#REF!,#REF!,美团日报!$C175,#REF!,"美团")</f>
        <v>#REF!</v>
      </c>
      <c r="Q175" s="18"/>
      <c r="R175" s="18"/>
      <c r="S175" s="18" t="e">
        <f t="shared" si="17"/>
        <v>#REF!</v>
      </c>
      <c r="T175" s="59" t="e">
        <f>SUMIFS(#REF!,#REF!,美团日报!$C175,#REF!,"美团")</f>
        <v>#REF!</v>
      </c>
      <c r="U175" s="18" t="e">
        <f t="shared" si="18"/>
        <v>#REF!</v>
      </c>
      <c r="V175" s="59" t="e">
        <f>SUMIFS(#REF!,#REF!,美团日报!$C175,#REF!,"美团")</f>
        <v>#REF!</v>
      </c>
      <c r="W175" s="16" t="s">
        <v>19</v>
      </c>
    </row>
    <row r="176" ht="14.4" spans="1:23">
      <c r="A176" s="16" t="s">
        <v>264</v>
      </c>
      <c r="B176" s="16" t="s">
        <v>261</v>
      </c>
      <c r="C176" s="16">
        <v>1698</v>
      </c>
      <c r="D176" s="16" t="s">
        <v>430</v>
      </c>
      <c r="E176" s="58">
        <f>_xlfn.IFNA(VLOOKUP(C:C,线上线下销售!B:D,3,0),0)</f>
        <v>6187.1737</v>
      </c>
      <c r="F176" s="18">
        <f>SUMIFS(线上订单!$E:$E,线上订单!$B:$B,美团日报!$C176,线上订单!$D:$D,"美团")</f>
        <v>0</v>
      </c>
      <c r="G176" s="59">
        <f t="shared" si="13"/>
        <v>0</v>
      </c>
      <c r="H176" s="18">
        <f>SUMIFS(线上订单!$F:$F,线上订单!$B:$B,美团日报!$C176,线上订单!$D:$D,"美团")</f>
        <v>0</v>
      </c>
      <c r="I176" s="18">
        <f>SUMIFS(线上订单!$F:$F,线上订单!$B:$B,美团日报!$C176,线上订单!$D:$D,"美团")</f>
        <v>0</v>
      </c>
      <c r="J176" s="18">
        <f t="shared" si="14"/>
        <v>0</v>
      </c>
      <c r="K176" s="18" t="e">
        <f t="shared" si="15"/>
        <v>#REF!</v>
      </c>
      <c r="L176" s="59" t="e">
        <f>SUMIFS(#REF!,#REF!,美团日报!$C176,#REF!,"美团")</f>
        <v>#REF!</v>
      </c>
      <c r="M176" s="18"/>
      <c r="N176" s="18"/>
      <c r="O176" s="18" t="e">
        <f t="shared" si="16"/>
        <v>#REF!</v>
      </c>
      <c r="P176" s="59" t="e">
        <f>SUMIFS(#REF!,#REF!,美团日报!$C176,#REF!,"美团")</f>
        <v>#REF!</v>
      </c>
      <c r="Q176" s="18"/>
      <c r="R176" s="18"/>
      <c r="S176" s="18" t="e">
        <f t="shared" si="17"/>
        <v>#REF!</v>
      </c>
      <c r="T176" s="59" t="e">
        <f>SUMIFS(#REF!,#REF!,美团日报!$C176,#REF!,"美团")</f>
        <v>#REF!</v>
      </c>
      <c r="U176" s="18" t="e">
        <f t="shared" si="18"/>
        <v>#REF!</v>
      </c>
      <c r="V176" s="59" t="e">
        <f>SUMIFS(#REF!,#REF!,美团日报!$C176,#REF!,"美团")</f>
        <v>#REF!</v>
      </c>
      <c r="W176" s="16" t="s">
        <v>19</v>
      </c>
    </row>
    <row r="177" ht="14.4" spans="1:23">
      <c r="A177" s="16" t="s">
        <v>264</v>
      </c>
      <c r="B177" s="16" t="s">
        <v>327</v>
      </c>
      <c r="C177" s="16">
        <v>1708</v>
      </c>
      <c r="D177" s="16" t="s">
        <v>432</v>
      </c>
      <c r="E177" s="58">
        <f>_xlfn.IFNA(VLOOKUP(C:C,线上线下销售!B:D,3,0),0)</f>
        <v>1825.7516</v>
      </c>
      <c r="F177" s="18">
        <f>SUMIFS(线上订单!$E:$E,线上订单!$B:$B,美团日报!$C177,线上订单!$D:$D,"美团")</f>
        <v>0</v>
      </c>
      <c r="G177" s="59">
        <f t="shared" si="13"/>
        <v>0</v>
      </c>
      <c r="H177" s="18">
        <f>SUMIFS(线上订单!$F:$F,线上订单!$B:$B,美团日报!$C177,线上订单!$D:$D,"美团")</f>
        <v>0</v>
      </c>
      <c r="I177" s="18">
        <f>SUMIFS(线上订单!$F:$F,线上订单!$B:$B,美团日报!$C177,线上订单!$D:$D,"美团")</f>
        <v>0</v>
      </c>
      <c r="J177" s="18">
        <f t="shared" si="14"/>
        <v>0</v>
      </c>
      <c r="K177" s="18" t="e">
        <f t="shared" si="15"/>
        <v>#REF!</v>
      </c>
      <c r="L177" s="59" t="e">
        <f>SUMIFS(#REF!,#REF!,美团日报!$C177,#REF!,"美团")</f>
        <v>#REF!</v>
      </c>
      <c r="M177" s="18"/>
      <c r="N177" s="18"/>
      <c r="O177" s="18" t="e">
        <f t="shared" si="16"/>
        <v>#REF!</v>
      </c>
      <c r="P177" s="59" t="e">
        <f>SUMIFS(#REF!,#REF!,美团日报!$C177,#REF!,"美团")</f>
        <v>#REF!</v>
      </c>
      <c r="Q177" s="18"/>
      <c r="R177" s="18"/>
      <c r="S177" s="18" t="e">
        <f t="shared" si="17"/>
        <v>#REF!</v>
      </c>
      <c r="T177" s="59" t="e">
        <f>SUMIFS(#REF!,#REF!,美团日报!$C177,#REF!,"美团")</f>
        <v>#REF!</v>
      </c>
      <c r="U177" s="18" t="e">
        <f t="shared" si="18"/>
        <v>#REF!</v>
      </c>
      <c r="V177" s="59" t="e">
        <f>SUMIFS(#REF!,#REF!,美团日报!$C177,#REF!,"美团")</f>
        <v>#REF!</v>
      </c>
      <c r="W177" s="16" t="s">
        <v>19</v>
      </c>
    </row>
    <row r="178" ht="14.4" spans="1:23">
      <c r="A178" s="16" t="s">
        <v>264</v>
      </c>
      <c r="B178" s="16" t="s">
        <v>327</v>
      </c>
      <c r="C178" s="16">
        <v>1709</v>
      </c>
      <c r="D178" s="16" t="s">
        <v>434</v>
      </c>
      <c r="E178" s="58">
        <f>_xlfn.IFNA(VLOOKUP(C:C,线上线下销售!B:D,3,0),0)</f>
        <v>1187.8323</v>
      </c>
      <c r="F178" s="18">
        <f>SUMIFS(线上订单!$E:$E,线上订单!$B:$B,美团日报!$C178,线上订单!$D:$D,"美团")</f>
        <v>0</v>
      </c>
      <c r="G178" s="59">
        <f t="shared" si="13"/>
        <v>0</v>
      </c>
      <c r="H178" s="18">
        <f>SUMIFS(线上订单!$F:$F,线上订单!$B:$B,美团日报!$C178,线上订单!$D:$D,"美团")</f>
        <v>0</v>
      </c>
      <c r="I178" s="18">
        <f>SUMIFS(线上订单!$F:$F,线上订单!$B:$B,美团日报!$C178,线上订单!$D:$D,"美团")</f>
        <v>0</v>
      </c>
      <c r="J178" s="18">
        <f t="shared" si="14"/>
        <v>0</v>
      </c>
      <c r="K178" s="18" t="e">
        <f t="shared" si="15"/>
        <v>#REF!</v>
      </c>
      <c r="L178" s="59" t="e">
        <f>SUMIFS(#REF!,#REF!,美团日报!$C178,#REF!,"美团")</f>
        <v>#REF!</v>
      </c>
      <c r="M178" s="18"/>
      <c r="N178" s="18"/>
      <c r="O178" s="18" t="e">
        <f t="shared" si="16"/>
        <v>#REF!</v>
      </c>
      <c r="P178" s="59" t="e">
        <f>SUMIFS(#REF!,#REF!,美团日报!$C178,#REF!,"美团")</f>
        <v>#REF!</v>
      </c>
      <c r="Q178" s="18"/>
      <c r="R178" s="18"/>
      <c r="S178" s="18" t="e">
        <f t="shared" si="17"/>
        <v>#REF!</v>
      </c>
      <c r="T178" s="59" t="e">
        <f>SUMIFS(#REF!,#REF!,美团日报!$C178,#REF!,"美团")</f>
        <v>#REF!</v>
      </c>
      <c r="U178" s="18" t="e">
        <f t="shared" si="18"/>
        <v>#REF!</v>
      </c>
      <c r="V178" s="59" t="e">
        <f>SUMIFS(#REF!,#REF!,美团日报!$C178,#REF!,"美团")</f>
        <v>#REF!</v>
      </c>
      <c r="W178" s="16" t="s">
        <v>19</v>
      </c>
    </row>
    <row r="179" ht="14.4" spans="1:23">
      <c r="A179" s="16" t="s">
        <v>264</v>
      </c>
      <c r="B179" s="16" t="s">
        <v>370</v>
      </c>
      <c r="C179" s="16">
        <v>1726</v>
      </c>
      <c r="D179" s="16" t="s">
        <v>436</v>
      </c>
      <c r="E179" s="58">
        <f>_xlfn.IFNA(VLOOKUP(C:C,线上线下销售!B:D,3,0),0)</f>
        <v>3262.8704</v>
      </c>
      <c r="F179" s="18">
        <f>SUMIFS(线上订单!$E:$E,线上订单!$B:$B,美团日报!$C179,线上订单!$D:$D,"美团")</f>
        <v>0</v>
      </c>
      <c r="G179" s="59">
        <f t="shared" si="13"/>
        <v>0</v>
      </c>
      <c r="H179" s="18">
        <f>SUMIFS(线上订单!$F:$F,线上订单!$B:$B,美团日报!$C179,线上订单!$D:$D,"美团")</f>
        <v>0</v>
      </c>
      <c r="I179" s="18">
        <f>SUMIFS(线上订单!$F:$F,线上订单!$B:$B,美团日报!$C179,线上订单!$D:$D,"美团")</f>
        <v>0</v>
      </c>
      <c r="J179" s="18">
        <f t="shared" si="14"/>
        <v>0</v>
      </c>
      <c r="K179" s="18" t="e">
        <f t="shared" si="15"/>
        <v>#REF!</v>
      </c>
      <c r="L179" s="59" t="e">
        <f>SUMIFS(#REF!,#REF!,美团日报!$C179,#REF!,"美团")</f>
        <v>#REF!</v>
      </c>
      <c r="M179" s="18"/>
      <c r="N179" s="18"/>
      <c r="O179" s="18" t="e">
        <f t="shared" si="16"/>
        <v>#REF!</v>
      </c>
      <c r="P179" s="59" t="e">
        <f>SUMIFS(#REF!,#REF!,美团日报!$C179,#REF!,"美团")</f>
        <v>#REF!</v>
      </c>
      <c r="Q179" s="18"/>
      <c r="R179" s="18"/>
      <c r="S179" s="18" t="e">
        <f t="shared" si="17"/>
        <v>#REF!</v>
      </c>
      <c r="T179" s="59" t="e">
        <f>SUMIFS(#REF!,#REF!,美团日报!$C179,#REF!,"美团")</f>
        <v>#REF!</v>
      </c>
      <c r="U179" s="18" t="e">
        <f t="shared" si="18"/>
        <v>#REF!</v>
      </c>
      <c r="V179" s="59" t="e">
        <f>SUMIFS(#REF!,#REF!,美团日报!$C179,#REF!,"美团")</f>
        <v>#REF!</v>
      </c>
      <c r="W179" s="16" t="s">
        <v>19</v>
      </c>
    </row>
    <row r="180" ht="14.4" spans="1:23">
      <c r="A180" s="16" t="s">
        <v>264</v>
      </c>
      <c r="B180" s="16" t="s">
        <v>401</v>
      </c>
      <c r="C180" s="16">
        <v>1728</v>
      </c>
      <c r="D180" s="16" t="s">
        <v>438</v>
      </c>
      <c r="E180" s="58">
        <f>_xlfn.IFNA(VLOOKUP(C:C,线上线下销售!B:D,3,0),0)</f>
        <v>34718.0688</v>
      </c>
      <c r="F180" s="18">
        <f>SUMIFS(线上订单!$E:$E,线上订单!$B:$B,美团日报!$C180,线上订单!$D:$D,"美团")</f>
        <v>0</v>
      </c>
      <c r="G180" s="59">
        <f t="shared" si="13"/>
        <v>0</v>
      </c>
      <c r="H180" s="18">
        <f>SUMIFS(线上订单!$F:$F,线上订单!$B:$B,美团日报!$C180,线上订单!$D:$D,"美团")</f>
        <v>0</v>
      </c>
      <c r="I180" s="18">
        <f>SUMIFS(线上订单!$F:$F,线上订单!$B:$B,美团日报!$C180,线上订单!$D:$D,"美团")</f>
        <v>0</v>
      </c>
      <c r="J180" s="18">
        <f t="shared" si="14"/>
        <v>0</v>
      </c>
      <c r="K180" s="18" t="e">
        <f t="shared" si="15"/>
        <v>#REF!</v>
      </c>
      <c r="L180" s="59" t="e">
        <f>SUMIFS(#REF!,#REF!,美团日报!$C180,#REF!,"美团")</f>
        <v>#REF!</v>
      </c>
      <c r="M180" s="18"/>
      <c r="N180" s="18"/>
      <c r="O180" s="18" t="e">
        <f t="shared" si="16"/>
        <v>#REF!</v>
      </c>
      <c r="P180" s="59" t="e">
        <f>SUMIFS(#REF!,#REF!,美团日报!$C180,#REF!,"美团")</f>
        <v>#REF!</v>
      </c>
      <c r="Q180" s="18"/>
      <c r="R180" s="18"/>
      <c r="S180" s="18" t="e">
        <f t="shared" si="17"/>
        <v>#REF!</v>
      </c>
      <c r="T180" s="59" t="e">
        <f>SUMIFS(#REF!,#REF!,美团日报!$C180,#REF!,"美团")</f>
        <v>#REF!</v>
      </c>
      <c r="U180" s="18" t="e">
        <f t="shared" si="18"/>
        <v>#REF!</v>
      </c>
      <c r="V180" s="59" t="e">
        <f>SUMIFS(#REF!,#REF!,美团日报!$C180,#REF!,"美团")</f>
        <v>#REF!</v>
      </c>
      <c r="W180" s="16" t="s">
        <v>19</v>
      </c>
    </row>
    <row r="181" ht="14.4" spans="1:23">
      <c r="A181" s="16" t="s">
        <v>264</v>
      </c>
      <c r="B181" s="16" t="s">
        <v>350</v>
      </c>
      <c r="C181" s="16">
        <v>1730</v>
      </c>
      <c r="D181" s="16" t="s">
        <v>440</v>
      </c>
      <c r="E181" s="58">
        <f>_xlfn.IFNA(VLOOKUP(C:C,线上线下销售!B:D,3,0),0)</f>
        <v>3484.2904</v>
      </c>
      <c r="F181" s="18">
        <f>SUMIFS(线上订单!$E:$E,线上订单!$B:$B,美团日报!$C181,线上订单!$D:$D,"美团")</f>
        <v>0</v>
      </c>
      <c r="G181" s="59">
        <f t="shared" si="13"/>
        <v>0</v>
      </c>
      <c r="H181" s="18">
        <f>SUMIFS(线上订单!$F:$F,线上订单!$B:$B,美团日报!$C181,线上订单!$D:$D,"美团")</f>
        <v>0</v>
      </c>
      <c r="I181" s="18">
        <f>SUMIFS(线上订单!$F:$F,线上订单!$B:$B,美团日报!$C181,线上订单!$D:$D,"美团")</f>
        <v>0</v>
      </c>
      <c r="J181" s="18">
        <f t="shared" si="14"/>
        <v>0</v>
      </c>
      <c r="K181" s="18" t="e">
        <f t="shared" si="15"/>
        <v>#REF!</v>
      </c>
      <c r="L181" s="59" t="e">
        <f>SUMIFS(#REF!,#REF!,美团日报!$C181,#REF!,"美团")</f>
        <v>#REF!</v>
      </c>
      <c r="M181" s="18"/>
      <c r="N181" s="18"/>
      <c r="O181" s="18" t="e">
        <f t="shared" si="16"/>
        <v>#REF!</v>
      </c>
      <c r="P181" s="59" t="e">
        <f>SUMIFS(#REF!,#REF!,美团日报!$C181,#REF!,"美团")</f>
        <v>#REF!</v>
      </c>
      <c r="Q181" s="18"/>
      <c r="R181" s="18"/>
      <c r="S181" s="18" t="e">
        <f t="shared" si="17"/>
        <v>#REF!</v>
      </c>
      <c r="T181" s="59" t="e">
        <f>SUMIFS(#REF!,#REF!,美团日报!$C181,#REF!,"美团")</f>
        <v>#REF!</v>
      </c>
      <c r="U181" s="18" t="e">
        <f t="shared" si="18"/>
        <v>#REF!</v>
      </c>
      <c r="V181" s="59" t="e">
        <f>SUMIFS(#REF!,#REF!,美团日报!$C181,#REF!,"美团")</f>
        <v>#REF!</v>
      </c>
      <c r="W181" s="16" t="s">
        <v>19</v>
      </c>
    </row>
    <row r="182" ht="14.4" spans="1:23">
      <c r="A182" s="16" t="s">
        <v>264</v>
      </c>
      <c r="B182" s="16" t="s">
        <v>401</v>
      </c>
      <c r="C182" s="16">
        <v>1732</v>
      </c>
      <c r="D182" s="16" t="s">
        <v>442</v>
      </c>
      <c r="E182" s="58">
        <f>_xlfn.IFNA(VLOOKUP(C:C,线上线下销售!B:D,3,0),0)</f>
        <v>222.6283</v>
      </c>
      <c r="F182" s="18">
        <f>SUMIFS(线上订单!$E:$E,线上订单!$B:$B,美团日报!$C182,线上订单!$D:$D,"美团")</f>
        <v>0</v>
      </c>
      <c r="G182" s="59">
        <f t="shared" si="13"/>
        <v>0</v>
      </c>
      <c r="H182" s="18">
        <f>SUMIFS(线上订单!$F:$F,线上订单!$B:$B,美团日报!$C182,线上订单!$D:$D,"美团")</f>
        <v>0</v>
      </c>
      <c r="I182" s="18">
        <f>SUMIFS(线上订单!$F:$F,线上订单!$B:$B,美团日报!$C182,线上订单!$D:$D,"美团")</f>
        <v>0</v>
      </c>
      <c r="J182" s="18">
        <f t="shared" si="14"/>
        <v>0</v>
      </c>
      <c r="K182" s="18" t="e">
        <f t="shared" si="15"/>
        <v>#REF!</v>
      </c>
      <c r="L182" s="59" t="e">
        <f>SUMIFS(#REF!,#REF!,美团日报!$C182,#REF!,"美团")</f>
        <v>#REF!</v>
      </c>
      <c r="M182" s="18"/>
      <c r="N182" s="18"/>
      <c r="O182" s="18" t="e">
        <f t="shared" si="16"/>
        <v>#REF!</v>
      </c>
      <c r="P182" s="59" t="e">
        <f>SUMIFS(#REF!,#REF!,美团日报!$C182,#REF!,"美团")</f>
        <v>#REF!</v>
      </c>
      <c r="Q182" s="18"/>
      <c r="R182" s="18"/>
      <c r="S182" s="18" t="e">
        <f t="shared" si="17"/>
        <v>#REF!</v>
      </c>
      <c r="T182" s="59" t="e">
        <f>SUMIFS(#REF!,#REF!,美团日报!$C182,#REF!,"美团")</f>
        <v>#REF!</v>
      </c>
      <c r="U182" s="18" t="e">
        <f t="shared" si="18"/>
        <v>#REF!</v>
      </c>
      <c r="V182" s="59" t="e">
        <f>SUMIFS(#REF!,#REF!,美团日报!$C182,#REF!,"美团")</f>
        <v>#REF!</v>
      </c>
      <c r="W182" s="16" t="s">
        <v>19</v>
      </c>
    </row>
    <row r="183" ht="14.4" spans="1:23">
      <c r="A183" s="16" t="s">
        <v>56</v>
      </c>
      <c r="B183" s="16" t="s">
        <v>73</v>
      </c>
      <c r="C183" s="16">
        <v>1741</v>
      </c>
      <c r="D183" s="16" t="s">
        <v>443</v>
      </c>
      <c r="E183" s="58">
        <f>_xlfn.IFNA(VLOOKUP(C:C,线上线下销售!B:D,3,0),0)</f>
        <v>10039.5513</v>
      </c>
      <c r="F183" s="18">
        <f>SUMIFS(线上订单!$E:$E,线上订单!$B:$B,美团日报!$C183,线上订单!$D:$D,"美团")</f>
        <v>3432.00237882585</v>
      </c>
      <c r="G183" s="59">
        <f t="shared" si="13"/>
        <v>0.341848183875095</v>
      </c>
      <c r="H183" s="18">
        <f>SUMIFS(线上订单!$F:$F,线上订单!$B:$B,美团日报!$C183,线上订单!$D:$D,"美团")</f>
        <v>86</v>
      </c>
      <c r="I183" s="18">
        <f>SUMIFS(线上订单!$F:$F,线上订单!$B:$B,美团日报!$C183,线上订单!$D:$D,"美团")</f>
        <v>86</v>
      </c>
      <c r="J183" s="18">
        <f t="shared" si="14"/>
        <v>39.9070044049517</v>
      </c>
      <c r="K183" s="18" t="e">
        <f t="shared" si="15"/>
        <v>#REF!</v>
      </c>
      <c r="L183" s="59" t="e">
        <f>SUMIFS(#REF!,#REF!,美团日报!$C183,#REF!,"美团")</f>
        <v>#REF!</v>
      </c>
      <c r="M183" s="18"/>
      <c r="N183" s="18"/>
      <c r="O183" s="18" t="e">
        <f t="shared" si="16"/>
        <v>#REF!</v>
      </c>
      <c r="P183" s="59" t="e">
        <f>SUMIFS(#REF!,#REF!,美团日报!$C183,#REF!,"美团")</f>
        <v>#REF!</v>
      </c>
      <c r="Q183" s="18"/>
      <c r="R183" s="18"/>
      <c r="S183" s="18" t="e">
        <f t="shared" si="17"/>
        <v>#REF!</v>
      </c>
      <c r="T183" s="59" t="e">
        <f>SUMIFS(#REF!,#REF!,美团日报!$C183,#REF!,"美团")</f>
        <v>#REF!</v>
      </c>
      <c r="U183" s="18" t="e">
        <f t="shared" si="18"/>
        <v>#REF!</v>
      </c>
      <c r="V183" s="59" t="e">
        <f>SUMIFS(#REF!,#REF!,美团日报!$C183,#REF!,"美团")</f>
        <v>#REF!</v>
      </c>
      <c r="W183" s="16" t="s">
        <v>19</v>
      </c>
    </row>
    <row r="184" ht="14.4" spans="1:23">
      <c r="A184" s="16" t="s">
        <v>264</v>
      </c>
      <c r="B184" s="16" t="s">
        <v>350</v>
      </c>
      <c r="C184" s="16">
        <v>1752</v>
      </c>
      <c r="D184" s="16" t="s">
        <v>445</v>
      </c>
      <c r="E184" s="58">
        <f>_xlfn.IFNA(VLOOKUP(C:C,线上线下销售!B:D,3,0),0)</f>
        <v>2205.8491</v>
      </c>
      <c r="F184" s="18">
        <f>SUMIFS(线上订单!$E:$E,线上订单!$B:$B,美团日报!$C184,线上订单!$D:$D,"美团")</f>
        <v>238.0238938053</v>
      </c>
      <c r="G184" s="59">
        <f t="shared" si="13"/>
        <v>0.107905791835579</v>
      </c>
      <c r="H184" s="18">
        <f>SUMIFS(线上订单!$F:$F,线上订单!$B:$B,美团日报!$C184,线上订单!$D:$D,"美团")</f>
        <v>6</v>
      </c>
      <c r="I184" s="18">
        <f>SUMIFS(线上订单!$F:$F,线上订单!$B:$B,美团日报!$C184,线上订单!$D:$D,"美团")</f>
        <v>6</v>
      </c>
      <c r="J184" s="18">
        <f t="shared" si="14"/>
        <v>39.67064896755</v>
      </c>
      <c r="K184" s="18" t="e">
        <f t="shared" si="15"/>
        <v>#REF!</v>
      </c>
      <c r="L184" s="59" t="e">
        <f>SUMIFS(#REF!,#REF!,美团日报!$C184,#REF!,"美团")</f>
        <v>#REF!</v>
      </c>
      <c r="M184" s="18"/>
      <c r="N184" s="18"/>
      <c r="O184" s="18" t="e">
        <f t="shared" si="16"/>
        <v>#REF!</v>
      </c>
      <c r="P184" s="59" t="e">
        <f>SUMIFS(#REF!,#REF!,美团日报!$C184,#REF!,"美团")</f>
        <v>#REF!</v>
      </c>
      <c r="Q184" s="18"/>
      <c r="R184" s="18"/>
      <c r="S184" s="18" t="e">
        <f t="shared" si="17"/>
        <v>#REF!</v>
      </c>
      <c r="T184" s="59" t="e">
        <f>SUMIFS(#REF!,#REF!,美团日报!$C184,#REF!,"美团")</f>
        <v>#REF!</v>
      </c>
      <c r="U184" s="18" t="e">
        <f t="shared" si="18"/>
        <v>#REF!</v>
      </c>
      <c r="V184" s="59" t="e">
        <f>SUMIFS(#REF!,#REF!,美团日报!$C184,#REF!,"美团")</f>
        <v>#REF!</v>
      </c>
      <c r="W184" s="16" t="s">
        <v>19</v>
      </c>
    </row>
    <row r="185" ht="14.4" spans="1:23">
      <c r="A185" s="16" t="s">
        <v>264</v>
      </c>
      <c r="B185" s="16" t="s">
        <v>350</v>
      </c>
      <c r="C185" s="16">
        <v>1814</v>
      </c>
      <c r="D185" s="16" t="s">
        <v>447</v>
      </c>
      <c r="E185" s="58">
        <f>_xlfn.IFNA(VLOOKUP(C:C,线上线下销售!B:D,3,0),0)</f>
        <v>713.7654</v>
      </c>
      <c r="F185" s="18">
        <f>SUMIFS(线上订单!$E:$E,线上订单!$B:$B,美团日报!$C185,线上订单!$D:$D,"美团")</f>
        <v>0</v>
      </c>
      <c r="G185" s="59">
        <f t="shared" si="13"/>
        <v>0</v>
      </c>
      <c r="H185" s="18">
        <f>SUMIFS(线上订单!$F:$F,线上订单!$B:$B,美团日报!$C185,线上订单!$D:$D,"美团")</f>
        <v>0</v>
      </c>
      <c r="I185" s="18">
        <f>SUMIFS(线上订单!$F:$F,线上订单!$B:$B,美团日报!$C185,线上订单!$D:$D,"美团")</f>
        <v>0</v>
      </c>
      <c r="J185" s="18">
        <f t="shared" si="14"/>
        <v>0</v>
      </c>
      <c r="K185" s="18" t="e">
        <f t="shared" si="15"/>
        <v>#REF!</v>
      </c>
      <c r="L185" s="59" t="e">
        <f>SUMIFS(#REF!,#REF!,美团日报!$C185,#REF!,"美团")</f>
        <v>#REF!</v>
      </c>
      <c r="M185" s="18"/>
      <c r="N185" s="18"/>
      <c r="O185" s="18" t="e">
        <f t="shared" si="16"/>
        <v>#REF!</v>
      </c>
      <c r="P185" s="59" t="e">
        <f>SUMIFS(#REF!,#REF!,美团日报!$C185,#REF!,"美团")</f>
        <v>#REF!</v>
      </c>
      <c r="Q185" s="18"/>
      <c r="R185" s="18"/>
      <c r="S185" s="18" t="e">
        <f t="shared" si="17"/>
        <v>#REF!</v>
      </c>
      <c r="T185" s="59" t="e">
        <f>SUMIFS(#REF!,#REF!,美团日报!$C185,#REF!,"美团")</f>
        <v>#REF!</v>
      </c>
      <c r="U185" s="18" t="e">
        <f t="shared" si="18"/>
        <v>#REF!</v>
      </c>
      <c r="V185" s="59" t="e">
        <f>SUMIFS(#REF!,#REF!,美团日报!$C185,#REF!,"美团")</f>
        <v>#REF!</v>
      </c>
      <c r="W185" s="16" t="s">
        <v>19</v>
      </c>
    </row>
    <row r="186" ht="14.4" spans="1:23">
      <c r="A186" s="16" t="s">
        <v>264</v>
      </c>
      <c r="B186" s="16" t="s">
        <v>296</v>
      </c>
      <c r="C186" s="16">
        <v>1826</v>
      </c>
      <c r="D186" s="16" t="s">
        <v>449</v>
      </c>
      <c r="E186" s="58">
        <f>_xlfn.IFNA(VLOOKUP(C:C,线上线下销售!B:D,3,0),0)</f>
        <v>1504.2081</v>
      </c>
      <c r="F186" s="18">
        <f>SUMIFS(线上订单!$E:$E,线上订单!$B:$B,美团日报!$C186,线上订单!$D:$D,"美团")</f>
        <v>0</v>
      </c>
      <c r="G186" s="59">
        <f t="shared" si="13"/>
        <v>0</v>
      </c>
      <c r="H186" s="18">
        <f>SUMIFS(线上订单!$F:$F,线上订单!$B:$B,美团日报!$C186,线上订单!$D:$D,"美团")</f>
        <v>0</v>
      </c>
      <c r="I186" s="18">
        <f>SUMIFS(线上订单!$F:$F,线上订单!$B:$B,美团日报!$C186,线上订单!$D:$D,"美团")</f>
        <v>0</v>
      </c>
      <c r="J186" s="18">
        <f t="shared" si="14"/>
        <v>0</v>
      </c>
      <c r="K186" s="18" t="e">
        <f t="shared" si="15"/>
        <v>#REF!</v>
      </c>
      <c r="L186" s="59" t="e">
        <f>SUMIFS(#REF!,#REF!,美团日报!$C186,#REF!,"美团")</f>
        <v>#REF!</v>
      </c>
      <c r="M186" s="18"/>
      <c r="N186" s="18"/>
      <c r="O186" s="18" t="e">
        <f t="shared" si="16"/>
        <v>#REF!</v>
      </c>
      <c r="P186" s="59" t="e">
        <f>SUMIFS(#REF!,#REF!,美团日报!$C186,#REF!,"美团")</f>
        <v>#REF!</v>
      </c>
      <c r="Q186" s="18"/>
      <c r="R186" s="18"/>
      <c r="S186" s="18" t="e">
        <f t="shared" si="17"/>
        <v>#REF!</v>
      </c>
      <c r="T186" s="59" t="e">
        <f>SUMIFS(#REF!,#REF!,美团日报!$C186,#REF!,"美团")</f>
        <v>#REF!</v>
      </c>
      <c r="U186" s="18" t="e">
        <f t="shared" si="18"/>
        <v>#REF!</v>
      </c>
      <c r="V186" s="59" t="e">
        <f>SUMIFS(#REF!,#REF!,美团日报!$C186,#REF!,"美团")</f>
        <v>#REF!</v>
      </c>
      <c r="W186" s="16" t="s">
        <v>19</v>
      </c>
    </row>
    <row r="187" ht="14.4" spans="1:23">
      <c r="A187" s="16" t="s">
        <v>264</v>
      </c>
      <c r="B187" s="16" t="s">
        <v>350</v>
      </c>
      <c r="C187" s="16">
        <v>1837</v>
      </c>
      <c r="D187" s="16" t="s">
        <v>451</v>
      </c>
      <c r="E187" s="58">
        <f>_xlfn.IFNA(VLOOKUP(C:C,线上线下销售!B:D,3,0),0)</f>
        <v>10350.2519</v>
      </c>
      <c r="F187" s="18">
        <f>SUMIFS(线上订单!$E:$E,线上订单!$B:$B,美团日报!$C187,线上订单!$D:$D,"美团")</f>
        <v>3241.69310708767</v>
      </c>
      <c r="G187" s="59">
        <f t="shared" si="13"/>
        <v>0.313199440787298</v>
      </c>
      <c r="H187" s="18">
        <f>SUMIFS(线上订单!$F:$F,线上订单!$B:$B,美团日报!$C187,线上订单!$D:$D,"美团")</f>
        <v>76</v>
      </c>
      <c r="I187" s="18">
        <f>SUMIFS(线上订单!$F:$F,线上订单!$B:$B,美团日报!$C187,线上订单!$D:$D,"美团")</f>
        <v>76</v>
      </c>
      <c r="J187" s="18">
        <f t="shared" si="14"/>
        <v>42.6538566722062</v>
      </c>
      <c r="K187" s="18" t="e">
        <f t="shared" si="15"/>
        <v>#REF!</v>
      </c>
      <c r="L187" s="59" t="e">
        <f>SUMIFS(#REF!,#REF!,美团日报!$C187,#REF!,"美团")</f>
        <v>#REF!</v>
      </c>
      <c r="M187" s="18"/>
      <c r="N187" s="18"/>
      <c r="O187" s="18" t="e">
        <f t="shared" si="16"/>
        <v>#REF!</v>
      </c>
      <c r="P187" s="59" t="e">
        <f>SUMIFS(#REF!,#REF!,美团日报!$C187,#REF!,"美团")</f>
        <v>#REF!</v>
      </c>
      <c r="Q187" s="18"/>
      <c r="R187" s="18"/>
      <c r="S187" s="18" t="e">
        <f t="shared" si="17"/>
        <v>#REF!</v>
      </c>
      <c r="T187" s="59" t="e">
        <f>SUMIFS(#REF!,#REF!,美团日报!$C187,#REF!,"美团")</f>
        <v>#REF!</v>
      </c>
      <c r="U187" s="18" t="e">
        <f t="shared" si="18"/>
        <v>#REF!</v>
      </c>
      <c r="V187" s="59" t="e">
        <f>SUMIFS(#REF!,#REF!,美团日报!$C187,#REF!,"美团")</f>
        <v>#REF!</v>
      </c>
      <c r="W187" s="16" t="s">
        <v>19</v>
      </c>
    </row>
    <row r="188" ht="14.4" spans="1:23">
      <c r="A188" s="16" t="s">
        <v>264</v>
      </c>
      <c r="B188" s="16" t="s">
        <v>370</v>
      </c>
      <c r="C188" s="16">
        <v>1867</v>
      </c>
      <c r="D188" s="16" t="s">
        <v>453</v>
      </c>
      <c r="E188" s="58">
        <f>_xlfn.IFNA(VLOOKUP(C:C,线上线下销售!B:D,3,0),0)</f>
        <v>5169.2332</v>
      </c>
      <c r="F188" s="18">
        <f>SUMIFS(线上订单!$E:$E,线上订单!$B:$B,美团日报!$C188,线上订单!$D:$D,"美团")</f>
        <v>0</v>
      </c>
      <c r="G188" s="59">
        <f t="shared" si="13"/>
        <v>0</v>
      </c>
      <c r="H188" s="18">
        <f>SUMIFS(线上订单!$F:$F,线上订单!$B:$B,美团日报!$C188,线上订单!$D:$D,"美团")</f>
        <v>0</v>
      </c>
      <c r="I188" s="18">
        <f>SUMIFS(线上订单!$F:$F,线上订单!$B:$B,美团日报!$C188,线上订单!$D:$D,"美团")</f>
        <v>0</v>
      </c>
      <c r="J188" s="18">
        <f t="shared" si="14"/>
        <v>0</v>
      </c>
      <c r="K188" s="18" t="e">
        <f t="shared" si="15"/>
        <v>#REF!</v>
      </c>
      <c r="L188" s="59" t="e">
        <f>SUMIFS(#REF!,#REF!,美团日报!$C188,#REF!,"美团")</f>
        <v>#REF!</v>
      </c>
      <c r="M188" s="18"/>
      <c r="N188" s="18"/>
      <c r="O188" s="18" t="e">
        <f t="shared" si="16"/>
        <v>#REF!</v>
      </c>
      <c r="P188" s="59" t="e">
        <f>SUMIFS(#REF!,#REF!,美团日报!$C188,#REF!,"美团")</f>
        <v>#REF!</v>
      </c>
      <c r="Q188" s="18"/>
      <c r="R188" s="18"/>
      <c r="S188" s="18" t="e">
        <f t="shared" si="17"/>
        <v>#REF!</v>
      </c>
      <c r="T188" s="59" t="e">
        <f>SUMIFS(#REF!,#REF!,美团日报!$C188,#REF!,"美团")</f>
        <v>#REF!</v>
      </c>
      <c r="U188" s="18" t="e">
        <f t="shared" si="18"/>
        <v>#REF!</v>
      </c>
      <c r="V188" s="59" t="e">
        <f>SUMIFS(#REF!,#REF!,美团日报!$C188,#REF!,"美团")</f>
        <v>#REF!</v>
      </c>
      <c r="W188" s="16" t="s">
        <v>19</v>
      </c>
    </row>
    <row r="189" ht="14.4" spans="1:23">
      <c r="A189" s="16" t="s">
        <v>264</v>
      </c>
      <c r="B189" s="16" t="s">
        <v>370</v>
      </c>
      <c r="C189" s="16">
        <v>1868</v>
      </c>
      <c r="D189" s="16" t="s">
        <v>455</v>
      </c>
      <c r="E189" s="58">
        <f>_xlfn.IFNA(VLOOKUP(C:C,线上线下销售!B:D,3,0),0)</f>
        <v>1778.9884</v>
      </c>
      <c r="F189" s="18">
        <f>SUMIFS(线上订单!$E:$E,线上订单!$B:$B,美团日报!$C189,线上订单!$D:$D,"美团")</f>
        <v>0</v>
      </c>
      <c r="G189" s="59">
        <f t="shared" si="13"/>
        <v>0</v>
      </c>
      <c r="H189" s="18">
        <f>SUMIFS(线上订单!$F:$F,线上订单!$B:$B,美团日报!$C189,线上订单!$D:$D,"美团")</f>
        <v>0</v>
      </c>
      <c r="I189" s="18">
        <f>SUMIFS(线上订单!$F:$F,线上订单!$B:$B,美团日报!$C189,线上订单!$D:$D,"美团")</f>
        <v>0</v>
      </c>
      <c r="J189" s="18">
        <f t="shared" si="14"/>
        <v>0</v>
      </c>
      <c r="K189" s="18" t="e">
        <f t="shared" si="15"/>
        <v>#REF!</v>
      </c>
      <c r="L189" s="59" t="e">
        <f>SUMIFS(#REF!,#REF!,美团日报!$C189,#REF!,"美团")</f>
        <v>#REF!</v>
      </c>
      <c r="M189" s="18"/>
      <c r="N189" s="18"/>
      <c r="O189" s="18" t="e">
        <f t="shared" si="16"/>
        <v>#REF!</v>
      </c>
      <c r="P189" s="59" t="e">
        <f>SUMIFS(#REF!,#REF!,美团日报!$C189,#REF!,"美团")</f>
        <v>#REF!</v>
      </c>
      <c r="Q189" s="18"/>
      <c r="R189" s="18"/>
      <c r="S189" s="18" t="e">
        <f t="shared" si="17"/>
        <v>#REF!</v>
      </c>
      <c r="T189" s="59" t="e">
        <f>SUMIFS(#REF!,#REF!,美团日报!$C189,#REF!,"美团")</f>
        <v>#REF!</v>
      </c>
      <c r="U189" s="18" t="e">
        <f t="shared" si="18"/>
        <v>#REF!</v>
      </c>
      <c r="V189" s="59" t="e">
        <f>SUMIFS(#REF!,#REF!,美团日报!$C189,#REF!,"美团")</f>
        <v>#REF!</v>
      </c>
      <c r="W189" s="16" t="s">
        <v>19</v>
      </c>
    </row>
    <row r="190" ht="14.4" spans="1:23">
      <c r="A190" s="16" t="s">
        <v>48</v>
      </c>
      <c r="B190" s="16" t="s">
        <v>64</v>
      </c>
      <c r="C190" s="16">
        <v>1880</v>
      </c>
      <c r="D190" s="16" t="s">
        <v>457</v>
      </c>
      <c r="E190" s="58">
        <f>_xlfn.IFNA(VLOOKUP(C:C,线上线下销售!B:D,3,0),0)</f>
        <v>5766.639</v>
      </c>
      <c r="F190" s="18">
        <f>SUMIFS(线上订单!$E:$E,线上订单!$B:$B,美团日报!$C190,线上订单!$D:$D,"美团")</f>
        <v>986.71559633019</v>
      </c>
      <c r="G190" s="59">
        <f t="shared" si="13"/>
        <v>0.171107571729423</v>
      </c>
      <c r="H190" s="18">
        <f>SUMIFS(线上订单!$F:$F,线上订单!$B:$B,美团日报!$C190,线上订单!$D:$D,"美团")</f>
        <v>28</v>
      </c>
      <c r="I190" s="18">
        <f>SUMIFS(线上订单!$F:$F,线上订单!$B:$B,美团日报!$C190,线上订单!$D:$D,"美团")</f>
        <v>28</v>
      </c>
      <c r="J190" s="18">
        <f t="shared" si="14"/>
        <v>35.2398427260782</v>
      </c>
      <c r="K190" s="18" t="e">
        <f t="shared" si="15"/>
        <v>#REF!</v>
      </c>
      <c r="L190" s="59" t="e">
        <f>SUMIFS(#REF!,#REF!,美团日报!$C190,#REF!,"美团")</f>
        <v>#REF!</v>
      </c>
      <c r="M190" s="18"/>
      <c r="N190" s="18"/>
      <c r="O190" s="18" t="e">
        <f t="shared" si="16"/>
        <v>#REF!</v>
      </c>
      <c r="P190" s="59" t="e">
        <f>SUMIFS(#REF!,#REF!,美团日报!$C190,#REF!,"美团")</f>
        <v>#REF!</v>
      </c>
      <c r="Q190" s="18"/>
      <c r="R190" s="18"/>
      <c r="S190" s="18" t="e">
        <f t="shared" si="17"/>
        <v>#REF!</v>
      </c>
      <c r="T190" s="59" t="e">
        <f>SUMIFS(#REF!,#REF!,美团日报!$C190,#REF!,"美团")</f>
        <v>#REF!</v>
      </c>
      <c r="U190" s="18" t="e">
        <f t="shared" si="18"/>
        <v>#REF!</v>
      </c>
      <c r="V190" s="59" t="e">
        <f>SUMIFS(#REF!,#REF!,美团日报!$C190,#REF!,"美团")</f>
        <v>#REF!</v>
      </c>
      <c r="W190" s="16" t="s">
        <v>19</v>
      </c>
    </row>
    <row r="191" ht="14.4" spans="1:23">
      <c r="A191" s="16" t="s">
        <v>264</v>
      </c>
      <c r="B191" s="16" t="s">
        <v>304</v>
      </c>
      <c r="C191" s="16">
        <v>2120</v>
      </c>
      <c r="D191" s="16" t="s">
        <v>459</v>
      </c>
      <c r="E191" s="58">
        <f>_xlfn.IFNA(VLOOKUP(C:C,线上线下销售!B:D,3,0),0)</f>
        <v>3960.8435</v>
      </c>
      <c r="F191" s="18">
        <f>SUMIFS(线上订单!$E:$E,线上订单!$B:$B,美团日报!$C191,线上订单!$D:$D,"美团")</f>
        <v>0</v>
      </c>
      <c r="G191" s="59">
        <f t="shared" si="13"/>
        <v>0</v>
      </c>
      <c r="H191" s="18">
        <f>SUMIFS(线上订单!$F:$F,线上订单!$B:$B,美团日报!$C191,线上订单!$D:$D,"美团")</f>
        <v>0</v>
      </c>
      <c r="I191" s="18">
        <f>SUMIFS(线上订单!$F:$F,线上订单!$B:$B,美团日报!$C191,线上订单!$D:$D,"美团")</f>
        <v>0</v>
      </c>
      <c r="J191" s="18">
        <f t="shared" si="14"/>
        <v>0</v>
      </c>
      <c r="K191" s="18" t="e">
        <f t="shared" si="15"/>
        <v>#REF!</v>
      </c>
      <c r="L191" s="59" t="e">
        <f>SUMIFS(#REF!,#REF!,美团日报!$C191,#REF!,"美团")</f>
        <v>#REF!</v>
      </c>
      <c r="M191" s="18"/>
      <c r="N191" s="18"/>
      <c r="O191" s="18" t="e">
        <f t="shared" si="16"/>
        <v>#REF!</v>
      </c>
      <c r="P191" s="59" t="e">
        <f>SUMIFS(#REF!,#REF!,美团日报!$C191,#REF!,"美团")</f>
        <v>#REF!</v>
      </c>
      <c r="Q191" s="18"/>
      <c r="R191" s="18"/>
      <c r="S191" s="18" t="e">
        <f t="shared" si="17"/>
        <v>#REF!</v>
      </c>
      <c r="T191" s="59" t="e">
        <f>SUMIFS(#REF!,#REF!,美团日报!$C191,#REF!,"美团")</f>
        <v>#REF!</v>
      </c>
      <c r="U191" s="18" t="e">
        <f t="shared" si="18"/>
        <v>#REF!</v>
      </c>
      <c r="V191" s="59" t="e">
        <f>SUMIFS(#REF!,#REF!,美团日报!$C191,#REF!,"美团")</f>
        <v>#REF!</v>
      </c>
      <c r="W191" s="16" t="s">
        <v>19</v>
      </c>
    </row>
    <row r="192" ht="14.4" spans="1:23">
      <c r="A192" s="16" t="s">
        <v>264</v>
      </c>
      <c r="B192" s="16" t="s">
        <v>296</v>
      </c>
      <c r="C192" s="16">
        <v>2130</v>
      </c>
      <c r="D192" s="16" t="s">
        <v>461</v>
      </c>
      <c r="E192" s="58">
        <f>_xlfn.IFNA(VLOOKUP(C:C,线上线下销售!B:D,3,0),0)</f>
        <v>3749.9287</v>
      </c>
      <c r="F192" s="18">
        <f>SUMIFS(线上订单!$E:$E,线上订单!$B:$B,美团日报!$C192,线上订单!$D:$D,"美团")</f>
        <v>864.3864577413</v>
      </c>
      <c r="G192" s="59">
        <f t="shared" si="13"/>
        <v>0.230507438112437</v>
      </c>
      <c r="H192" s="18">
        <f>SUMIFS(线上订单!$F:$F,线上订单!$B:$B,美团日报!$C192,线上订单!$D:$D,"美团")</f>
        <v>19</v>
      </c>
      <c r="I192" s="18">
        <f>SUMIFS(线上订单!$F:$F,线上订单!$B:$B,美团日报!$C192,线上订单!$D:$D,"美团")</f>
        <v>19</v>
      </c>
      <c r="J192" s="18">
        <f t="shared" si="14"/>
        <v>45.4940240916474</v>
      </c>
      <c r="K192" s="18" t="e">
        <f t="shared" si="15"/>
        <v>#REF!</v>
      </c>
      <c r="L192" s="59" t="e">
        <f>SUMIFS(#REF!,#REF!,美团日报!$C192,#REF!,"美团")</f>
        <v>#REF!</v>
      </c>
      <c r="M192" s="18"/>
      <c r="N192" s="18"/>
      <c r="O192" s="18" t="e">
        <f t="shared" si="16"/>
        <v>#REF!</v>
      </c>
      <c r="P192" s="59" t="e">
        <f>SUMIFS(#REF!,#REF!,美团日报!$C192,#REF!,"美团")</f>
        <v>#REF!</v>
      </c>
      <c r="Q192" s="18"/>
      <c r="R192" s="18"/>
      <c r="S192" s="18" t="e">
        <f t="shared" si="17"/>
        <v>#REF!</v>
      </c>
      <c r="T192" s="59" t="e">
        <f>SUMIFS(#REF!,#REF!,美团日报!$C192,#REF!,"美团")</f>
        <v>#REF!</v>
      </c>
      <c r="U192" s="18" t="e">
        <f t="shared" si="18"/>
        <v>#REF!</v>
      </c>
      <c r="V192" s="59" t="e">
        <f>SUMIFS(#REF!,#REF!,美团日报!$C192,#REF!,"美团")</f>
        <v>#REF!</v>
      </c>
      <c r="W192" s="16" t="s">
        <v>19</v>
      </c>
    </row>
    <row r="193" ht="14.4" spans="1:23">
      <c r="A193" s="16" t="s">
        <v>264</v>
      </c>
      <c r="B193" s="16" t="s">
        <v>359</v>
      </c>
      <c r="C193" s="16">
        <v>2149</v>
      </c>
      <c r="D193" s="16" t="s">
        <v>463</v>
      </c>
      <c r="E193" s="58">
        <f>_xlfn.IFNA(VLOOKUP(C:C,线上线下销售!B:D,3,0),0)</f>
        <v>6856.9406</v>
      </c>
      <c r="F193" s="18">
        <f>SUMIFS(线上订单!$E:$E,线上订单!$B:$B,美团日报!$C193,线上订单!$D:$D,"美团")</f>
        <v>0</v>
      </c>
      <c r="G193" s="59">
        <f t="shared" si="13"/>
        <v>0</v>
      </c>
      <c r="H193" s="18">
        <f>SUMIFS(线上订单!$F:$F,线上订单!$B:$B,美团日报!$C193,线上订单!$D:$D,"美团")</f>
        <v>0</v>
      </c>
      <c r="I193" s="18">
        <f>SUMIFS(线上订单!$F:$F,线上订单!$B:$B,美团日报!$C193,线上订单!$D:$D,"美团")</f>
        <v>0</v>
      </c>
      <c r="J193" s="18">
        <f t="shared" si="14"/>
        <v>0</v>
      </c>
      <c r="K193" s="18" t="e">
        <f t="shared" si="15"/>
        <v>#REF!</v>
      </c>
      <c r="L193" s="59" t="e">
        <f>SUMIFS(#REF!,#REF!,美团日报!$C193,#REF!,"美团")</f>
        <v>#REF!</v>
      </c>
      <c r="M193" s="18"/>
      <c r="N193" s="18"/>
      <c r="O193" s="18" t="e">
        <f t="shared" si="16"/>
        <v>#REF!</v>
      </c>
      <c r="P193" s="59" t="e">
        <f>SUMIFS(#REF!,#REF!,美团日报!$C193,#REF!,"美团")</f>
        <v>#REF!</v>
      </c>
      <c r="Q193" s="18"/>
      <c r="R193" s="18"/>
      <c r="S193" s="18" t="e">
        <f t="shared" si="17"/>
        <v>#REF!</v>
      </c>
      <c r="T193" s="59" t="e">
        <f>SUMIFS(#REF!,#REF!,美团日报!$C193,#REF!,"美团")</f>
        <v>#REF!</v>
      </c>
      <c r="U193" s="18" t="e">
        <f t="shared" si="18"/>
        <v>#REF!</v>
      </c>
      <c r="V193" s="59" t="e">
        <f>SUMIFS(#REF!,#REF!,美团日报!$C193,#REF!,"美团")</f>
        <v>#REF!</v>
      </c>
      <c r="W193" s="16" t="s">
        <v>19</v>
      </c>
    </row>
    <row r="194" ht="14.4" spans="1:23">
      <c r="A194" s="16" t="s">
        <v>264</v>
      </c>
      <c r="B194" s="16" t="s">
        <v>359</v>
      </c>
      <c r="C194" s="16">
        <v>2150</v>
      </c>
      <c r="D194" s="16" t="s">
        <v>465</v>
      </c>
      <c r="E194" s="58">
        <f>_xlfn.IFNA(VLOOKUP(C:C,线上线下销售!B:D,3,0),0)</f>
        <v>6986.1254</v>
      </c>
      <c r="F194" s="18">
        <f>SUMIFS(线上订单!$E:$E,线上订单!$B:$B,美团日报!$C194,线上订单!$D:$D,"美团")</f>
        <v>0</v>
      </c>
      <c r="G194" s="59">
        <f t="shared" si="13"/>
        <v>0</v>
      </c>
      <c r="H194" s="18">
        <f>SUMIFS(线上订单!$F:$F,线上订单!$B:$B,美团日报!$C194,线上订单!$D:$D,"美团")</f>
        <v>0</v>
      </c>
      <c r="I194" s="18">
        <f>SUMIFS(线上订单!$F:$F,线上订单!$B:$B,美团日报!$C194,线上订单!$D:$D,"美团")</f>
        <v>0</v>
      </c>
      <c r="J194" s="18">
        <f t="shared" si="14"/>
        <v>0</v>
      </c>
      <c r="K194" s="18" t="e">
        <f t="shared" si="15"/>
        <v>#REF!</v>
      </c>
      <c r="L194" s="59" t="e">
        <f>SUMIFS(#REF!,#REF!,美团日报!$C194,#REF!,"美团")</f>
        <v>#REF!</v>
      </c>
      <c r="M194" s="18"/>
      <c r="N194" s="18"/>
      <c r="O194" s="18" t="e">
        <f t="shared" si="16"/>
        <v>#REF!</v>
      </c>
      <c r="P194" s="59" t="e">
        <f>SUMIFS(#REF!,#REF!,美团日报!$C194,#REF!,"美团")</f>
        <v>#REF!</v>
      </c>
      <c r="Q194" s="18"/>
      <c r="R194" s="18"/>
      <c r="S194" s="18" t="e">
        <f t="shared" si="17"/>
        <v>#REF!</v>
      </c>
      <c r="T194" s="59" t="e">
        <f>SUMIFS(#REF!,#REF!,美团日报!$C194,#REF!,"美团")</f>
        <v>#REF!</v>
      </c>
      <c r="U194" s="18" t="e">
        <f t="shared" si="18"/>
        <v>#REF!</v>
      </c>
      <c r="V194" s="59" t="e">
        <f>SUMIFS(#REF!,#REF!,美团日报!$C194,#REF!,"美团")</f>
        <v>#REF!</v>
      </c>
      <c r="W194" s="16" t="s">
        <v>19</v>
      </c>
    </row>
    <row r="195" ht="14.4" spans="1:23">
      <c r="A195" s="16" t="s">
        <v>48</v>
      </c>
      <c r="B195" s="16" t="s">
        <v>49</v>
      </c>
      <c r="C195" s="16">
        <v>2207</v>
      </c>
      <c r="D195" s="16" t="s">
        <v>467</v>
      </c>
      <c r="E195" s="58">
        <f>_xlfn.IFNA(VLOOKUP(C:C,线上线下销售!B:D,3,0),0)</f>
        <v>4252.3534</v>
      </c>
      <c r="F195" s="18">
        <f>SUMIFS(线上订单!$E:$E,线上订单!$B:$B,美团日报!$C195,线上订单!$D:$D,"美团")</f>
        <v>457.19249817321</v>
      </c>
      <c r="G195" s="59">
        <f t="shared" ref="G195:G258" si="19">IFERROR(F195/E195,0)</f>
        <v>0.107515169875865</v>
      </c>
      <c r="H195" s="18">
        <f>SUMIFS(线上订单!$F:$F,线上订单!$B:$B,美团日报!$C195,线上订单!$D:$D,"美团")</f>
        <v>13</v>
      </c>
      <c r="I195" s="18">
        <f>SUMIFS(线上订单!$F:$F,线上订单!$B:$B,美团日报!$C195,线上订单!$D:$D,"美团")</f>
        <v>13</v>
      </c>
      <c r="J195" s="18">
        <f t="shared" ref="J195:J258" si="20">IFERROR(F195/I195,0)</f>
        <v>35.1686537056315</v>
      </c>
      <c r="K195" s="18" t="e">
        <f t="shared" ref="K195:K258" si="21">H195*L195</f>
        <v>#REF!</v>
      </c>
      <c r="L195" s="59" t="e">
        <f>SUMIFS(#REF!,#REF!,美团日报!$C195,#REF!,"美团")</f>
        <v>#REF!</v>
      </c>
      <c r="M195" s="18"/>
      <c r="N195" s="18"/>
      <c r="O195" s="18" t="e">
        <f t="shared" ref="O195:O258" si="22">H195*(1-P195)</f>
        <v>#REF!</v>
      </c>
      <c r="P195" s="59" t="e">
        <f>SUMIFS(#REF!,#REF!,美团日报!$C195,#REF!,"美团")</f>
        <v>#REF!</v>
      </c>
      <c r="Q195" s="18"/>
      <c r="R195" s="18"/>
      <c r="S195" s="18" t="e">
        <f t="shared" ref="S195:S258" si="23">H195*T195</f>
        <v>#REF!</v>
      </c>
      <c r="T195" s="59" t="e">
        <f>SUMIFS(#REF!,#REF!,美团日报!$C195,#REF!,"美团")</f>
        <v>#REF!</v>
      </c>
      <c r="U195" s="18" t="e">
        <f t="shared" ref="U195:U258" si="24">H195*V195</f>
        <v>#REF!</v>
      </c>
      <c r="V195" s="59" t="e">
        <f>SUMIFS(#REF!,#REF!,美团日报!$C195,#REF!,"美团")</f>
        <v>#REF!</v>
      </c>
      <c r="W195" s="16" t="s">
        <v>19</v>
      </c>
    </row>
    <row r="196" ht="14.4" spans="1:23">
      <c r="A196" s="16" t="s">
        <v>264</v>
      </c>
      <c r="B196" s="16" t="s">
        <v>576</v>
      </c>
      <c r="C196" s="16">
        <v>2213</v>
      </c>
      <c r="D196" s="16" t="s">
        <v>469</v>
      </c>
      <c r="E196" s="58">
        <f>_xlfn.IFNA(VLOOKUP(C:C,线上线下销售!B:D,3,0),0)</f>
        <v>6238.8782</v>
      </c>
      <c r="F196" s="18">
        <f>SUMIFS(线上订单!$E:$E,线上订单!$B:$B,美团日报!$C196,线上订单!$D:$D,"美团")</f>
        <v>0</v>
      </c>
      <c r="G196" s="59">
        <f t="shared" si="19"/>
        <v>0</v>
      </c>
      <c r="H196" s="18">
        <f>SUMIFS(线上订单!$F:$F,线上订单!$B:$B,美团日报!$C196,线上订单!$D:$D,"美团")</f>
        <v>0</v>
      </c>
      <c r="I196" s="18">
        <f>SUMIFS(线上订单!$F:$F,线上订单!$B:$B,美团日报!$C196,线上订单!$D:$D,"美团")</f>
        <v>0</v>
      </c>
      <c r="J196" s="18">
        <f t="shared" si="20"/>
        <v>0</v>
      </c>
      <c r="K196" s="18" t="e">
        <f t="shared" si="21"/>
        <v>#REF!</v>
      </c>
      <c r="L196" s="59" t="e">
        <f>SUMIFS(#REF!,#REF!,美团日报!$C196,#REF!,"美团")</f>
        <v>#REF!</v>
      </c>
      <c r="M196" s="18"/>
      <c r="N196" s="18"/>
      <c r="O196" s="18" t="e">
        <f t="shared" si="22"/>
        <v>#REF!</v>
      </c>
      <c r="P196" s="59" t="e">
        <f>SUMIFS(#REF!,#REF!,美团日报!$C196,#REF!,"美团")</f>
        <v>#REF!</v>
      </c>
      <c r="Q196" s="18"/>
      <c r="R196" s="18"/>
      <c r="S196" s="18" t="e">
        <f t="shared" si="23"/>
        <v>#REF!</v>
      </c>
      <c r="T196" s="59" t="e">
        <f>SUMIFS(#REF!,#REF!,美团日报!$C196,#REF!,"美团")</f>
        <v>#REF!</v>
      </c>
      <c r="U196" s="18" t="e">
        <f t="shared" si="24"/>
        <v>#REF!</v>
      </c>
      <c r="V196" s="59" t="e">
        <f>SUMIFS(#REF!,#REF!,美团日报!$C196,#REF!,"美团")</f>
        <v>#REF!</v>
      </c>
      <c r="W196" s="16" t="s">
        <v>19</v>
      </c>
    </row>
    <row r="197" ht="14.4" spans="1:23">
      <c r="A197" s="16" t="s">
        <v>264</v>
      </c>
      <c r="B197" s="16" t="s">
        <v>296</v>
      </c>
      <c r="C197" s="16">
        <v>2215</v>
      </c>
      <c r="D197" s="16" t="s">
        <v>471</v>
      </c>
      <c r="E197" s="58">
        <f>_xlfn.IFNA(VLOOKUP(C:C,线上线下销售!B:D,3,0),0)</f>
        <v>4388.977</v>
      </c>
      <c r="F197" s="18">
        <f>SUMIFS(线上订单!$E:$E,线上订单!$B:$B,美团日报!$C197,线上订单!$D:$D,"美团")</f>
        <v>39.91150442478</v>
      </c>
      <c r="G197" s="59">
        <f t="shared" si="19"/>
        <v>0.00909357793963833</v>
      </c>
      <c r="H197" s="18">
        <f>SUMIFS(线上订单!$F:$F,线上订单!$B:$B,美团日报!$C197,线上订单!$D:$D,"美团")</f>
        <v>1</v>
      </c>
      <c r="I197" s="18">
        <f>SUMIFS(线上订单!$F:$F,线上订单!$B:$B,美团日报!$C197,线上订单!$D:$D,"美团")</f>
        <v>1</v>
      </c>
      <c r="J197" s="18">
        <f t="shared" si="20"/>
        <v>39.91150442478</v>
      </c>
      <c r="K197" s="18" t="e">
        <f t="shared" si="21"/>
        <v>#REF!</v>
      </c>
      <c r="L197" s="59" t="e">
        <f>SUMIFS(#REF!,#REF!,美团日报!$C197,#REF!,"美团")</f>
        <v>#REF!</v>
      </c>
      <c r="M197" s="18"/>
      <c r="N197" s="18"/>
      <c r="O197" s="18" t="e">
        <f t="shared" si="22"/>
        <v>#REF!</v>
      </c>
      <c r="P197" s="59" t="e">
        <f>SUMIFS(#REF!,#REF!,美团日报!$C197,#REF!,"美团")</f>
        <v>#REF!</v>
      </c>
      <c r="Q197" s="18"/>
      <c r="R197" s="18"/>
      <c r="S197" s="18" t="e">
        <f t="shared" si="23"/>
        <v>#REF!</v>
      </c>
      <c r="T197" s="59" t="e">
        <f>SUMIFS(#REF!,#REF!,美团日报!$C197,#REF!,"美团")</f>
        <v>#REF!</v>
      </c>
      <c r="U197" s="18" t="e">
        <f t="shared" si="24"/>
        <v>#REF!</v>
      </c>
      <c r="V197" s="59" t="e">
        <f>SUMIFS(#REF!,#REF!,美团日报!$C197,#REF!,"美团")</f>
        <v>#REF!</v>
      </c>
      <c r="W197" s="16" t="s">
        <v>19</v>
      </c>
    </row>
    <row r="198" ht="14.4" spans="1:23">
      <c r="A198" s="16" t="s">
        <v>264</v>
      </c>
      <c r="B198" s="16" t="s">
        <v>304</v>
      </c>
      <c r="C198" s="16">
        <v>2223</v>
      </c>
      <c r="D198" s="16" t="s">
        <v>473</v>
      </c>
      <c r="E198" s="58">
        <f>_xlfn.IFNA(VLOOKUP(C:C,线上线下销售!B:D,3,0),0)</f>
        <v>2775.4281</v>
      </c>
      <c r="F198" s="18">
        <f>SUMIFS(线上订单!$E:$E,线上订单!$B:$B,美团日报!$C198,线上订单!$D:$D,"美团")</f>
        <v>0</v>
      </c>
      <c r="G198" s="59">
        <f t="shared" si="19"/>
        <v>0</v>
      </c>
      <c r="H198" s="18">
        <f>SUMIFS(线上订单!$F:$F,线上订单!$B:$B,美团日报!$C198,线上订单!$D:$D,"美团")</f>
        <v>0</v>
      </c>
      <c r="I198" s="18">
        <f>SUMIFS(线上订单!$F:$F,线上订单!$B:$B,美团日报!$C198,线上订单!$D:$D,"美团")</f>
        <v>0</v>
      </c>
      <c r="J198" s="18">
        <f t="shared" si="20"/>
        <v>0</v>
      </c>
      <c r="K198" s="18" t="e">
        <f t="shared" si="21"/>
        <v>#REF!</v>
      </c>
      <c r="L198" s="59" t="e">
        <f>SUMIFS(#REF!,#REF!,美团日报!$C198,#REF!,"美团")</f>
        <v>#REF!</v>
      </c>
      <c r="M198" s="18"/>
      <c r="N198" s="18"/>
      <c r="O198" s="18" t="e">
        <f t="shared" si="22"/>
        <v>#REF!</v>
      </c>
      <c r="P198" s="59" t="e">
        <f>SUMIFS(#REF!,#REF!,美团日报!$C198,#REF!,"美团")</f>
        <v>#REF!</v>
      </c>
      <c r="Q198" s="18"/>
      <c r="R198" s="18"/>
      <c r="S198" s="18" t="e">
        <f t="shared" si="23"/>
        <v>#REF!</v>
      </c>
      <c r="T198" s="59" t="e">
        <f>SUMIFS(#REF!,#REF!,美团日报!$C198,#REF!,"美团")</f>
        <v>#REF!</v>
      </c>
      <c r="U198" s="18" t="e">
        <f t="shared" si="24"/>
        <v>#REF!</v>
      </c>
      <c r="V198" s="59" t="e">
        <f>SUMIFS(#REF!,#REF!,美团日报!$C198,#REF!,"美团")</f>
        <v>#REF!</v>
      </c>
      <c r="W198" s="16" t="s">
        <v>19</v>
      </c>
    </row>
    <row r="199" ht="14.4" spans="1:23">
      <c r="A199" s="16" t="s">
        <v>264</v>
      </c>
      <c r="B199" s="16" t="s">
        <v>370</v>
      </c>
      <c r="C199" s="16">
        <v>2241</v>
      </c>
      <c r="D199" s="16" t="s">
        <v>475</v>
      </c>
      <c r="E199" s="58">
        <f>_xlfn.IFNA(VLOOKUP(C:C,线上线下销售!B:D,3,0),0)</f>
        <v>0</v>
      </c>
      <c r="F199" s="18">
        <f>SUMIFS(线上订单!$E:$E,线上订单!$B:$B,美团日报!$C199,线上订单!$D:$D,"美团")</f>
        <v>0</v>
      </c>
      <c r="G199" s="59">
        <f t="shared" si="19"/>
        <v>0</v>
      </c>
      <c r="H199" s="18">
        <f>SUMIFS(线上订单!$F:$F,线上订单!$B:$B,美团日报!$C199,线上订单!$D:$D,"美团")</f>
        <v>0</v>
      </c>
      <c r="I199" s="18">
        <f>SUMIFS(线上订单!$F:$F,线上订单!$B:$B,美团日报!$C199,线上订单!$D:$D,"美团")</f>
        <v>0</v>
      </c>
      <c r="J199" s="18">
        <f t="shared" si="20"/>
        <v>0</v>
      </c>
      <c r="K199" s="18" t="e">
        <f t="shared" si="21"/>
        <v>#REF!</v>
      </c>
      <c r="L199" s="59" t="e">
        <f>SUMIFS(#REF!,#REF!,美团日报!$C199,#REF!,"美团")</f>
        <v>#REF!</v>
      </c>
      <c r="M199" s="18"/>
      <c r="N199" s="18"/>
      <c r="O199" s="18" t="e">
        <f t="shared" si="22"/>
        <v>#REF!</v>
      </c>
      <c r="P199" s="59" t="e">
        <f>SUMIFS(#REF!,#REF!,美团日报!$C199,#REF!,"美团")</f>
        <v>#REF!</v>
      </c>
      <c r="Q199" s="18"/>
      <c r="R199" s="18"/>
      <c r="S199" s="18" t="e">
        <f t="shared" si="23"/>
        <v>#REF!</v>
      </c>
      <c r="T199" s="59" t="e">
        <f>SUMIFS(#REF!,#REF!,美团日报!$C199,#REF!,"美团")</f>
        <v>#REF!</v>
      </c>
      <c r="U199" s="18" t="e">
        <f t="shared" si="24"/>
        <v>#REF!</v>
      </c>
      <c r="V199" s="59" t="e">
        <f>SUMIFS(#REF!,#REF!,美团日报!$C199,#REF!,"美团")</f>
        <v>#REF!</v>
      </c>
      <c r="W199" s="16" t="s">
        <v>19</v>
      </c>
    </row>
    <row r="200" ht="14.4" spans="1:23">
      <c r="A200" s="16" t="s">
        <v>264</v>
      </c>
      <c r="B200" s="16" t="s">
        <v>370</v>
      </c>
      <c r="C200" s="16">
        <v>2244</v>
      </c>
      <c r="D200" s="16" t="s">
        <v>477</v>
      </c>
      <c r="E200" s="58">
        <f>_xlfn.IFNA(VLOOKUP(C:C,线上线下销售!B:D,3,0),0)</f>
        <v>13853.7463</v>
      </c>
      <c r="F200" s="18">
        <f>SUMIFS(线上订单!$E:$E,线上订单!$B:$B,美团日报!$C200,线上订单!$D:$D,"美团")</f>
        <v>0</v>
      </c>
      <c r="G200" s="59">
        <f t="shared" si="19"/>
        <v>0</v>
      </c>
      <c r="H200" s="18">
        <f>SUMIFS(线上订单!$F:$F,线上订单!$B:$B,美团日报!$C200,线上订单!$D:$D,"美团")</f>
        <v>0</v>
      </c>
      <c r="I200" s="18">
        <f>SUMIFS(线上订单!$F:$F,线上订单!$B:$B,美团日报!$C200,线上订单!$D:$D,"美团")</f>
        <v>0</v>
      </c>
      <c r="J200" s="18">
        <f t="shared" si="20"/>
        <v>0</v>
      </c>
      <c r="K200" s="18" t="e">
        <f t="shared" si="21"/>
        <v>#REF!</v>
      </c>
      <c r="L200" s="59" t="e">
        <f>SUMIFS(#REF!,#REF!,美团日报!$C200,#REF!,"美团")</f>
        <v>#REF!</v>
      </c>
      <c r="M200" s="18"/>
      <c r="N200" s="18"/>
      <c r="O200" s="18" t="e">
        <f t="shared" si="22"/>
        <v>#REF!</v>
      </c>
      <c r="P200" s="59" t="e">
        <f>SUMIFS(#REF!,#REF!,美团日报!$C200,#REF!,"美团")</f>
        <v>#REF!</v>
      </c>
      <c r="Q200" s="18"/>
      <c r="R200" s="18"/>
      <c r="S200" s="18" t="e">
        <f t="shared" si="23"/>
        <v>#REF!</v>
      </c>
      <c r="T200" s="59" t="e">
        <f>SUMIFS(#REF!,#REF!,美团日报!$C200,#REF!,"美团")</f>
        <v>#REF!</v>
      </c>
      <c r="U200" s="18" t="e">
        <f t="shared" si="24"/>
        <v>#REF!</v>
      </c>
      <c r="V200" s="59" t="e">
        <f>SUMIFS(#REF!,#REF!,美团日报!$C200,#REF!,"美团")</f>
        <v>#REF!</v>
      </c>
      <c r="W200" s="16" t="s">
        <v>19</v>
      </c>
    </row>
    <row r="201" ht="14.4" spans="1:23">
      <c r="A201" s="16" t="s">
        <v>264</v>
      </c>
      <c r="B201" s="16" t="s">
        <v>576</v>
      </c>
      <c r="C201" s="16">
        <v>2278</v>
      </c>
      <c r="D201" s="16" t="s">
        <v>479</v>
      </c>
      <c r="E201" s="58">
        <f>_xlfn.IFNA(VLOOKUP(C:C,线上线下销售!B:D,3,0),0)</f>
        <v>9721.1621</v>
      </c>
      <c r="F201" s="18">
        <f>SUMIFS(线上订单!$E:$E,线上订单!$B:$B,美团日报!$C201,线上订单!$D:$D,"美团")</f>
        <v>0</v>
      </c>
      <c r="G201" s="59">
        <f t="shared" si="19"/>
        <v>0</v>
      </c>
      <c r="H201" s="18">
        <f>SUMIFS(线上订单!$F:$F,线上订单!$B:$B,美团日报!$C201,线上订单!$D:$D,"美团")</f>
        <v>0</v>
      </c>
      <c r="I201" s="18">
        <f>SUMIFS(线上订单!$F:$F,线上订单!$B:$B,美团日报!$C201,线上订单!$D:$D,"美团")</f>
        <v>0</v>
      </c>
      <c r="J201" s="18">
        <f t="shared" si="20"/>
        <v>0</v>
      </c>
      <c r="K201" s="18" t="e">
        <f t="shared" si="21"/>
        <v>#REF!</v>
      </c>
      <c r="L201" s="59" t="e">
        <f>SUMIFS(#REF!,#REF!,美团日报!$C201,#REF!,"美团")</f>
        <v>#REF!</v>
      </c>
      <c r="M201" s="18"/>
      <c r="N201" s="18"/>
      <c r="O201" s="18" t="e">
        <f t="shared" si="22"/>
        <v>#REF!</v>
      </c>
      <c r="P201" s="59" t="e">
        <f>SUMIFS(#REF!,#REF!,美团日报!$C201,#REF!,"美团")</f>
        <v>#REF!</v>
      </c>
      <c r="Q201" s="18"/>
      <c r="R201" s="18"/>
      <c r="S201" s="18" t="e">
        <f t="shared" si="23"/>
        <v>#REF!</v>
      </c>
      <c r="T201" s="59" t="e">
        <f>SUMIFS(#REF!,#REF!,美团日报!$C201,#REF!,"美团")</f>
        <v>#REF!</v>
      </c>
      <c r="U201" s="18" t="e">
        <f t="shared" si="24"/>
        <v>#REF!</v>
      </c>
      <c r="V201" s="59" t="e">
        <f>SUMIFS(#REF!,#REF!,美团日报!$C201,#REF!,"美团")</f>
        <v>#REF!</v>
      </c>
      <c r="W201" s="16" t="s">
        <v>19</v>
      </c>
    </row>
    <row r="202" ht="14.4" spans="1:23">
      <c r="A202" s="16" t="s">
        <v>48</v>
      </c>
      <c r="B202" s="16" t="s">
        <v>89</v>
      </c>
      <c r="C202" s="16">
        <v>8747</v>
      </c>
      <c r="D202" s="16" t="s">
        <v>481</v>
      </c>
      <c r="E202" s="58">
        <f>_xlfn.IFNA(VLOOKUP(C:C,线上线下销售!B:D,3,0),0)</f>
        <v>12010.6812</v>
      </c>
      <c r="F202" s="18">
        <f>SUMIFS(线上订单!$E:$E,线上订单!$B:$B,美团日报!$C202,线上订单!$D:$D,"美团")</f>
        <v>810.53649427618</v>
      </c>
      <c r="G202" s="59">
        <f t="shared" si="19"/>
        <v>0.0674846397784815</v>
      </c>
      <c r="H202" s="18">
        <f>SUMIFS(线上订单!$F:$F,线上订单!$B:$B,美团日报!$C202,线上订单!$D:$D,"美团")</f>
        <v>21</v>
      </c>
      <c r="I202" s="18">
        <f>SUMIFS(线上订单!$F:$F,线上订单!$B:$B,美团日报!$C202,线上订单!$D:$D,"美团")</f>
        <v>21</v>
      </c>
      <c r="J202" s="18">
        <f t="shared" si="20"/>
        <v>38.5969759179133</v>
      </c>
      <c r="K202" s="18" t="e">
        <f t="shared" si="21"/>
        <v>#REF!</v>
      </c>
      <c r="L202" s="59" t="e">
        <f>SUMIFS(#REF!,#REF!,美团日报!$C202,#REF!,"美团")</f>
        <v>#REF!</v>
      </c>
      <c r="M202" s="18"/>
      <c r="N202" s="18"/>
      <c r="O202" s="18" t="e">
        <f t="shared" si="22"/>
        <v>#REF!</v>
      </c>
      <c r="P202" s="59" t="e">
        <f>SUMIFS(#REF!,#REF!,美团日报!$C202,#REF!,"美团")</f>
        <v>#REF!</v>
      </c>
      <c r="Q202" s="18"/>
      <c r="R202" s="18"/>
      <c r="S202" s="18" t="e">
        <f t="shared" si="23"/>
        <v>#REF!</v>
      </c>
      <c r="T202" s="59" t="e">
        <f>SUMIFS(#REF!,#REF!,美团日报!$C202,#REF!,"美团")</f>
        <v>#REF!</v>
      </c>
      <c r="U202" s="18" t="e">
        <f t="shared" si="24"/>
        <v>#REF!</v>
      </c>
      <c r="V202" s="59" t="e">
        <f>SUMIFS(#REF!,#REF!,美团日报!$C202,#REF!,"美团")</f>
        <v>#REF!</v>
      </c>
      <c r="W202" s="16" t="s">
        <v>13</v>
      </c>
    </row>
    <row r="203" ht="14.4" spans="1:23">
      <c r="A203" s="16" t="s">
        <v>43</v>
      </c>
      <c r="B203" s="16" t="s">
        <v>143</v>
      </c>
      <c r="C203" s="16">
        <v>8749</v>
      </c>
      <c r="D203" s="16" t="s">
        <v>483</v>
      </c>
      <c r="E203" s="58">
        <f>_xlfn.IFNA(VLOOKUP(C:C,线上线下销售!B:D,3,0),0)</f>
        <v>2141.2804</v>
      </c>
      <c r="F203" s="18">
        <f>SUMIFS(线上订单!$E:$E,线上订单!$B:$B,美团日报!$C203,线上订单!$D:$D,"美团")</f>
        <v>187.52212389381</v>
      </c>
      <c r="G203" s="59">
        <f t="shared" si="19"/>
        <v>0.0875747631621762</v>
      </c>
      <c r="H203" s="18">
        <f>SUMIFS(线上订单!$F:$F,线上订单!$B:$B,美团日报!$C203,线上订单!$D:$D,"美团")</f>
        <v>4</v>
      </c>
      <c r="I203" s="18">
        <f>SUMIFS(线上订单!$F:$F,线上订单!$B:$B,美团日报!$C203,线上订单!$D:$D,"美团")</f>
        <v>4</v>
      </c>
      <c r="J203" s="18">
        <f t="shared" si="20"/>
        <v>46.8805309734525</v>
      </c>
      <c r="K203" s="18" t="e">
        <f t="shared" si="21"/>
        <v>#REF!</v>
      </c>
      <c r="L203" s="59" t="e">
        <f>SUMIFS(#REF!,#REF!,美团日报!$C203,#REF!,"美团")</f>
        <v>#REF!</v>
      </c>
      <c r="M203" s="18"/>
      <c r="N203" s="18"/>
      <c r="O203" s="18" t="e">
        <f t="shared" si="22"/>
        <v>#REF!</v>
      </c>
      <c r="P203" s="59" t="e">
        <f>SUMIFS(#REF!,#REF!,美团日报!$C203,#REF!,"美团")</f>
        <v>#REF!</v>
      </c>
      <c r="Q203" s="18"/>
      <c r="R203" s="18"/>
      <c r="S203" s="18" t="e">
        <f t="shared" si="23"/>
        <v>#REF!</v>
      </c>
      <c r="T203" s="59" t="e">
        <f>SUMIFS(#REF!,#REF!,美团日报!$C203,#REF!,"美团")</f>
        <v>#REF!</v>
      </c>
      <c r="U203" s="18" t="e">
        <f t="shared" si="24"/>
        <v>#REF!</v>
      </c>
      <c r="V203" s="59" t="e">
        <f>SUMIFS(#REF!,#REF!,美团日报!$C203,#REF!,"美团")</f>
        <v>#REF!</v>
      </c>
      <c r="W203" s="16" t="s">
        <v>13</v>
      </c>
    </row>
    <row r="204" ht="14.4" spans="1:23">
      <c r="A204" s="16" t="s">
        <v>48</v>
      </c>
      <c r="B204" s="16" t="s">
        <v>49</v>
      </c>
      <c r="C204" s="16">
        <v>8748</v>
      </c>
      <c r="D204" s="16" t="s">
        <v>485</v>
      </c>
      <c r="E204" s="58">
        <f>_xlfn.IFNA(VLOOKUP(C:C,线上线下销售!B:D,3,0),0)</f>
        <v>7281.8675</v>
      </c>
      <c r="F204" s="18">
        <f>SUMIFS(线上订单!$E:$E,线上订单!$B:$B,美团日报!$C204,线上订单!$D:$D,"美团")</f>
        <v>617.66371681413</v>
      </c>
      <c r="G204" s="59">
        <f t="shared" si="19"/>
        <v>0.0848221581639779</v>
      </c>
      <c r="H204" s="18">
        <f>SUMIFS(线上订单!$F:$F,线上订单!$B:$B,美团日报!$C204,线上订单!$D:$D,"美团")</f>
        <v>17</v>
      </c>
      <c r="I204" s="18">
        <f>SUMIFS(线上订单!$F:$F,线上订单!$B:$B,美团日报!$C204,线上订单!$D:$D,"美团")</f>
        <v>17</v>
      </c>
      <c r="J204" s="18">
        <f t="shared" si="20"/>
        <v>36.3331598125959</v>
      </c>
      <c r="K204" s="18" t="e">
        <f t="shared" si="21"/>
        <v>#REF!</v>
      </c>
      <c r="L204" s="59" t="e">
        <f>SUMIFS(#REF!,#REF!,美团日报!$C204,#REF!,"美团")</f>
        <v>#REF!</v>
      </c>
      <c r="M204" s="18"/>
      <c r="N204" s="18"/>
      <c r="O204" s="18" t="e">
        <f t="shared" si="22"/>
        <v>#REF!</v>
      </c>
      <c r="P204" s="59" t="e">
        <f>SUMIFS(#REF!,#REF!,美团日报!$C204,#REF!,"美团")</f>
        <v>#REF!</v>
      </c>
      <c r="Q204" s="18"/>
      <c r="R204" s="18"/>
      <c r="S204" s="18" t="e">
        <f t="shared" si="23"/>
        <v>#REF!</v>
      </c>
      <c r="T204" s="59" t="e">
        <f>SUMIFS(#REF!,#REF!,美团日报!$C204,#REF!,"美团")</f>
        <v>#REF!</v>
      </c>
      <c r="U204" s="18" t="e">
        <f t="shared" si="24"/>
        <v>#REF!</v>
      </c>
      <c r="V204" s="59" t="e">
        <f>SUMIFS(#REF!,#REF!,美团日报!$C204,#REF!,"美团")</f>
        <v>#REF!</v>
      </c>
      <c r="W204" s="16" t="s">
        <v>13</v>
      </c>
    </row>
    <row r="205" ht="14.4" spans="1:23">
      <c r="A205" s="16" t="s">
        <v>264</v>
      </c>
      <c r="B205" s="16" t="s">
        <v>304</v>
      </c>
      <c r="C205" s="16">
        <v>8753</v>
      </c>
      <c r="D205" s="16" t="s">
        <v>487</v>
      </c>
      <c r="E205" s="58">
        <f>_xlfn.IFNA(VLOOKUP(C:C,线上线下销售!B:D,3,0),0)</f>
        <v>5915.681</v>
      </c>
      <c r="F205" s="18">
        <f>SUMIFS(线上订单!$E:$E,线上订单!$B:$B,美团日报!$C205,线上订单!$D:$D,"美团")</f>
        <v>0</v>
      </c>
      <c r="G205" s="59">
        <f t="shared" si="19"/>
        <v>0</v>
      </c>
      <c r="H205" s="18">
        <f>SUMIFS(线上订单!$F:$F,线上订单!$B:$B,美团日报!$C205,线上订单!$D:$D,"美团")</f>
        <v>0</v>
      </c>
      <c r="I205" s="18">
        <f>SUMIFS(线上订单!$F:$F,线上订单!$B:$B,美团日报!$C205,线上订单!$D:$D,"美团")</f>
        <v>0</v>
      </c>
      <c r="J205" s="18">
        <f t="shared" si="20"/>
        <v>0</v>
      </c>
      <c r="K205" s="18" t="e">
        <f t="shared" si="21"/>
        <v>#REF!</v>
      </c>
      <c r="L205" s="59" t="e">
        <f>SUMIFS(#REF!,#REF!,美团日报!$C205,#REF!,"美团")</f>
        <v>#REF!</v>
      </c>
      <c r="M205" s="18"/>
      <c r="N205" s="18"/>
      <c r="O205" s="18" t="e">
        <f t="shared" si="22"/>
        <v>#REF!</v>
      </c>
      <c r="P205" s="59" t="e">
        <f>SUMIFS(#REF!,#REF!,美团日报!$C205,#REF!,"美团")</f>
        <v>#REF!</v>
      </c>
      <c r="Q205" s="18"/>
      <c r="R205" s="18"/>
      <c r="S205" s="18" t="e">
        <f t="shared" si="23"/>
        <v>#REF!</v>
      </c>
      <c r="T205" s="59" t="e">
        <f>SUMIFS(#REF!,#REF!,美团日报!$C205,#REF!,"美团")</f>
        <v>#REF!</v>
      </c>
      <c r="U205" s="18" t="e">
        <f t="shared" si="24"/>
        <v>#REF!</v>
      </c>
      <c r="V205" s="59" t="e">
        <f>SUMIFS(#REF!,#REF!,美团日报!$C205,#REF!,"美团")</f>
        <v>#REF!</v>
      </c>
      <c r="W205" s="16" t="s">
        <v>13</v>
      </c>
    </row>
    <row r="206" ht="14.4" spans="1:23">
      <c r="A206" s="16" t="s">
        <v>43</v>
      </c>
      <c r="B206" s="16" t="s">
        <v>161</v>
      </c>
      <c r="C206" s="16">
        <v>8755</v>
      </c>
      <c r="D206" s="16" t="s">
        <v>489</v>
      </c>
      <c r="E206" s="58">
        <f>_xlfn.IFNA(VLOOKUP(C:C,线上线下销售!B:D,3,0),0)</f>
        <v>17865.9022</v>
      </c>
      <c r="F206" s="18">
        <f>SUMIFS(线上订单!$E:$E,线上订单!$B:$B,美团日报!$C206,线上订单!$D:$D,"美团")</f>
        <v>399.46902654862</v>
      </c>
      <c r="G206" s="59">
        <f t="shared" si="19"/>
        <v>0.0223592977324492</v>
      </c>
      <c r="H206" s="18">
        <f>SUMIFS(线上订单!$F:$F,线上订单!$B:$B,美团日报!$C206,线上订单!$D:$D,"美团")</f>
        <v>9</v>
      </c>
      <c r="I206" s="18">
        <f>SUMIFS(线上订单!$F:$F,线上订单!$B:$B,美团日报!$C206,线上订单!$D:$D,"美团")</f>
        <v>9</v>
      </c>
      <c r="J206" s="18">
        <f t="shared" si="20"/>
        <v>44.3854473942911</v>
      </c>
      <c r="K206" s="18" t="e">
        <f t="shared" si="21"/>
        <v>#REF!</v>
      </c>
      <c r="L206" s="59" t="e">
        <f>SUMIFS(#REF!,#REF!,美团日报!$C206,#REF!,"美团")</f>
        <v>#REF!</v>
      </c>
      <c r="M206" s="18"/>
      <c r="N206" s="18"/>
      <c r="O206" s="18" t="e">
        <f t="shared" si="22"/>
        <v>#REF!</v>
      </c>
      <c r="P206" s="59" t="e">
        <f>SUMIFS(#REF!,#REF!,美团日报!$C206,#REF!,"美团")</f>
        <v>#REF!</v>
      </c>
      <c r="Q206" s="18"/>
      <c r="R206" s="18"/>
      <c r="S206" s="18" t="e">
        <f t="shared" si="23"/>
        <v>#REF!</v>
      </c>
      <c r="T206" s="59" t="e">
        <f>SUMIFS(#REF!,#REF!,美团日报!$C206,#REF!,"美团")</f>
        <v>#REF!</v>
      </c>
      <c r="U206" s="18" t="e">
        <f t="shared" si="24"/>
        <v>#REF!</v>
      </c>
      <c r="V206" s="59" t="e">
        <f>SUMIFS(#REF!,#REF!,美团日报!$C206,#REF!,"美团")</f>
        <v>#REF!</v>
      </c>
      <c r="W206" s="16" t="s">
        <v>13</v>
      </c>
    </row>
    <row r="207" ht="14.4" spans="1:23">
      <c r="A207" s="16" t="s">
        <v>63</v>
      </c>
      <c r="B207" s="16" t="s">
        <v>60</v>
      </c>
      <c r="C207" s="16">
        <v>8750</v>
      </c>
      <c r="D207" s="16" t="s">
        <v>491</v>
      </c>
      <c r="E207" s="58">
        <f>_xlfn.IFNA(VLOOKUP(C:C,线上线下销售!B:D,3,0),0)</f>
        <v>7242.8559</v>
      </c>
      <c r="F207" s="18">
        <f>SUMIFS(线上订单!$E:$E,线上订单!$B:$B,美团日报!$C207,线上订单!$D:$D,"美团")</f>
        <v>826.29049281476</v>
      </c>
      <c r="G207" s="59">
        <f t="shared" si="19"/>
        <v>0.11408351957061</v>
      </c>
      <c r="H207" s="18">
        <f>SUMIFS(线上订单!$F:$F,线上订单!$B:$B,美团日报!$C207,线上订单!$D:$D,"美团")</f>
        <v>19</v>
      </c>
      <c r="I207" s="18">
        <f>SUMIFS(线上订单!$F:$F,线上订单!$B:$B,美团日报!$C207,线上订单!$D:$D,"美团")</f>
        <v>19</v>
      </c>
      <c r="J207" s="18">
        <f t="shared" si="20"/>
        <v>43.48897330604</v>
      </c>
      <c r="K207" s="18" t="e">
        <f t="shared" si="21"/>
        <v>#REF!</v>
      </c>
      <c r="L207" s="59" t="e">
        <f>SUMIFS(#REF!,#REF!,美团日报!$C207,#REF!,"美团")</f>
        <v>#REF!</v>
      </c>
      <c r="M207" s="18"/>
      <c r="N207" s="18"/>
      <c r="O207" s="18" t="e">
        <f t="shared" si="22"/>
        <v>#REF!</v>
      </c>
      <c r="P207" s="59" t="e">
        <f>SUMIFS(#REF!,#REF!,美团日报!$C207,#REF!,"美团")</f>
        <v>#REF!</v>
      </c>
      <c r="Q207" s="18"/>
      <c r="R207" s="18"/>
      <c r="S207" s="18" t="e">
        <f t="shared" si="23"/>
        <v>#REF!</v>
      </c>
      <c r="T207" s="59" t="e">
        <f>SUMIFS(#REF!,#REF!,美团日报!$C207,#REF!,"美团")</f>
        <v>#REF!</v>
      </c>
      <c r="U207" s="18" t="e">
        <f t="shared" si="24"/>
        <v>#REF!</v>
      </c>
      <c r="V207" s="59" t="e">
        <f>SUMIFS(#REF!,#REF!,美团日报!$C207,#REF!,"美团")</f>
        <v>#REF!</v>
      </c>
      <c r="W207" s="16" t="s">
        <v>13</v>
      </c>
    </row>
    <row r="208" ht="14.4" spans="1:23">
      <c r="A208" s="16" t="s">
        <v>56</v>
      </c>
      <c r="B208" s="16" t="s">
        <v>70</v>
      </c>
      <c r="C208" s="16">
        <v>8744</v>
      </c>
      <c r="D208" s="16" t="s">
        <v>493</v>
      </c>
      <c r="E208" s="58">
        <f>_xlfn.IFNA(VLOOKUP(C:C,线上线下销售!B:D,3,0),0)</f>
        <v>5621.8587</v>
      </c>
      <c r="F208" s="18">
        <f>SUMIFS(线上订单!$E:$E,线上订单!$B:$B,美团日报!$C208,线上订单!$D:$D,"美团")</f>
        <v>819.28635219611</v>
      </c>
      <c r="G208" s="59">
        <f t="shared" si="19"/>
        <v>0.145732291741183</v>
      </c>
      <c r="H208" s="18">
        <f>SUMIFS(线上订单!$F:$F,线上订单!$B:$B,美团日报!$C208,线上订单!$D:$D,"美团")</f>
        <v>20</v>
      </c>
      <c r="I208" s="18">
        <f>SUMIFS(线上订单!$F:$F,线上订单!$B:$B,美团日报!$C208,线上订单!$D:$D,"美团")</f>
        <v>20</v>
      </c>
      <c r="J208" s="18">
        <f t="shared" si="20"/>
        <v>40.9643176098055</v>
      </c>
      <c r="K208" s="18" t="e">
        <f t="shared" si="21"/>
        <v>#REF!</v>
      </c>
      <c r="L208" s="59" t="e">
        <f>SUMIFS(#REF!,#REF!,美团日报!$C208,#REF!,"美团")</f>
        <v>#REF!</v>
      </c>
      <c r="M208" s="18"/>
      <c r="N208" s="18"/>
      <c r="O208" s="18" t="e">
        <f t="shared" si="22"/>
        <v>#REF!</v>
      </c>
      <c r="P208" s="59" t="e">
        <f>SUMIFS(#REF!,#REF!,美团日报!$C208,#REF!,"美团")</f>
        <v>#REF!</v>
      </c>
      <c r="Q208" s="18"/>
      <c r="R208" s="18"/>
      <c r="S208" s="18" t="e">
        <f t="shared" si="23"/>
        <v>#REF!</v>
      </c>
      <c r="T208" s="59" t="e">
        <f>SUMIFS(#REF!,#REF!,美团日报!$C208,#REF!,"美团")</f>
        <v>#REF!</v>
      </c>
      <c r="U208" s="18" t="e">
        <f t="shared" si="24"/>
        <v>#REF!</v>
      </c>
      <c r="V208" s="59" t="e">
        <f>SUMIFS(#REF!,#REF!,美团日报!$C208,#REF!,"美团")</f>
        <v>#REF!</v>
      </c>
      <c r="W208" s="16" t="s">
        <v>13</v>
      </c>
    </row>
    <row r="209" ht="14.4" spans="1:23">
      <c r="A209" s="16" t="s">
        <v>43</v>
      </c>
      <c r="B209" s="16" t="s">
        <v>131</v>
      </c>
      <c r="C209" s="16">
        <v>8751</v>
      </c>
      <c r="D209" s="16" t="s">
        <v>495</v>
      </c>
      <c r="E209" s="58">
        <f>_xlfn.IFNA(VLOOKUP(C:C,线上线下销售!B:D,3,0),0)</f>
        <v>7464.214</v>
      </c>
      <c r="F209" s="18">
        <f>SUMIFS(线上订单!$E:$E,线上订单!$B:$B,美团日报!$C209,线上订单!$D:$D,"美团")</f>
        <v>118.7610619469</v>
      </c>
      <c r="G209" s="59">
        <f t="shared" si="19"/>
        <v>0.0159107257571795</v>
      </c>
      <c r="H209" s="18">
        <f>SUMIFS(线上订单!$F:$F,线上订单!$B:$B,美团日报!$C209,线上订单!$D:$D,"美团")</f>
        <v>2</v>
      </c>
      <c r="I209" s="18">
        <f>SUMIFS(线上订单!$F:$F,线上订单!$B:$B,美团日报!$C209,线上订单!$D:$D,"美团")</f>
        <v>2</v>
      </c>
      <c r="J209" s="18">
        <f t="shared" si="20"/>
        <v>59.38053097345</v>
      </c>
      <c r="K209" s="18" t="e">
        <f t="shared" si="21"/>
        <v>#REF!</v>
      </c>
      <c r="L209" s="59" t="e">
        <f>SUMIFS(#REF!,#REF!,美团日报!$C209,#REF!,"美团")</f>
        <v>#REF!</v>
      </c>
      <c r="M209" s="18"/>
      <c r="N209" s="18"/>
      <c r="O209" s="18" t="e">
        <f t="shared" si="22"/>
        <v>#REF!</v>
      </c>
      <c r="P209" s="59" t="e">
        <f>SUMIFS(#REF!,#REF!,美团日报!$C209,#REF!,"美团")</f>
        <v>#REF!</v>
      </c>
      <c r="Q209" s="18"/>
      <c r="R209" s="18"/>
      <c r="S209" s="18" t="e">
        <f t="shared" si="23"/>
        <v>#REF!</v>
      </c>
      <c r="T209" s="59" t="e">
        <f>SUMIFS(#REF!,#REF!,美团日报!$C209,#REF!,"美团")</f>
        <v>#REF!</v>
      </c>
      <c r="U209" s="18" t="e">
        <f t="shared" si="24"/>
        <v>#REF!</v>
      </c>
      <c r="V209" s="59" t="e">
        <f>SUMIFS(#REF!,#REF!,美团日报!$C209,#REF!,"美团")</f>
        <v>#REF!</v>
      </c>
      <c r="W209" s="16" t="s">
        <v>13</v>
      </c>
    </row>
    <row r="210" ht="14.4" spans="1:23">
      <c r="A210" s="16" t="s">
        <v>48</v>
      </c>
      <c r="B210" s="16" t="s">
        <v>89</v>
      </c>
      <c r="C210" s="16">
        <v>8754</v>
      </c>
      <c r="D210" s="16" t="s">
        <v>497</v>
      </c>
      <c r="E210" s="58">
        <f>_xlfn.IFNA(VLOOKUP(C:C,线上线下销售!B:D,3,0),0)</f>
        <v>8707.4412</v>
      </c>
      <c r="F210" s="18">
        <f>SUMIFS(线上订单!$E:$E,线上订单!$B:$B,美团日报!$C210,线上订单!$D:$D,"美团")</f>
        <v>78.913696517</v>
      </c>
      <c r="G210" s="59">
        <f t="shared" si="19"/>
        <v>0.0090627883329261</v>
      </c>
      <c r="H210" s="18">
        <f>SUMIFS(线上订单!$F:$F,线上订单!$B:$B,美团日报!$C210,线上订单!$D:$D,"美团")</f>
        <v>2</v>
      </c>
      <c r="I210" s="18">
        <f>SUMIFS(线上订单!$F:$F,线上订单!$B:$B,美团日报!$C210,线上订单!$D:$D,"美团")</f>
        <v>2</v>
      </c>
      <c r="J210" s="18">
        <f t="shared" si="20"/>
        <v>39.4568482585</v>
      </c>
      <c r="K210" s="18" t="e">
        <f t="shared" si="21"/>
        <v>#REF!</v>
      </c>
      <c r="L210" s="59" t="e">
        <f>SUMIFS(#REF!,#REF!,美团日报!$C210,#REF!,"美团")</f>
        <v>#REF!</v>
      </c>
      <c r="M210" s="18"/>
      <c r="N210" s="18"/>
      <c r="O210" s="18" t="e">
        <f t="shared" si="22"/>
        <v>#REF!</v>
      </c>
      <c r="P210" s="59" t="e">
        <f>SUMIFS(#REF!,#REF!,美团日报!$C210,#REF!,"美团")</f>
        <v>#REF!</v>
      </c>
      <c r="Q210" s="18"/>
      <c r="R210" s="18"/>
      <c r="S210" s="18" t="e">
        <f t="shared" si="23"/>
        <v>#REF!</v>
      </c>
      <c r="T210" s="59" t="e">
        <f>SUMIFS(#REF!,#REF!,美团日报!$C210,#REF!,"美团")</f>
        <v>#REF!</v>
      </c>
      <c r="U210" s="18" t="e">
        <f t="shared" si="24"/>
        <v>#REF!</v>
      </c>
      <c r="V210" s="59" t="e">
        <f>SUMIFS(#REF!,#REF!,美团日报!$C210,#REF!,"美团")</f>
        <v>#REF!</v>
      </c>
      <c r="W210" s="16" t="s">
        <v>13</v>
      </c>
    </row>
    <row r="211" ht="14.4" spans="1:23">
      <c r="A211" s="16" t="s">
        <v>63</v>
      </c>
      <c r="B211" s="16" t="s">
        <v>60</v>
      </c>
      <c r="C211" s="16">
        <v>8756</v>
      </c>
      <c r="D211" s="16" t="s">
        <v>499</v>
      </c>
      <c r="E211" s="58">
        <f>_xlfn.IFNA(VLOOKUP(C:C,线上线下销售!B:D,3,0),0)</f>
        <v>7614.8041</v>
      </c>
      <c r="F211" s="18">
        <f>SUMIFS(线上订单!$E:$E,线上订单!$B:$B,美团日报!$C211,线上订单!$D:$D,"美团")</f>
        <v>699.87042299254</v>
      </c>
      <c r="G211" s="59">
        <f t="shared" si="19"/>
        <v>0.0919091829286245</v>
      </c>
      <c r="H211" s="18">
        <f>SUMIFS(线上订单!$F:$F,线上订单!$B:$B,美团日报!$C211,线上订单!$D:$D,"美团")</f>
        <v>16</v>
      </c>
      <c r="I211" s="18">
        <f>SUMIFS(线上订单!$F:$F,线上订单!$B:$B,美团日报!$C211,线上订单!$D:$D,"美团")</f>
        <v>16</v>
      </c>
      <c r="J211" s="18">
        <f t="shared" si="20"/>
        <v>43.7419014370338</v>
      </c>
      <c r="K211" s="18" t="e">
        <f t="shared" si="21"/>
        <v>#REF!</v>
      </c>
      <c r="L211" s="59" t="e">
        <f>SUMIFS(#REF!,#REF!,美团日报!$C211,#REF!,"美团")</f>
        <v>#REF!</v>
      </c>
      <c r="M211" s="18"/>
      <c r="N211" s="18"/>
      <c r="O211" s="18" t="e">
        <f t="shared" si="22"/>
        <v>#REF!</v>
      </c>
      <c r="P211" s="59" t="e">
        <f>SUMIFS(#REF!,#REF!,美团日报!$C211,#REF!,"美团")</f>
        <v>#REF!</v>
      </c>
      <c r="Q211" s="18"/>
      <c r="R211" s="18"/>
      <c r="S211" s="18" t="e">
        <f t="shared" si="23"/>
        <v>#REF!</v>
      </c>
      <c r="T211" s="59" t="e">
        <f>SUMIFS(#REF!,#REF!,美团日报!$C211,#REF!,"美团")</f>
        <v>#REF!</v>
      </c>
      <c r="U211" s="18" t="e">
        <f t="shared" si="24"/>
        <v>#REF!</v>
      </c>
      <c r="V211" s="59" t="e">
        <f>SUMIFS(#REF!,#REF!,美团日报!$C211,#REF!,"美团")</f>
        <v>#REF!</v>
      </c>
      <c r="W211" s="16" t="s">
        <v>13</v>
      </c>
    </row>
    <row r="212" ht="14.4" spans="1:23">
      <c r="A212" s="16" t="s">
        <v>264</v>
      </c>
      <c r="B212" s="16" t="s">
        <v>359</v>
      </c>
      <c r="C212" s="16">
        <v>8758</v>
      </c>
      <c r="D212" s="16" t="s">
        <v>501</v>
      </c>
      <c r="E212" s="58">
        <f>_xlfn.IFNA(VLOOKUP(C:C,线上线下销售!B:D,3,0),0)</f>
        <v>855.3635</v>
      </c>
      <c r="F212" s="18">
        <f>SUMIFS(线上订单!$E:$E,线上订单!$B:$B,美团日报!$C212,线上订单!$D:$D,"美团")</f>
        <v>0</v>
      </c>
      <c r="G212" s="59">
        <f t="shared" si="19"/>
        <v>0</v>
      </c>
      <c r="H212" s="18">
        <f>SUMIFS(线上订单!$F:$F,线上订单!$B:$B,美团日报!$C212,线上订单!$D:$D,"美团")</f>
        <v>0</v>
      </c>
      <c r="I212" s="18">
        <f>SUMIFS(线上订单!$F:$F,线上订单!$B:$B,美团日报!$C212,线上订单!$D:$D,"美团")</f>
        <v>0</v>
      </c>
      <c r="J212" s="18">
        <f t="shared" si="20"/>
        <v>0</v>
      </c>
      <c r="K212" s="18" t="e">
        <f t="shared" si="21"/>
        <v>#REF!</v>
      </c>
      <c r="L212" s="59" t="e">
        <f>SUMIFS(#REF!,#REF!,美团日报!$C212,#REF!,"美团")</f>
        <v>#REF!</v>
      </c>
      <c r="M212" s="18"/>
      <c r="N212" s="18"/>
      <c r="O212" s="18" t="e">
        <f t="shared" si="22"/>
        <v>#REF!</v>
      </c>
      <c r="P212" s="59" t="e">
        <f>SUMIFS(#REF!,#REF!,美团日报!$C212,#REF!,"美团")</f>
        <v>#REF!</v>
      </c>
      <c r="Q212" s="18"/>
      <c r="R212" s="18"/>
      <c r="S212" s="18" t="e">
        <f t="shared" si="23"/>
        <v>#REF!</v>
      </c>
      <c r="T212" s="59" t="e">
        <f>SUMIFS(#REF!,#REF!,美团日报!$C212,#REF!,"美团")</f>
        <v>#REF!</v>
      </c>
      <c r="U212" s="18" t="e">
        <f t="shared" si="24"/>
        <v>#REF!</v>
      </c>
      <c r="V212" s="59" t="e">
        <f>SUMIFS(#REF!,#REF!,美团日报!$C212,#REF!,"美团")</f>
        <v>#REF!</v>
      </c>
      <c r="W212" s="16" t="s">
        <v>13</v>
      </c>
    </row>
    <row r="213" ht="14.4" spans="1:23">
      <c r="A213" s="16" t="s">
        <v>264</v>
      </c>
      <c r="B213" s="16" t="s">
        <v>261</v>
      </c>
      <c r="C213" s="16">
        <v>8759</v>
      </c>
      <c r="D213" s="16" t="s">
        <v>503</v>
      </c>
      <c r="E213" s="58">
        <f>_xlfn.IFNA(VLOOKUP(C:C,线上线下销售!B:D,3,0),0)</f>
        <v>120.7078</v>
      </c>
      <c r="F213" s="18">
        <f>SUMIFS(线上订单!$E:$E,线上订单!$B:$B,美团日报!$C213,线上订单!$D:$D,"美团")</f>
        <v>0</v>
      </c>
      <c r="G213" s="59">
        <f t="shared" si="19"/>
        <v>0</v>
      </c>
      <c r="H213" s="18">
        <f>SUMIFS(线上订单!$F:$F,线上订单!$B:$B,美团日报!$C213,线上订单!$D:$D,"美团")</f>
        <v>0</v>
      </c>
      <c r="I213" s="18">
        <f>SUMIFS(线上订单!$F:$F,线上订单!$B:$B,美团日报!$C213,线上订单!$D:$D,"美团")</f>
        <v>0</v>
      </c>
      <c r="J213" s="18">
        <f t="shared" si="20"/>
        <v>0</v>
      </c>
      <c r="K213" s="18" t="e">
        <f t="shared" si="21"/>
        <v>#REF!</v>
      </c>
      <c r="L213" s="59" t="e">
        <f>SUMIFS(#REF!,#REF!,美团日报!$C213,#REF!,"美团")</f>
        <v>#REF!</v>
      </c>
      <c r="M213" s="18"/>
      <c r="N213" s="18"/>
      <c r="O213" s="18" t="e">
        <f t="shared" si="22"/>
        <v>#REF!</v>
      </c>
      <c r="P213" s="59" t="e">
        <f>SUMIFS(#REF!,#REF!,美团日报!$C213,#REF!,"美团")</f>
        <v>#REF!</v>
      </c>
      <c r="Q213" s="18"/>
      <c r="R213" s="18"/>
      <c r="S213" s="18" t="e">
        <f t="shared" si="23"/>
        <v>#REF!</v>
      </c>
      <c r="T213" s="59" t="e">
        <f>SUMIFS(#REF!,#REF!,美团日报!$C213,#REF!,"美团")</f>
        <v>#REF!</v>
      </c>
      <c r="U213" s="18" t="e">
        <f t="shared" si="24"/>
        <v>#REF!</v>
      </c>
      <c r="V213" s="59" t="e">
        <f>SUMIFS(#REF!,#REF!,美团日报!$C213,#REF!,"美团")</f>
        <v>#REF!</v>
      </c>
      <c r="W213" s="16" t="s">
        <v>13</v>
      </c>
    </row>
    <row r="214" ht="14.4" spans="1:23">
      <c r="A214" s="16" t="s">
        <v>264</v>
      </c>
      <c r="B214" s="16" t="s">
        <v>261</v>
      </c>
      <c r="C214" s="16">
        <v>8760</v>
      </c>
      <c r="D214" s="16" t="s">
        <v>505</v>
      </c>
      <c r="E214" s="58">
        <f>_xlfn.IFNA(VLOOKUP(C:C,线上线下销售!B:D,3,0),0)</f>
        <v>11283.0733</v>
      </c>
      <c r="F214" s="18">
        <f>SUMIFS(线上订单!$E:$E,线上订单!$B:$B,美团日报!$C214,线上订单!$D:$D,"美团")</f>
        <v>0</v>
      </c>
      <c r="G214" s="59">
        <f t="shared" si="19"/>
        <v>0</v>
      </c>
      <c r="H214" s="18">
        <f>SUMIFS(线上订单!$F:$F,线上订单!$B:$B,美团日报!$C214,线上订单!$D:$D,"美团")</f>
        <v>0</v>
      </c>
      <c r="I214" s="18">
        <f>SUMIFS(线上订单!$F:$F,线上订单!$B:$B,美团日报!$C214,线上订单!$D:$D,"美团")</f>
        <v>0</v>
      </c>
      <c r="J214" s="18">
        <f t="shared" si="20"/>
        <v>0</v>
      </c>
      <c r="K214" s="18" t="e">
        <f t="shared" si="21"/>
        <v>#REF!</v>
      </c>
      <c r="L214" s="59" t="e">
        <f>SUMIFS(#REF!,#REF!,美团日报!$C214,#REF!,"美团")</f>
        <v>#REF!</v>
      </c>
      <c r="M214" s="18"/>
      <c r="N214" s="18"/>
      <c r="O214" s="18" t="e">
        <f t="shared" si="22"/>
        <v>#REF!</v>
      </c>
      <c r="P214" s="59" t="e">
        <f>SUMIFS(#REF!,#REF!,美团日报!$C214,#REF!,"美团")</f>
        <v>#REF!</v>
      </c>
      <c r="Q214" s="18"/>
      <c r="R214" s="18"/>
      <c r="S214" s="18" t="e">
        <f t="shared" si="23"/>
        <v>#REF!</v>
      </c>
      <c r="T214" s="59" t="e">
        <f>SUMIFS(#REF!,#REF!,美团日报!$C214,#REF!,"美团")</f>
        <v>#REF!</v>
      </c>
      <c r="U214" s="18" t="e">
        <f t="shared" si="24"/>
        <v>#REF!</v>
      </c>
      <c r="V214" s="59" t="e">
        <f>SUMIFS(#REF!,#REF!,美团日报!$C214,#REF!,"美团")</f>
        <v>#REF!</v>
      </c>
      <c r="W214" s="16" t="s">
        <v>13</v>
      </c>
    </row>
    <row r="215" ht="14.4" spans="1:23">
      <c r="A215" s="16" t="s">
        <v>264</v>
      </c>
      <c r="B215" s="16" t="s">
        <v>401</v>
      </c>
      <c r="C215" s="16">
        <v>8761</v>
      </c>
      <c r="D215" s="16" t="s">
        <v>507</v>
      </c>
      <c r="E215" s="58">
        <f>_xlfn.IFNA(VLOOKUP(C:C,线上线下销售!B:D,3,0),0)</f>
        <v>2974.729</v>
      </c>
      <c r="F215" s="18">
        <f>SUMIFS(线上订单!$E:$E,线上订单!$B:$B,美团日报!$C215,线上订单!$D:$D,"美团")</f>
        <v>0</v>
      </c>
      <c r="G215" s="59">
        <f t="shared" si="19"/>
        <v>0</v>
      </c>
      <c r="H215" s="18">
        <f>SUMIFS(线上订单!$F:$F,线上订单!$B:$B,美团日报!$C215,线上订单!$D:$D,"美团")</f>
        <v>0</v>
      </c>
      <c r="I215" s="18">
        <f>SUMIFS(线上订单!$F:$F,线上订单!$B:$B,美团日报!$C215,线上订单!$D:$D,"美团")</f>
        <v>0</v>
      </c>
      <c r="J215" s="18">
        <f t="shared" si="20"/>
        <v>0</v>
      </c>
      <c r="K215" s="18" t="e">
        <f t="shared" si="21"/>
        <v>#REF!</v>
      </c>
      <c r="L215" s="59" t="e">
        <f>SUMIFS(#REF!,#REF!,美团日报!$C215,#REF!,"美团")</f>
        <v>#REF!</v>
      </c>
      <c r="M215" s="18"/>
      <c r="N215" s="18"/>
      <c r="O215" s="18" t="e">
        <f t="shared" si="22"/>
        <v>#REF!</v>
      </c>
      <c r="P215" s="59" t="e">
        <f>SUMIFS(#REF!,#REF!,美团日报!$C215,#REF!,"美团")</f>
        <v>#REF!</v>
      </c>
      <c r="Q215" s="18"/>
      <c r="R215" s="18"/>
      <c r="S215" s="18" t="e">
        <f t="shared" si="23"/>
        <v>#REF!</v>
      </c>
      <c r="T215" s="59" t="e">
        <f>SUMIFS(#REF!,#REF!,美团日报!$C215,#REF!,"美团")</f>
        <v>#REF!</v>
      </c>
      <c r="U215" s="18" t="e">
        <f t="shared" si="24"/>
        <v>#REF!</v>
      </c>
      <c r="V215" s="59" t="e">
        <f>SUMIFS(#REF!,#REF!,美团日报!$C215,#REF!,"美团")</f>
        <v>#REF!</v>
      </c>
      <c r="W215" s="16" t="s">
        <v>13</v>
      </c>
    </row>
    <row r="216" ht="14.4" spans="1:23">
      <c r="A216" s="16" t="s">
        <v>48</v>
      </c>
      <c r="B216" s="16" t="s">
        <v>111</v>
      </c>
      <c r="C216" s="16">
        <v>8764</v>
      </c>
      <c r="D216" s="16" t="s">
        <v>509</v>
      </c>
      <c r="E216" s="58">
        <f>_xlfn.IFNA(VLOOKUP(C:C,线上线下销售!B:D,3,0),0)</f>
        <v>12454.5095</v>
      </c>
      <c r="F216" s="18">
        <f>SUMIFS(线上订单!$E:$E,线上订单!$B:$B,美团日报!$C216,线上订单!$D:$D,"美团")</f>
        <v>0</v>
      </c>
      <c r="G216" s="59">
        <f t="shared" si="19"/>
        <v>0</v>
      </c>
      <c r="H216" s="18">
        <f>SUMIFS(线上订单!$F:$F,线上订单!$B:$B,美团日报!$C216,线上订单!$D:$D,"美团")</f>
        <v>0</v>
      </c>
      <c r="I216" s="18">
        <f>SUMIFS(线上订单!$F:$F,线上订单!$B:$B,美团日报!$C216,线上订单!$D:$D,"美团")</f>
        <v>0</v>
      </c>
      <c r="J216" s="18">
        <f t="shared" si="20"/>
        <v>0</v>
      </c>
      <c r="K216" s="18" t="e">
        <f t="shared" si="21"/>
        <v>#REF!</v>
      </c>
      <c r="L216" s="59" t="e">
        <f>SUMIFS(#REF!,#REF!,美团日报!$C216,#REF!,"美团")</f>
        <v>#REF!</v>
      </c>
      <c r="M216" s="18"/>
      <c r="N216" s="18"/>
      <c r="O216" s="18" t="e">
        <f t="shared" si="22"/>
        <v>#REF!</v>
      </c>
      <c r="P216" s="59" t="e">
        <f>SUMIFS(#REF!,#REF!,美团日报!$C216,#REF!,"美团")</f>
        <v>#REF!</v>
      </c>
      <c r="Q216" s="18"/>
      <c r="R216" s="18"/>
      <c r="S216" s="18" t="e">
        <f t="shared" si="23"/>
        <v>#REF!</v>
      </c>
      <c r="T216" s="59" t="e">
        <f>SUMIFS(#REF!,#REF!,美团日报!$C216,#REF!,"美团")</f>
        <v>#REF!</v>
      </c>
      <c r="U216" s="18" t="e">
        <f t="shared" si="24"/>
        <v>#REF!</v>
      </c>
      <c r="V216" s="59" t="e">
        <f>SUMIFS(#REF!,#REF!,美团日报!$C216,#REF!,"美团")</f>
        <v>#REF!</v>
      </c>
      <c r="W216" s="16" t="s">
        <v>13</v>
      </c>
    </row>
    <row r="217" ht="14.4" spans="1:23">
      <c r="A217" s="16" t="s">
        <v>43</v>
      </c>
      <c r="B217" s="16" t="s">
        <v>38</v>
      </c>
      <c r="C217" s="16">
        <v>8763</v>
      </c>
      <c r="D217" s="16" t="s">
        <v>510</v>
      </c>
      <c r="E217" s="58">
        <f>_xlfn.IFNA(VLOOKUP(C:C,线上线下销售!B:D,3,0),0)</f>
        <v>1327.6932</v>
      </c>
      <c r="F217" s="18">
        <f>SUMIFS(线上订单!$E:$E,线上订单!$B:$B,美团日报!$C217,线上订单!$D:$D,"美团")</f>
        <v>0</v>
      </c>
      <c r="G217" s="59">
        <f t="shared" si="19"/>
        <v>0</v>
      </c>
      <c r="H217" s="18">
        <f>SUMIFS(线上订单!$F:$F,线上订单!$B:$B,美团日报!$C217,线上订单!$D:$D,"美团")</f>
        <v>0</v>
      </c>
      <c r="I217" s="18">
        <f>SUMIFS(线上订单!$F:$F,线上订单!$B:$B,美团日报!$C217,线上订单!$D:$D,"美团")</f>
        <v>0</v>
      </c>
      <c r="J217" s="18">
        <f t="shared" si="20"/>
        <v>0</v>
      </c>
      <c r="K217" s="18" t="e">
        <f t="shared" si="21"/>
        <v>#REF!</v>
      </c>
      <c r="L217" s="59" t="e">
        <f>SUMIFS(#REF!,#REF!,美团日报!$C217,#REF!,"美团")</f>
        <v>#REF!</v>
      </c>
      <c r="M217" s="18"/>
      <c r="N217" s="18"/>
      <c r="O217" s="18" t="e">
        <f t="shared" si="22"/>
        <v>#REF!</v>
      </c>
      <c r="P217" s="59" t="e">
        <f>SUMIFS(#REF!,#REF!,美团日报!$C217,#REF!,"美团")</f>
        <v>#REF!</v>
      </c>
      <c r="Q217" s="18"/>
      <c r="R217" s="18"/>
      <c r="S217" s="18" t="e">
        <f t="shared" si="23"/>
        <v>#REF!</v>
      </c>
      <c r="T217" s="59" t="e">
        <f>SUMIFS(#REF!,#REF!,美团日报!$C217,#REF!,"美团")</f>
        <v>#REF!</v>
      </c>
      <c r="U217" s="18" t="e">
        <f t="shared" si="24"/>
        <v>#REF!</v>
      </c>
      <c r="V217" s="59" t="e">
        <f>SUMIFS(#REF!,#REF!,美团日报!$C217,#REF!,"美团")</f>
        <v>#REF!</v>
      </c>
      <c r="W217" s="16" t="s">
        <v>13</v>
      </c>
    </row>
    <row r="218" ht="14.4" spans="1:23">
      <c r="A218" s="16" t="s">
        <v>264</v>
      </c>
      <c r="B218" s="16" t="s">
        <v>401</v>
      </c>
      <c r="C218" s="16">
        <v>8767</v>
      </c>
      <c r="D218" s="16" t="s">
        <v>511</v>
      </c>
      <c r="E218" s="58">
        <f>_xlfn.IFNA(VLOOKUP(C:C,线上线下销售!B:D,3,0),0)</f>
        <v>51490.8945</v>
      </c>
      <c r="F218" s="18">
        <f>SUMIFS(线上订单!$E:$E,线上订单!$B:$B,美团日报!$C218,线上订单!$D:$D,"美团")</f>
        <v>0</v>
      </c>
      <c r="G218" s="59">
        <f t="shared" si="19"/>
        <v>0</v>
      </c>
      <c r="H218" s="18">
        <f>SUMIFS(线上订单!$F:$F,线上订单!$B:$B,美团日报!$C218,线上订单!$D:$D,"美团")</f>
        <v>0</v>
      </c>
      <c r="I218" s="18">
        <f>SUMIFS(线上订单!$F:$F,线上订单!$B:$B,美团日报!$C218,线上订单!$D:$D,"美团")</f>
        <v>0</v>
      </c>
      <c r="J218" s="18">
        <f t="shared" si="20"/>
        <v>0</v>
      </c>
      <c r="K218" s="18" t="e">
        <f t="shared" si="21"/>
        <v>#REF!</v>
      </c>
      <c r="L218" s="59" t="e">
        <f>SUMIFS(#REF!,#REF!,美团日报!$C218,#REF!,"美团")</f>
        <v>#REF!</v>
      </c>
      <c r="M218" s="18"/>
      <c r="N218" s="18"/>
      <c r="O218" s="18" t="e">
        <f t="shared" si="22"/>
        <v>#REF!</v>
      </c>
      <c r="P218" s="59" t="e">
        <f>SUMIFS(#REF!,#REF!,美团日报!$C218,#REF!,"美团")</f>
        <v>#REF!</v>
      </c>
      <c r="Q218" s="18"/>
      <c r="R218" s="18"/>
      <c r="S218" s="18" t="e">
        <f t="shared" si="23"/>
        <v>#REF!</v>
      </c>
      <c r="T218" s="59" t="e">
        <f>SUMIFS(#REF!,#REF!,美团日报!$C218,#REF!,"美团")</f>
        <v>#REF!</v>
      </c>
      <c r="U218" s="18" t="e">
        <f t="shared" si="24"/>
        <v>#REF!</v>
      </c>
      <c r="V218" s="59" t="e">
        <f>SUMIFS(#REF!,#REF!,美团日报!$C218,#REF!,"美团")</f>
        <v>#REF!</v>
      </c>
      <c r="W218" s="16" t="s">
        <v>13</v>
      </c>
    </row>
    <row r="219" ht="14.4" spans="1:23">
      <c r="A219" s="16" t="s">
        <v>48</v>
      </c>
      <c r="B219" s="16"/>
      <c r="C219" s="16">
        <v>8762</v>
      </c>
      <c r="D219" s="16" t="s">
        <v>512</v>
      </c>
      <c r="E219" s="58">
        <f>_xlfn.IFNA(VLOOKUP(C:C,线上线下销售!B:D,3,0),0)</f>
        <v>3111.6859</v>
      </c>
      <c r="F219" s="18">
        <f>SUMIFS(线上订单!$E:$E,线上订单!$B:$B,美团日报!$C219,线上订单!$D:$D,"美团")</f>
        <v>0</v>
      </c>
      <c r="G219" s="59">
        <f t="shared" si="19"/>
        <v>0</v>
      </c>
      <c r="H219" s="18">
        <f>SUMIFS(线上订单!$F:$F,线上订单!$B:$B,美团日报!$C219,线上订单!$D:$D,"美团")</f>
        <v>0</v>
      </c>
      <c r="I219" s="18">
        <f>SUMIFS(线上订单!$F:$F,线上订单!$B:$B,美团日报!$C219,线上订单!$D:$D,"美团")</f>
        <v>0</v>
      </c>
      <c r="J219" s="18">
        <f t="shared" si="20"/>
        <v>0</v>
      </c>
      <c r="K219" s="18" t="e">
        <f t="shared" si="21"/>
        <v>#REF!</v>
      </c>
      <c r="L219" s="59" t="e">
        <f>SUMIFS(#REF!,#REF!,美团日报!$C219,#REF!,"美团")</f>
        <v>#REF!</v>
      </c>
      <c r="M219" s="18"/>
      <c r="N219" s="18"/>
      <c r="O219" s="18" t="e">
        <f t="shared" si="22"/>
        <v>#REF!</v>
      </c>
      <c r="P219" s="59" t="e">
        <f>SUMIFS(#REF!,#REF!,美团日报!$C219,#REF!,"美团")</f>
        <v>#REF!</v>
      </c>
      <c r="Q219" s="18"/>
      <c r="R219" s="18"/>
      <c r="S219" s="18" t="e">
        <f t="shared" si="23"/>
        <v>#REF!</v>
      </c>
      <c r="T219" s="59" t="e">
        <f>SUMIFS(#REF!,#REF!,美团日报!$C219,#REF!,"美团")</f>
        <v>#REF!</v>
      </c>
      <c r="U219" s="18" t="e">
        <f t="shared" si="24"/>
        <v>#REF!</v>
      </c>
      <c r="V219" s="59" t="e">
        <f>SUMIFS(#REF!,#REF!,美团日报!$C219,#REF!,"美团")</f>
        <v>#REF!</v>
      </c>
      <c r="W219" s="16" t="s">
        <v>13</v>
      </c>
    </row>
    <row r="220" ht="14.4" spans="1:23">
      <c r="A220" s="16" t="s">
        <v>48</v>
      </c>
      <c r="B220" s="16" t="s">
        <v>49</v>
      </c>
      <c r="C220" s="16">
        <v>8699</v>
      </c>
      <c r="D220" s="16" t="s">
        <v>513</v>
      </c>
      <c r="E220" s="58">
        <f>_xlfn.IFNA(VLOOKUP(C:C,线上线下销售!B:D,3,0),0)</f>
        <v>0</v>
      </c>
      <c r="F220" s="18">
        <f>SUMIFS(线上订单!$E:$E,线上订单!$B:$B,美团日报!$C220,线上订单!$D:$D,"美团")</f>
        <v>0</v>
      </c>
      <c r="G220" s="59">
        <f t="shared" si="19"/>
        <v>0</v>
      </c>
      <c r="H220" s="18">
        <f>SUMIFS(线上订单!$F:$F,线上订单!$B:$B,美团日报!$C220,线上订单!$D:$D,"美团")</f>
        <v>0</v>
      </c>
      <c r="I220" s="18">
        <f>SUMIFS(线上订单!$F:$F,线上订单!$B:$B,美团日报!$C220,线上订单!$D:$D,"美团")</f>
        <v>0</v>
      </c>
      <c r="J220" s="18">
        <f t="shared" si="20"/>
        <v>0</v>
      </c>
      <c r="K220" s="18" t="e">
        <f t="shared" si="21"/>
        <v>#REF!</v>
      </c>
      <c r="L220" s="59" t="e">
        <f>SUMIFS(#REF!,#REF!,美团日报!$C220,#REF!,"美团")</f>
        <v>#REF!</v>
      </c>
      <c r="M220" s="18"/>
      <c r="N220" s="18"/>
      <c r="O220" s="18" t="e">
        <f t="shared" si="22"/>
        <v>#REF!</v>
      </c>
      <c r="P220" s="59" t="e">
        <f>SUMIFS(#REF!,#REF!,美团日报!$C220,#REF!,"美团")</f>
        <v>#REF!</v>
      </c>
      <c r="Q220" s="18"/>
      <c r="R220" s="18"/>
      <c r="S220" s="18" t="e">
        <f t="shared" si="23"/>
        <v>#REF!</v>
      </c>
      <c r="T220" s="59" t="e">
        <f>SUMIFS(#REF!,#REF!,美团日报!$C220,#REF!,"美团")</f>
        <v>#REF!</v>
      </c>
      <c r="U220" s="18" t="e">
        <f t="shared" si="24"/>
        <v>#REF!</v>
      </c>
      <c r="V220" s="59" t="e">
        <f>SUMIFS(#REF!,#REF!,美团日报!$C220,#REF!,"美团")</f>
        <v>#REF!</v>
      </c>
      <c r="W220" s="16" t="s">
        <v>13</v>
      </c>
    </row>
    <row r="221" ht="14.4" spans="1:23">
      <c r="A221" s="16" t="s">
        <v>63</v>
      </c>
      <c r="B221" s="16" t="s">
        <v>60</v>
      </c>
      <c r="C221" s="16">
        <v>8712</v>
      </c>
      <c r="D221" s="16" t="s">
        <v>514</v>
      </c>
      <c r="E221" s="58">
        <f>_xlfn.IFNA(VLOOKUP(C:C,线上线下销售!B:D,3,0),0)</f>
        <v>0</v>
      </c>
      <c r="F221" s="18">
        <f>SUMIFS(线上订单!$E:$E,线上订单!$B:$B,美团日报!$C221,线上订单!$D:$D,"美团")</f>
        <v>0</v>
      </c>
      <c r="G221" s="59">
        <f t="shared" si="19"/>
        <v>0</v>
      </c>
      <c r="H221" s="18">
        <f>SUMIFS(线上订单!$F:$F,线上订单!$B:$B,美团日报!$C221,线上订单!$D:$D,"美团")</f>
        <v>0</v>
      </c>
      <c r="I221" s="18">
        <f>SUMIFS(线上订单!$F:$F,线上订单!$B:$B,美团日报!$C221,线上订单!$D:$D,"美团")</f>
        <v>0</v>
      </c>
      <c r="J221" s="18">
        <f t="shared" si="20"/>
        <v>0</v>
      </c>
      <c r="K221" s="18" t="e">
        <f t="shared" si="21"/>
        <v>#REF!</v>
      </c>
      <c r="L221" s="59" t="e">
        <f>SUMIFS(#REF!,#REF!,美团日报!$C221,#REF!,"美团")</f>
        <v>#REF!</v>
      </c>
      <c r="M221" s="18"/>
      <c r="N221" s="18"/>
      <c r="O221" s="18" t="e">
        <f t="shared" si="22"/>
        <v>#REF!</v>
      </c>
      <c r="P221" s="59" t="e">
        <f>SUMIFS(#REF!,#REF!,美团日报!$C221,#REF!,"美团")</f>
        <v>#REF!</v>
      </c>
      <c r="Q221" s="18"/>
      <c r="R221" s="18"/>
      <c r="S221" s="18" t="e">
        <f t="shared" si="23"/>
        <v>#REF!</v>
      </c>
      <c r="T221" s="59" t="e">
        <f>SUMIFS(#REF!,#REF!,美团日报!$C221,#REF!,"美团")</f>
        <v>#REF!</v>
      </c>
      <c r="U221" s="18" t="e">
        <f t="shared" si="24"/>
        <v>#REF!</v>
      </c>
      <c r="V221" s="59" t="e">
        <f>SUMIFS(#REF!,#REF!,美团日报!$C221,#REF!,"美团")</f>
        <v>#REF!</v>
      </c>
      <c r="W221" s="16" t="s">
        <v>13</v>
      </c>
    </row>
    <row r="222" ht="14.4" spans="1:23">
      <c r="A222" s="16"/>
      <c r="B222" s="16"/>
      <c r="C222" s="25">
        <v>8780</v>
      </c>
      <c r="D222" s="26" t="s">
        <v>515</v>
      </c>
      <c r="E222" s="58">
        <f>_xlfn.IFNA(VLOOKUP(C:C,线上线下销售!B:D,3,0),0)</f>
        <v>7416.5769</v>
      </c>
      <c r="F222" s="18">
        <f>SUMIFS(线上订单!$E:$E,线上订单!$B:$B,美团日报!$C222,线上订单!$D:$D,"美团")</f>
        <v>0</v>
      </c>
      <c r="G222" s="59">
        <f t="shared" si="19"/>
        <v>0</v>
      </c>
      <c r="H222" s="18">
        <f>SUMIFS(线上订单!$F:$F,线上订单!$B:$B,美团日报!$C222,线上订单!$D:$D,"美团")</f>
        <v>0</v>
      </c>
      <c r="I222" s="18">
        <f>SUMIFS(线上订单!$F:$F,线上订单!$B:$B,美团日报!$C222,线上订单!$D:$D,"美团")</f>
        <v>0</v>
      </c>
      <c r="J222" s="18">
        <f t="shared" si="20"/>
        <v>0</v>
      </c>
      <c r="K222" s="18" t="e">
        <f t="shared" si="21"/>
        <v>#REF!</v>
      </c>
      <c r="L222" s="59" t="e">
        <f>SUMIFS(#REF!,#REF!,美团日报!$C222,#REF!,"美团")</f>
        <v>#REF!</v>
      </c>
      <c r="M222" s="18"/>
      <c r="N222" s="18"/>
      <c r="O222" s="18" t="e">
        <f t="shared" si="22"/>
        <v>#REF!</v>
      </c>
      <c r="P222" s="59" t="e">
        <f>SUMIFS(#REF!,#REF!,美团日报!$C222,#REF!,"美团")</f>
        <v>#REF!</v>
      </c>
      <c r="Q222" s="18"/>
      <c r="R222" s="18"/>
      <c r="S222" s="18" t="e">
        <f t="shared" si="23"/>
        <v>#REF!</v>
      </c>
      <c r="T222" s="59" t="e">
        <f>SUMIFS(#REF!,#REF!,美团日报!$C222,#REF!,"美团")</f>
        <v>#REF!</v>
      </c>
      <c r="U222" s="18" t="e">
        <f t="shared" si="24"/>
        <v>#REF!</v>
      </c>
      <c r="V222" s="59" t="e">
        <f>SUMIFS(#REF!,#REF!,美团日报!$C222,#REF!,"美团")</f>
        <v>#REF!</v>
      </c>
      <c r="W222" s="16" t="s">
        <v>13</v>
      </c>
    </row>
    <row r="223" ht="14.4" spans="1:23">
      <c r="A223" s="16"/>
      <c r="B223" s="16"/>
      <c r="C223" s="25">
        <v>8768</v>
      </c>
      <c r="D223" s="26" t="s">
        <v>516</v>
      </c>
      <c r="E223" s="58">
        <f>_xlfn.IFNA(VLOOKUP(C:C,线上线下销售!B:D,3,0),0)</f>
        <v>0</v>
      </c>
      <c r="F223" s="18">
        <f>SUMIFS(线上订单!$E:$E,线上订单!$B:$B,美团日报!$C223,线上订单!$D:$D,"美团")</f>
        <v>0</v>
      </c>
      <c r="G223" s="59">
        <f t="shared" si="19"/>
        <v>0</v>
      </c>
      <c r="H223" s="18">
        <f>SUMIFS(线上订单!$F:$F,线上订单!$B:$B,美团日报!$C223,线上订单!$D:$D,"美团")</f>
        <v>0</v>
      </c>
      <c r="I223" s="18">
        <f>SUMIFS(线上订单!$F:$F,线上订单!$B:$B,美团日报!$C223,线上订单!$D:$D,"美团")</f>
        <v>0</v>
      </c>
      <c r="J223" s="18">
        <f t="shared" si="20"/>
        <v>0</v>
      </c>
      <c r="K223" s="18" t="e">
        <f t="shared" si="21"/>
        <v>#REF!</v>
      </c>
      <c r="L223" s="59" t="e">
        <f>SUMIFS(#REF!,#REF!,美团日报!$C223,#REF!,"美团")</f>
        <v>#REF!</v>
      </c>
      <c r="M223" s="18"/>
      <c r="N223" s="18"/>
      <c r="O223" s="18" t="e">
        <f t="shared" si="22"/>
        <v>#REF!</v>
      </c>
      <c r="P223" s="59" t="e">
        <f>SUMIFS(#REF!,#REF!,美团日报!$C223,#REF!,"美团")</f>
        <v>#REF!</v>
      </c>
      <c r="Q223" s="18"/>
      <c r="R223" s="18"/>
      <c r="S223" s="18" t="e">
        <f t="shared" si="23"/>
        <v>#REF!</v>
      </c>
      <c r="T223" s="59" t="e">
        <f>SUMIFS(#REF!,#REF!,美团日报!$C223,#REF!,"美团")</f>
        <v>#REF!</v>
      </c>
      <c r="U223" s="18" t="e">
        <f t="shared" si="24"/>
        <v>#REF!</v>
      </c>
      <c r="V223" s="59" t="e">
        <f>SUMIFS(#REF!,#REF!,美团日报!$C223,#REF!,"美团")</f>
        <v>#REF!</v>
      </c>
      <c r="W223" s="16" t="s">
        <v>13</v>
      </c>
    </row>
    <row r="224" ht="14.4" spans="1:23">
      <c r="A224" s="27" t="s">
        <v>43</v>
      </c>
      <c r="B224" s="27" t="s">
        <v>131</v>
      </c>
      <c r="C224" s="28">
        <v>8766</v>
      </c>
      <c r="D224" s="29" t="s">
        <v>517</v>
      </c>
      <c r="E224" s="58">
        <f>_xlfn.IFNA(VLOOKUP(C:C,线上线下销售!B:D,3,0),0)</f>
        <v>7161.6856</v>
      </c>
      <c r="F224" s="18">
        <f>SUMIFS(线上订单!$E:$E,线上订单!$B:$B,美团日报!$C224,线上订单!$D:$D,"美团")</f>
        <v>251.23893805307</v>
      </c>
      <c r="G224" s="59">
        <f t="shared" si="19"/>
        <v>0.0350809784295851</v>
      </c>
      <c r="H224" s="18">
        <f>SUMIFS(线上订单!$F:$F,线上订单!$B:$B,美团日报!$C224,线上订单!$D:$D,"美团")</f>
        <v>7</v>
      </c>
      <c r="I224" s="18">
        <f>SUMIFS(线上订单!$F:$F,线上订单!$B:$B,美团日报!$C224,线上订单!$D:$D,"美团")</f>
        <v>7</v>
      </c>
      <c r="J224" s="18">
        <f t="shared" si="20"/>
        <v>35.8912768647243</v>
      </c>
      <c r="K224" s="18" t="e">
        <f t="shared" si="21"/>
        <v>#REF!</v>
      </c>
      <c r="L224" s="59" t="e">
        <f>SUMIFS(#REF!,#REF!,美团日报!$C224,#REF!,"美团")</f>
        <v>#REF!</v>
      </c>
      <c r="M224" s="18"/>
      <c r="N224" s="18"/>
      <c r="O224" s="18" t="e">
        <f t="shared" si="22"/>
        <v>#REF!</v>
      </c>
      <c r="P224" s="59" t="e">
        <f>SUMIFS(#REF!,#REF!,美团日报!$C224,#REF!,"美团")</f>
        <v>#REF!</v>
      </c>
      <c r="Q224" s="18"/>
      <c r="R224" s="18"/>
      <c r="S224" s="18" t="e">
        <f t="shared" si="23"/>
        <v>#REF!</v>
      </c>
      <c r="T224" s="59" t="e">
        <f>SUMIFS(#REF!,#REF!,美团日报!$C224,#REF!,"美团")</f>
        <v>#REF!</v>
      </c>
      <c r="U224" s="18" t="e">
        <f t="shared" si="24"/>
        <v>#REF!</v>
      </c>
      <c r="V224" s="59" t="e">
        <f>SUMIFS(#REF!,#REF!,美团日报!$C224,#REF!,"美团")</f>
        <v>#REF!</v>
      </c>
      <c r="W224" s="16" t="s">
        <v>13</v>
      </c>
    </row>
    <row r="225" ht="14.4" spans="1:23">
      <c r="A225" s="29" t="s">
        <v>63</v>
      </c>
      <c r="B225" s="29" t="s">
        <v>168</v>
      </c>
      <c r="C225" s="16">
        <v>8765</v>
      </c>
      <c r="D225" s="26" t="s">
        <v>577</v>
      </c>
      <c r="E225" s="58">
        <f>_xlfn.IFNA(VLOOKUP(C:C,线上线下销售!B:D,3,0),0)</f>
        <v>16482.8543</v>
      </c>
      <c r="F225" s="18">
        <f>SUMIFS(线上订单!$E:$E,线上订单!$B:$B,美团日报!$C225,线上订单!$D:$D,"美团")</f>
        <v>474.95575221232</v>
      </c>
      <c r="G225" s="59">
        <f t="shared" si="19"/>
        <v>0.0288151398761269</v>
      </c>
      <c r="H225" s="18">
        <f>SUMIFS(线上订单!$F:$F,线上订单!$B:$B,美团日报!$C225,线上订单!$D:$D,"美团")</f>
        <v>15</v>
      </c>
      <c r="I225" s="18">
        <f>SUMIFS(线上订单!$F:$F,线上订单!$B:$B,美团日报!$C225,线上订单!$D:$D,"美团")</f>
        <v>15</v>
      </c>
      <c r="J225" s="18">
        <f t="shared" si="20"/>
        <v>31.6637168141547</v>
      </c>
      <c r="K225" s="18" t="e">
        <f t="shared" si="21"/>
        <v>#REF!</v>
      </c>
      <c r="L225" s="59" t="e">
        <f>SUMIFS(#REF!,#REF!,美团日报!$C225,#REF!,"美团")</f>
        <v>#REF!</v>
      </c>
      <c r="M225" s="18"/>
      <c r="N225" s="18"/>
      <c r="O225" s="18" t="e">
        <f t="shared" si="22"/>
        <v>#REF!</v>
      </c>
      <c r="P225" s="59" t="e">
        <f>SUMIFS(#REF!,#REF!,美团日报!$C225,#REF!,"美团")</f>
        <v>#REF!</v>
      </c>
      <c r="Q225" s="18"/>
      <c r="R225" s="18"/>
      <c r="S225" s="18" t="e">
        <f t="shared" si="23"/>
        <v>#REF!</v>
      </c>
      <c r="T225" s="59" t="e">
        <f>SUMIFS(#REF!,#REF!,美团日报!$C225,#REF!,"美团")</f>
        <v>#REF!</v>
      </c>
      <c r="U225" s="18" t="e">
        <f t="shared" si="24"/>
        <v>#REF!</v>
      </c>
      <c r="V225" s="59" t="e">
        <f>SUMIFS(#REF!,#REF!,美团日报!$C225,#REF!,"美团")</f>
        <v>#REF!</v>
      </c>
      <c r="W225" s="16" t="s">
        <v>13</v>
      </c>
    </row>
    <row r="226" ht="14.4" spans="1:23">
      <c r="A226" s="29" t="s">
        <v>56</v>
      </c>
      <c r="B226" s="29" t="s">
        <v>52</v>
      </c>
      <c r="C226" s="16">
        <v>8772</v>
      </c>
      <c r="D226" s="29" t="s">
        <v>519</v>
      </c>
      <c r="E226" s="58">
        <f>_xlfn.IFNA(VLOOKUP(C:C,线上线下销售!B:D,3,0),0)</f>
        <v>4597.4832</v>
      </c>
      <c r="F226" s="18">
        <f>SUMIFS(线上订单!$E:$E,线上订单!$B:$B,美团日报!$C226,线上订单!$D:$D,"美团")</f>
        <v>372.48924251026</v>
      </c>
      <c r="G226" s="59">
        <f t="shared" si="19"/>
        <v>0.0810202509299566</v>
      </c>
      <c r="H226" s="18">
        <f>SUMIFS(线上订单!$F:$F,线上订单!$B:$B,美团日报!$C226,线上订单!$D:$D,"美团")</f>
        <v>9</v>
      </c>
      <c r="I226" s="18">
        <f>SUMIFS(线上订单!$F:$F,线上订单!$B:$B,美团日报!$C226,线上订单!$D:$D,"美团")</f>
        <v>9</v>
      </c>
      <c r="J226" s="18">
        <f t="shared" si="20"/>
        <v>41.3876936122511</v>
      </c>
      <c r="K226" s="18" t="e">
        <f t="shared" si="21"/>
        <v>#REF!</v>
      </c>
      <c r="L226" s="59" t="e">
        <f>SUMIFS(#REF!,#REF!,美团日报!$C226,#REF!,"美团")</f>
        <v>#REF!</v>
      </c>
      <c r="M226" s="18"/>
      <c r="N226" s="18"/>
      <c r="O226" s="18" t="e">
        <f t="shared" si="22"/>
        <v>#REF!</v>
      </c>
      <c r="P226" s="59" t="e">
        <f>SUMIFS(#REF!,#REF!,美团日报!$C226,#REF!,"美团")</f>
        <v>#REF!</v>
      </c>
      <c r="Q226" s="18"/>
      <c r="R226" s="18"/>
      <c r="S226" s="18" t="e">
        <f t="shared" si="23"/>
        <v>#REF!</v>
      </c>
      <c r="T226" s="59" t="e">
        <f>SUMIFS(#REF!,#REF!,美团日报!$C226,#REF!,"美团")</f>
        <v>#REF!</v>
      </c>
      <c r="U226" s="18" t="e">
        <f t="shared" si="24"/>
        <v>#REF!</v>
      </c>
      <c r="V226" s="59" t="e">
        <f>SUMIFS(#REF!,#REF!,美团日报!$C226,#REF!,"美团")</f>
        <v>#REF!</v>
      </c>
      <c r="W226" s="16" t="s">
        <v>13</v>
      </c>
    </row>
    <row r="227" ht="14.4" spans="1:23">
      <c r="A227" s="29" t="s">
        <v>56</v>
      </c>
      <c r="B227" s="29" t="s">
        <v>70</v>
      </c>
      <c r="C227" s="16">
        <v>8773</v>
      </c>
      <c r="D227" s="29" t="s">
        <v>520</v>
      </c>
      <c r="E227" s="58">
        <f>_xlfn.IFNA(VLOOKUP(C:C,线上线下销售!B:D,3,0),0)</f>
        <v>6674.0584</v>
      </c>
      <c r="F227" s="18">
        <f>SUMIFS(线上订单!$E:$E,线上订单!$B:$B,美团日报!$C227,线上订单!$D:$D,"美团")</f>
        <v>1030.64138994863</v>
      </c>
      <c r="G227" s="59">
        <f t="shared" si="19"/>
        <v>0.154424988242331</v>
      </c>
      <c r="H227" s="18">
        <f>SUMIFS(线上订单!$F:$F,线上订单!$B:$B,美团日报!$C227,线上订单!$D:$D,"美团")</f>
        <v>29</v>
      </c>
      <c r="I227" s="18">
        <f>SUMIFS(线上订单!$F:$F,线上订单!$B:$B,美团日报!$C227,线上订单!$D:$D,"美团")</f>
        <v>29</v>
      </c>
      <c r="J227" s="18">
        <f t="shared" si="20"/>
        <v>35.5393582740907</v>
      </c>
      <c r="K227" s="18" t="e">
        <f t="shared" si="21"/>
        <v>#REF!</v>
      </c>
      <c r="L227" s="59" t="e">
        <f>SUMIFS(#REF!,#REF!,美团日报!$C227,#REF!,"美团")</f>
        <v>#REF!</v>
      </c>
      <c r="M227" s="18"/>
      <c r="N227" s="18"/>
      <c r="O227" s="18" t="e">
        <f t="shared" si="22"/>
        <v>#REF!</v>
      </c>
      <c r="P227" s="59" t="e">
        <f>SUMIFS(#REF!,#REF!,美团日报!$C227,#REF!,"美团")</f>
        <v>#REF!</v>
      </c>
      <c r="Q227" s="18"/>
      <c r="R227" s="18"/>
      <c r="S227" s="18" t="e">
        <f t="shared" si="23"/>
        <v>#REF!</v>
      </c>
      <c r="T227" s="59" t="e">
        <f>SUMIFS(#REF!,#REF!,美团日报!$C227,#REF!,"美团")</f>
        <v>#REF!</v>
      </c>
      <c r="U227" s="18" t="e">
        <f t="shared" si="24"/>
        <v>#REF!</v>
      </c>
      <c r="V227" s="59" t="e">
        <f>SUMIFS(#REF!,#REF!,美团日报!$C227,#REF!,"美团")</f>
        <v>#REF!</v>
      </c>
      <c r="W227" s="16" t="s">
        <v>13</v>
      </c>
    </row>
    <row r="228" ht="14.4" spans="1:23">
      <c r="A228" s="29" t="s">
        <v>48</v>
      </c>
      <c r="B228" s="29" t="s">
        <v>111</v>
      </c>
      <c r="C228" s="16">
        <v>8778</v>
      </c>
      <c r="D228" s="29" t="s">
        <v>521</v>
      </c>
      <c r="E228" s="58">
        <f>_xlfn.IFNA(VLOOKUP(C:C,线上线下销售!B:D,3,0),0)</f>
        <v>5334.5526</v>
      </c>
      <c r="F228" s="18">
        <f>SUMIFS(线上订单!$E:$E,线上订单!$B:$B,美团日报!$C228,线上订单!$D:$D,"美团")</f>
        <v>0</v>
      </c>
      <c r="G228" s="59">
        <f t="shared" si="19"/>
        <v>0</v>
      </c>
      <c r="H228" s="18">
        <f>SUMIFS(线上订单!$F:$F,线上订单!$B:$B,美团日报!$C228,线上订单!$D:$D,"美团")</f>
        <v>0</v>
      </c>
      <c r="I228" s="18">
        <f>SUMIFS(线上订单!$F:$F,线上订单!$B:$B,美团日报!$C228,线上订单!$D:$D,"美团")</f>
        <v>0</v>
      </c>
      <c r="J228" s="18">
        <f t="shared" si="20"/>
        <v>0</v>
      </c>
      <c r="K228" s="18" t="e">
        <f t="shared" si="21"/>
        <v>#REF!</v>
      </c>
      <c r="L228" s="59" t="e">
        <f>SUMIFS(#REF!,#REF!,美团日报!$C228,#REF!,"美团")</f>
        <v>#REF!</v>
      </c>
      <c r="M228" s="18"/>
      <c r="N228" s="18"/>
      <c r="O228" s="18" t="e">
        <f t="shared" si="22"/>
        <v>#REF!</v>
      </c>
      <c r="P228" s="59" t="e">
        <f>SUMIFS(#REF!,#REF!,美团日报!$C228,#REF!,"美团")</f>
        <v>#REF!</v>
      </c>
      <c r="Q228" s="18"/>
      <c r="R228" s="18"/>
      <c r="S228" s="18" t="e">
        <f t="shared" si="23"/>
        <v>#REF!</v>
      </c>
      <c r="T228" s="59" t="e">
        <f>SUMIFS(#REF!,#REF!,美团日报!$C228,#REF!,"美团")</f>
        <v>#REF!</v>
      </c>
      <c r="U228" s="18" t="e">
        <f t="shared" si="24"/>
        <v>#REF!</v>
      </c>
      <c r="V228" s="59" t="e">
        <f>SUMIFS(#REF!,#REF!,美团日报!$C228,#REF!,"美团")</f>
        <v>#REF!</v>
      </c>
      <c r="W228" s="16" t="s">
        <v>13</v>
      </c>
    </row>
    <row r="229" ht="14.4" spans="1:23">
      <c r="A229" s="29" t="s">
        <v>56</v>
      </c>
      <c r="B229" s="29" t="s">
        <v>57</v>
      </c>
      <c r="C229" s="16">
        <v>8732</v>
      </c>
      <c r="D229" s="29" t="s">
        <v>522</v>
      </c>
      <c r="E229" s="58">
        <f>_xlfn.IFNA(VLOOKUP(C:C,线上线下销售!B:D,3,0),0)</f>
        <v>9888.7962</v>
      </c>
      <c r="F229" s="18">
        <f>SUMIFS(线上订单!$E:$E,线上订单!$B:$B,美团日报!$C229,线上订单!$D:$D,"美团")</f>
        <v>218.14159292034</v>
      </c>
      <c r="G229" s="59">
        <f t="shared" si="19"/>
        <v>0.0220594689695739</v>
      </c>
      <c r="H229" s="18">
        <f>SUMIFS(线上订单!$F:$F,线上订单!$B:$B,美团日报!$C229,线上订单!$D:$D,"美团")</f>
        <v>5</v>
      </c>
      <c r="I229" s="18">
        <f>SUMIFS(线上订单!$F:$F,线上订单!$B:$B,美团日报!$C229,线上订单!$D:$D,"美团")</f>
        <v>5</v>
      </c>
      <c r="J229" s="18">
        <f t="shared" si="20"/>
        <v>43.628318584068</v>
      </c>
      <c r="K229" s="18" t="e">
        <f t="shared" si="21"/>
        <v>#REF!</v>
      </c>
      <c r="L229" s="59" t="e">
        <f>SUMIFS(#REF!,#REF!,美团日报!$C229,#REF!,"美团")</f>
        <v>#REF!</v>
      </c>
      <c r="M229" s="18"/>
      <c r="N229" s="18"/>
      <c r="O229" s="18" t="e">
        <f t="shared" si="22"/>
        <v>#REF!</v>
      </c>
      <c r="P229" s="59" t="e">
        <f>SUMIFS(#REF!,#REF!,美团日报!$C229,#REF!,"美团")</f>
        <v>#REF!</v>
      </c>
      <c r="Q229" s="18"/>
      <c r="R229" s="18"/>
      <c r="S229" s="18" t="e">
        <f t="shared" si="23"/>
        <v>#REF!</v>
      </c>
      <c r="T229" s="59" t="e">
        <f>SUMIFS(#REF!,#REF!,美团日报!$C229,#REF!,"美团")</f>
        <v>#REF!</v>
      </c>
      <c r="U229" s="18" t="e">
        <f t="shared" si="24"/>
        <v>#REF!</v>
      </c>
      <c r="V229" s="59" t="e">
        <f>SUMIFS(#REF!,#REF!,美团日报!$C229,#REF!,"美团")</f>
        <v>#REF!</v>
      </c>
      <c r="W229" s="16" t="s">
        <v>13</v>
      </c>
    </row>
    <row r="230" ht="14.4" spans="1:23">
      <c r="A230" s="29" t="s">
        <v>48</v>
      </c>
      <c r="B230" s="29" t="s">
        <v>64</v>
      </c>
      <c r="C230" s="16">
        <v>8776</v>
      </c>
      <c r="D230" s="29" t="s">
        <v>523</v>
      </c>
      <c r="E230" s="58">
        <f>_xlfn.IFNA(VLOOKUP(C:C,线上线下销售!B:D,3,0),0)</f>
        <v>533.071</v>
      </c>
      <c r="F230" s="18">
        <f>SUMIFS(线上订单!$E:$E,线上订单!$B:$B,美团日报!$C230,线上订单!$D:$D,"美团")</f>
        <v>0</v>
      </c>
      <c r="G230" s="59">
        <f t="shared" si="19"/>
        <v>0</v>
      </c>
      <c r="H230" s="18">
        <f>SUMIFS(线上订单!$F:$F,线上订单!$B:$B,美团日报!$C230,线上订单!$D:$D,"美团")</f>
        <v>0</v>
      </c>
      <c r="I230" s="18">
        <f>SUMIFS(线上订单!$F:$F,线上订单!$B:$B,美团日报!$C230,线上订单!$D:$D,"美团")</f>
        <v>0</v>
      </c>
      <c r="J230" s="18">
        <f t="shared" si="20"/>
        <v>0</v>
      </c>
      <c r="K230" s="18" t="e">
        <f t="shared" si="21"/>
        <v>#REF!</v>
      </c>
      <c r="L230" s="59" t="e">
        <f>SUMIFS(#REF!,#REF!,美团日报!$C230,#REF!,"美团")</f>
        <v>#REF!</v>
      </c>
      <c r="M230" s="18"/>
      <c r="N230" s="18"/>
      <c r="O230" s="18" t="e">
        <f t="shared" si="22"/>
        <v>#REF!</v>
      </c>
      <c r="P230" s="59" t="e">
        <f>SUMIFS(#REF!,#REF!,美团日报!$C230,#REF!,"美团")</f>
        <v>#REF!</v>
      </c>
      <c r="Q230" s="18"/>
      <c r="R230" s="18"/>
      <c r="S230" s="18" t="e">
        <f t="shared" si="23"/>
        <v>#REF!</v>
      </c>
      <c r="T230" s="59" t="e">
        <f>SUMIFS(#REF!,#REF!,美团日报!$C230,#REF!,"美团")</f>
        <v>#REF!</v>
      </c>
      <c r="U230" s="18" t="e">
        <f t="shared" si="24"/>
        <v>#REF!</v>
      </c>
      <c r="V230" s="59" t="e">
        <f>SUMIFS(#REF!,#REF!,美团日报!$C230,#REF!,"美团")</f>
        <v>#REF!</v>
      </c>
      <c r="W230" s="16" t="s">
        <v>13</v>
      </c>
    </row>
    <row r="231" ht="14.4" spans="1:23">
      <c r="A231" s="29" t="s">
        <v>264</v>
      </c>
      <c r="B231" s="29" t="s">
        <v>301</v>
      </c>
      <c r="C231" s="16">
        <v>8777</v>
      </c>
      <c r="D231" s="29" t="s">
        <v>525</v>
      </c>
      <c r="E231" s="58">
        <f>_xlfn.IFNA(VLOOKUP(C:C,线上线下销售!B:D,3,0),0)</f>
        <v>314.0535</v>
      </c>
      <c r="F231" s="18">
        <f>SUMIFS(线上订单!$E:$E,线上订单!$B:$B,美团日报!$C231,线上订单!$D:$D,"美团")</f>
        <v>0</v>
      </c>
      <c r="G231" s="59">
        <f t="shared" si="19"/>
        <v>0</v>
      </c>
      <c r="H231" s="18">
        <f>SUMIFS(线上订单!$F:$F,线上订单!$B:$B,美团日报!$C231,线上订单!$D:$D,"美团")</f>
        <v>0</v>
      </c>
      <c r="I231" s="18">
        <f>SUMIFS(线上订单!$F:$F,线上订单!$B:$B,美团日报!$C231,线上订单!$D:$D,"美团")</f>
        <v>0</v>
      </c>
      <c r="J231" s="18">
        <f t="shared" si="20"/>
        <v>0</v>
      </c>
      <c r="K231" s="18" t="e">
        <f t="shared" si="21"/>
        <v>#REF!</v>
      </c>
      <c r="L231" s="59" t="e">
        <f>SUMIFS(#REF!,#REF!,美团日报!$C231,#REF!,"美团")</f>
        <v>#REF!</v>
      </c>
      <c r="M231" s="18"/>
      <c r="N231" s="18"/>
      <c r="O231" s="18" t="e">
        <f t="shared" si="22"/>
        <v>#REF!</v>
      </c>
      <c r="P231" s="59" t="e">
        <f>SUMIFS(#REF!,#REF!,美团日报!$C231,#REF!,"美团")</f>
        <v>#REF!</v>
      </c>
      <c r="Q231" s="18"/>
      <c r="R231" s="18"/>
      <c r="S231" s="18" t="e">
        <f t="shared" si="23"/>
        <v>#REF!</v>
      </c>
      <c r="T231" s="59" t="e">
        <f>SUMIFS(#REF!,#REF!,美团日报!$C231,#REF!,"美团")</f>
        <v>#REF!</v>
      </c>
      <c r="U231" s="18" t="e">
        <f t="shared" si="24"/>
        <v>#REF!</v>
      </c>
      <c r="V231" s="59" t="e">
        <f>SUMIFS(#REF!,#REF!,美团日报!$C231,#REF!,"美团")</f>
        <v>#REF!</v>
      </c>
      <c r="W231" s="16" t="s">
        <v>13</v>
      </c>
    </row>
    <row r="232" ht="14.4" spans="1:23">
      <c r="A232" s="29" t="s">
        <v>264</v>
      </c>
      <c r="B232" s="29" t="s">
        <v>401</v>
      </c>
      <c r="C232" s="16">
        <v>8781</v>
      </c>
      <c r="D232" s="29" t="s">
        <v>526</v>
      </c>
      <c r="E232" s="58">
        <f>_xlfn.IFNA(VLOOKUP(C:C,线上线下销售!B:D,3,0),0)</f>
        <v>64906.9152</v>
      </c>
      <c r="F232" s="18">
        <f>SUMIFS(线上订单!$E:$E,线上订单!$B:$B,美团日报!$C232,线上订单!$D:$D,"美团")</f>
        <v>0</v>
      </c>
      <c r="G232" s="59">
        <f t="shared" si="19"/>
        <v>0</v>
      </c>
      <c r="H232" s="18">
        <f>SUMIFS(线上订单!$F:$F,线上订单!$B:$B,美团日报!$C232,线上订单!$D:$D,"美团")</f>
        <v>0</v>
      </c>
      <c r="I232" s="18">
        <f>SUMIFS(线上订单!$F:$F,线上订单!$B:$B,美团日报!$C232,线上订单!$D:$D,"美团")</f>
        <v>0</v>
      </c>
      <c r="J232" s="18">
        <f t="shared" si="20"/>
        <v>0</v>
      </c>
      <c r="K232" s="18" t="e">
        <f t="shared" si="21"/>
        <v>#REF!</v>
      </c>
      <c r="L232" s="59" t="e">
        <f>SUMIFS(#REF!,#REF!,美团日报!$C232,#REF!,"美团")</f>
        <v>#REF!</v>
      </c>
      <c r="M232" s="18"/>
      <c r="N232" s="18"/>
      <c r="O232" s="18" t="e">
        <f t="shared" si="22"/>
        <v>#REF!</v>
      </c>
      <c r="P232" s="59" t="e">
        <f>SUMIFS(#REF!,#REF!,美团日报!$C232,#REF!,"美团")</f>
        <v>#REF!</v>
      </c>
      <c r="Q232" s="18"/>
      <c r="R232" s="18"/>
      <c r="S232" s="18" t="e">
        <f t="shared" si="23"/>
        <v>#REF!</v>
      </c>
      <c r="T232" s="59" t="e">
        <f>SUMIFS(#REF!,#REF!,美团日报!$C232,#REF!,"美团")</f>
        <v>#REF!</v>
      </c>
      <c r="U232" s="18" t="e">
        <f t="shared" si="24"/>
        <v>#REF!</v>
      </c>
      <c r="V232" s="59" t="e">
        <f>SUMIFS(#REF!,#REF!,美团日报!$C232,#REF!,"美团")</f>
        <v>#REF!</v>
      </c>
      <c r="W232" s="16" t="s">
        <v>13</v>
      </c>
    </row>
    <row r="233" ht="14.4" spans="1:23">
      <c r="A233" s="30" t="s">
        <v>63</v>
      </c>
      <c r="B233" s="30" t="s">
        <v>86</v>
      </c>
      <c r="C233" s="31">
        <v>8779</v>
      </c>
      <c r="D233" s="30" t="s">
        <v>527</v>
      </c>
      <c r="E233" s="58">
        <f>_xlfn.IFNA(VLOOKUP(C:C,线上线下销售!B:D,3,0),0)</f>
        <v>2895.3975</v>
      </c>
      <c r="F233" s="18">
        <f>SUMIFS(线上订单!$E:$E,线上订单!$B:$B,美团日报!$C233,线上订单!$D:$D,"美团")</f>
        <v>0</v>
      </c>
      <c r="G233" s="59">
        <f t="shared" si="19"/>
        <v>0</v>
      </c>
      <c r="H233" s="18">
        <f>SUMIFS(线上订单!$F:$F,线上订单!$B:$B,美团日报!$C233,线上订单!$D:$D,"美团")</f>
        <v>0</v>
      </c>
      <c r="I233" s="18">
        <f>SUMIFS(线上订单!$F:$F,线上订单!$B:$B,美团日报!$C233,线上订单!$D:$D,"美团")</f>
        <v>0</v>
      </c>
      <c r="J233" s="18">
        <f t="shared" si="20"/>
        <v>0</v>
      </c>
      <c r="K233" s="18" t="e">
        <f t="shared" si="21"/>
        <v>#REF!</v>
      </c>
      <c r="L233" s="59" t="e">
        <f>SUMIFS(#REF!,#REF!,美团日报!$C233,#REF!,"美团")</f>
        <v>#REF!</v>
      </c>
      <c r="M233" s="18"/>
      <c r="N233" s="18"/>
      <c r="O233" s="18" t="e">
        <f t="shared" si="22"/>
        <v>#REF!</v>
      </c>
      <c r="P233" s="59" t="e">
        <f>SUMIFS(#REF!,#REF!,美团日报!$C233,#REF!,"美团")</f>
        <v>#REF!</v>
      </c>
      <c r="Q233" s="18"/>
      <c r="R233" s="18"/>
      <c r="S233" s="18" t="e">
        <f t="shared" si="23"/>
        <v>#REF!</v>
      </c>
      <c r="T233" s="59" t="e">
        <f>SUMIFS(#REF!,#REF!,美团日报!$C233,#REF!,"美团")</f>
        <v>#REF!</v>
      </c>
      <c r="U233" s="18" t="e">
        <f t="shared" si="24"/>
        <v>#REF!</v>
      </c>
      <c r="V233" s="59" t="e">
        <f>SUMIFS(#REF!,#REF!,美团日报!$C233,#REF!,"美团")</f>
        <v>#REF!</v>
      </c>
      <c r="W233" s="16" t="s">
        <v>13</v>
      </c>
    </row>
    <row r="234" ht="14.4" spans="1:23">
      <c r="A234" s="30" t="s">
        <v>63</v>
      </c>
      <c r="B234" s="30" t="s">
        <v>168</v>
      </c>
      <c r="C234" s="31">
        <v>8792</v>
      </c>
      <c r="D234" s="30" t="s">
        <v>528</v>
      </c>
      <c r="E234" s="58">
        <f>_xlfn.IFNA(VLOOKUP(C:C,线上线下销售!B:D,3,0),0)</f>
        <v>8377.1846</v>
      </c>
      <c r="F234" s="18">
        <f>SUMIFS(线上订单!$E:$E,线上订单!$B:$B,美团日报!$C234,线上订单!$D:$D,"美团")</f>
        <v>0</v>
      </c>
      <c r="G234" s="59">
        <f t="shared" si="19"/>
        <v>0</v>
      </c>
      <c r="H234" s="18">
        <f>SUMIFS(线上订单!$F:$F,线上订单!$B:$B,美团日报!$C234,线上订单!$D:$D,"美团")</f>
        <v>0</v>
      </c>
      <c r="I234" s="18">
        <f>SUMIFS(线上订单!$F:$F,线上订单!$B:$B,美团日报!$C234,线上订单!$D:$D,"美团")</f>
        <v>0</v>
      </c>
      <c r="J234" s="18">
        <f t="shared" si="20"/>
        <v>0</v>
      </c>
      <c r="K234" s="18" t="e">
        <f t="shared" si="21"/>
        <v>#REF!</v>
      </c>
      <c r="L234" s="59" t="e">
        <f>SUMIFS(#REF!,#REF!,美团日报!$C234,#REF!,"美团")</f>
        <v>#REF!</v>
      </c>
      <c r="M234" s="18"/>
      <c r="N234" s="18"/>
      <c r="O234" s="18" t="e">
        <f t="shared" si="22"/>
        <v>#REF!</v>
      </c>
      <c r="P234" s="59" t="e">
        <f>SUMIFS(#REF!,#REF!,美团日报!$C234,#REF!,"美团")</f>
        <v>#REF!</v>
      </c>
      <c r="Q234" s="18"/>
      <c r="R234" s="18"/>
      <c r="S234" s="18" t="e">
        <f t="shared" si="23"/>
        <v>#REF!</v>
      </c>
      <c r="T234" s="59" t="e">
        <f>SUMIFS(#REF!,#REF!,美团日报!$C234,#REF!,"美团")</f>
        <v>#REF!</v>
      </c>
      <c r="U234" s="18" t="e">
        <f t="shared" si="24"/>
        <v>#REF!</v>
      </c>
      <c r="V234" s="59" t="e">
        <f>SUMIFS(#REF!,#REF!,美团日报!$C234,#REF!,"美团")</f>
        <v>#REF!</v>
      </c>
      <c r="W234" s="16" t="s">
        <v>13</v>
      </c>
    </row>
    <row r="235" ht="14.4" spans="1:23">
      <c r="A235" s="30" t="s">
        <v>63</v>
      </c>
      <c r="B235" s="30" t="s">
        <v>168</v>
      </c>
      <c r="C235" s="31">
        <v>8774</v>
      </c>
      <c r="D235" s="30" t="s">
        <v>529</v>
      </c>
      <c r="E235" s="58">
        <f>_xlfn.IFNA(VLOOKUP(C:C,线上线下销售!B:D,3,0),0)</f>
        <v>3246.8189</v>
      </c>
      <c r="F235" s="18">
        <f>SUMIFS(线上订单!$E:$E,线上订单!$B:$B,美团日报!$C235,线上订单!$D:$D,"美团")</f>
        <v>0</v>
      </c>
      <c r="G235" s="59">
        <f t="shared" si="19"/>
        <v>0</v>
      </c>
      <c r="H235" s="18">
        <f>SUMIFS(线上订单!$F:$F,线上订单!$B:$B,美团日报!$C235,线上订单!$D:$D,"美团")</f>
        <v>0</v>
      </c>
      <c r="I235" s="18">
        <f>SUMIFS(线上订单!$F:$F,线上订单!$B:$B,美团日报!$C235,线上订单!$D:$D,"美团")</f>
        <v>0</v>
      </c>
      <c r="J235" s="18">
        <f t="shared" si="20"/>
        <v>0</v>
      </c>
      <c r="K235" s="18" t="e">
        <f t="shared" si="21"/>
        <v>#REF!</v>
      </c>
      <c r="L235" s="59" t="e">
        <f>SUMIFS(#REF!,#REF!,美团日报!$C235,#REF!,"美团")</f>
        <v>#REF!</v>
      </c>
      <c r="M235" s="18"/>
      <c r="N235" s="18"/>
      <c r="O235" s="18" t="e">
        <f t="shared" si="22"/>
        <v>#REF!</v>
      </c>
      <c r="P235" s="59" t="e">
        <f>SUMIFS(#REF!,#REF!,美团日报!$C235,#REF!,"美团")</f>
        <v>#REF!</v>
      </c>
      <c r="Q235" s="18"/>
      <c r="R235" s="18"/>
      <c r="S235" s="18" t="e">
        <f t="shared" si="23"/>
        <v>#REF!</v>
      </c>
      <c r="T235" s="59" t="e">
        <f>SUMIFS(#REF!,#REF!,美团日报!$C235,#REF!,"美团")</f>
        <v>#REF!</v>
      </c>
      <c r="U235" s="18" t="e">
        <f t="shared" si="24"/>
        <v>#REF!</v>
      </c>
      <c r="V235" s="59" t="e">
        <f>SUMIFS(#REF!,#REF!,美团日报!$C235,#REF!,"美团")</f>
        <v>#REF!</v>
      </c>
      <c r="W235" s="16" t="s">
        <v>13</v>
      </c>
    </row>
    <row r="236" ht="14.4" spans="1:23">
      <c r="A236" s="30" t="s">
        <v>264</v>
      </c>
      <c r="B236" s="30" t="s">
        <v>350</v>
      </c>
      <c r="C236" s="31">
        <v>8770</v>
      </c>
      <c r="D236" s="30" t="s">
        <v>531</v>
      </c>
      <c r="E236" s="58">
        <f>_xlfn.IFNA(VLOOKUP(C:C,线上线下销售!B:D,3,0),0)</f>
        <v>0</v>
      </c>
      <c r="F236" s="18">
        <f>SUMIFS(线上订单!$E:$E,线上订单!$B:$B,美团日报!$C236,线上订单!$D:$D,"美团")</f>
        <v>0</v>
      </c>
      <c r="G236" s="59">
        <f t="shared" si="19"/>
        <v>0</v>
      </c>
      <c r="H236" s="18">
        <f>SUMIFS(线上订单!$F:$F,线上订单!$B:$B,美团日报!$C236,线上订单!$D:$D,"美团")</f>
        <v>0</v>
      </c>
      <c r="I236" s="18">
        <f>SUMIFS(线上订单!$F:$F,线上订单!$B:$B,美团日报!$C236,线上订单!$D:$D,"美团")</f>
        <v>0</v>
      </c>
      <c r="J236" s="18">
        <f t="shared" si="20"/>
        <v>0</v>
      </c>
      <c r="K236" s="18" t="e">
        <f t="shared" si="21"/>
        <v>#REF!</v>
      </c>
      <c r="L236" s="59" t="e">
        <f>SUMIFS(#REF!,#REF!,美团日报!$C236,#REF!,"美团")</f>
        <v>#REF!</v>
      </c>
      <c r="M236" s="18"/>
      <c r="N236" s="18"/>
      <c r="O236" s="18" t="e">
        <f t="shared" si="22"/>
        <v>#REF!</v>
      </c>
      <c r="P236" s="59" t="e">
        <f>SUMIFS(#REF!,#REF!,美团日报!$C236,#REF!,"美团")</f>
        <v>#REF!</v>
      </c>
      <c r="Q236" s="18"/>
      <c r="R236" s="18"/>
      <c r="S236" s="18" t="e">
        <f t="shared" si="23"/>
        <v>#REF!</v>
      </c>
      <c r="T236" s="59" t="e">
        <f>SUMIFS(#REF!,#REF!,美团日报!$C236,#REF!,"美团")</f>
        <v>#REF!</v>
      </c>
      <c r="U236" s="18" t="e">
        <f t="shared" si="24"/>
        <v>#REF!</v>
      </c>
      <c r="V236" s="59" t="e">
        <f>SUMIFS(#REF!,#REF!,美团日报!$C236,#REF!,"美团")</f>
        <v>#REF!</v>
      </c>
      <c r="W236" s="16" t="s">
        <v>13</v>
      </c>
    </row>
    <row r="237" ht="14.4" spans="1:23">
      <c r="A237" s="30" t="s">
        <v>264</v>
      </c>
      <c r="B237" s="30" t="s">
        <v>350</v>
      </c>
      <c r="C237" s="31">
        <v>8769</v>
      </c>
      <c r="D237" s="30" t="s">
        <v>532</v>
      </c>
      <c r="E237" s="58">
        <f>_xlfn.IFNA(VLOOKUP(C:C,线上线下销售!B:D,3,0),0)</f>
        <v>0</v>
      </c>
      <c r="F237" s="18">
        <f>SUMIFS(线上订单!$E:$E,线上订单!$B:$B,美团日报!$C237,线上订单!$D:$D,"美团")</f>
        <v>0</v>
      </c>
      <c r="G237" s="59">
        <f t="shared" si="19"/>
        <v>0</v>
      </c>
      <c r="H237" s="18">
        <f>SUMIFS(线上订单!$F:$F,线上订单!$B:$B,美团日报!$C237,线上订单!$D:$D,"美团")</f>
        <v>0</v>
      </c>
      <c r="I237" s="18">
        <f>SUMIFS(线上订单!$F:$F,线上订单!$B:$B,美团日报!$C237,线上订单!$D:$D,"美团")</f>
        <v>0</v>
      </c>
      <c r="J237" s="18">
        <f t="shared" si="20"/>
        <v>0</v>
      </c>
      <c r="K237" s="18" t="e">
        <f t="shared" si="21"/>
        <v>#REF!</v>
      </c>
      <c r="L237" s="59" t="e">
        <f>SUMIFS(#REF!,#REF!,美团日报!$C237,#REF!,"美团")</f>
        <v>#REF!</v>
      </c>
      <c r="M237" s="18"/>
      <c r="N237" s="18"/>
      <c r="O237" s="18" t="e">
        <f t="shared" si="22"/>
        <v>#REF!</v>
      </c>
      <c r="P237" s="59" t="e">
        <f>SUMIFS(#REF!,#REF!,美团日报!$C237,#REF!,"美团")</f>
        <v>#REF!</v>
      </c>
      <c r="Q237" s="18"/>
      <c r="R237" s="18"/>
      <c r="S237" s="18" t="e">
        <f t="shared" si="23"/>
        <v>#REF!</v>
      </c>
      <c r="T237" s="59" t="e">
        <f>SUMIFS(#REF!,#REF!,美团日报!$C237,#REF!,"美团")</f>
        <v>#REF!</v>
      </c>
      <c r="U237" s="18" t="e">
        <f t="shared" si="24"/>
        <v>#REF!</v>
      </c>
      <c r="V237" s="59" t="e">
        <f>SUMIFS(#REF!,#REF!,美团日报!$C237,#REF!,"美团")</f>
        <v>#REF!</v>
      </c>
      <c r="W237" s="16" t="s">
        <v>13</v>
      </c>
    </row>
    <row r="238" ht="14.4" spans="1:23">
      <c r="A238" s="30" t="s">
        <v>48</v>
      </c>
      <c r="B238" s="30" t="s">
        <v>83</v>
      </c>
      <c r="C238" s="31">
        <v>8775</v>
      </c>
      <c r="D238" s="30" t="s">
        <v>533</v>
      </c>
      <c r="E238" s="58">
        <f>_xlfn.IFNA(VLOOKUP(C:C,线上线下销售!B:D,3,0),0)</f>
        <v>0</v>
      </c>
      <c r="F238" s="18">
        <f>SUMIFS(线上订单!$E:$E,线上订单!$B:$B,美团日报!$C238,线上订单!$D:$D,"美团")</f>
        <v>0</v>
      </c>
      <c r="G238" s="59">
        <f t="shared" si="19"/>
        <v>0</v>
      </c>
      <c r="H238" s="18">
        <f>SUMIFS(线上订单!$F:$F,线上订单!$B:$B,美团日报!$C238,线上订单!$D:$D,"美团")</f>
        <v>0</v>
      </c>
      <c r="I238" s="18">
        <f>SUMIFS(线上订单!$F:$F,线上订单!$B:$B,美团日报!$C238,线上订单!$D:$D,"美团")</f>
        <v>0</v>
      </c>
      <c r="J238" s="18">
        <f t="shared" si="20"/>
        <v>0</v>
      </c>
      <c r="K238" s="18" t="e">
        <f t="shared" si="21"/>
        <v>#REF!</v>
      </c>
      <c r="L238" s="59" t="e">
        <f>SUMIFS(#REF!,#REF!,美团日报!$C238,#REF!,"美团")</f>
        <v>#REF!</v>
      </c>
      <c r="M238" s="18"/>
      <c r="N238" s="18"/>
      <c r="O238" s="18" t="e">
        <f t="shared" si="22"/>
        <v>#REF!</v>
      </c>
      <c r="P238" s="59" t="e">
        <f>SUMIFS(#REF!,#REF!,美团日报!$C238,#REF!,"美团")</f>
        <v>#REF!</v>
      </c>
      <c r="Q238" s="18"/>
      <c r="R238" s="18"/>
      <c r="S238" s="18" t="e">
        <f t="shared" si="23"/>
        <v>#REF!</v>
      </c>
      <c r="T238" s="59" t="e">
        <f>SUMIFS(#REF!,#REF!,美团日报!$C238,#REF!,"美团")</f>
        <v>#REF!</v>
      </c>
      <c r="U238" s="18" t="e">
        <f t="shared" si="24"/>
        <v>#REF!</v>
      </c>
      <c r="V238" s="59" t="e">
        <f>SUMIFS(#REF!,#REF!,美团日报!$C238,#REF!,"美团")</f>
        <v>#REF!</v>
      </c>
      <c r="W238" s="16" t="s">
        <v>13</v>
      </c>
    </row>
    <row r="239" ht="14.4" spans="1:23">
      <c r="A239" s="30"/>
      <c r="B239" s="30"/>
      <c r="C239" s="31">
        <v>8789</v>
      </c>
      <c r="D239" s="32" t="s">
        <v>534</v>
      </c>
      <c r="E239" s="58">
        <f>_xlfn.IFNA(VLOOKUP(C:C,线上线下销售!B:D,3,0),0)</f>
        <v>4155.7465</v>
      </c>
      <c r="F239" s="18">
        <f>SUMIFS(线上订单!$E:$E,线上订单!$B:$B,美团日报!$C239,线上订单!$D:$D,"美团")</f>
        <v>0</v>
      </c>
      <c r="G239" s="59">
        <f t="shared" si="19"/>
        <v>0</v>
      </c>
      <c r="H239" s="18">
        <f>SUMIFS(线上订单!$F:$F,线上订单!$B:$B,美团日报!$C239,线上订单!$D:$D,"美团")</f>
        <v>0</v>
      </c>
      <c r="I239" s="18">
        <f>SUMIFS(线上订单!$F:$F,线上订单!$B:$B,美团日报!$C239,线上订单!$D:$D,"美团")</f>
        <v>0</v>
      </c>
      <c r="J239" s="18">
        <f t="shared" si="20"/>
        <v>0</v>
      </c>
      <c r="K239" s="18" t="e">
        <f t="shared" si="21"/>
        <v>#REF!</v>
      </c>
      <c r="L239" s="59" t="e">
        <f>SUMIFS(#REF!,#REF!,美团日报!$C239,#REF!,"美团")</f>
        <v>#REF!</v>
      </c>
      <c r="M239" s="18"/>
      <c r="N239" s="18"/>
      <c r="O239" s="18" t="e">
        <f t="shared" si="22"/>
        <v>#REF!</v>
      </c>
      <c r="P239" s="59" t="e">
        <f>SUMIFS(#REF!,#REF!,美团日报!$C239,#REF!,"美团")</f>
        <v>#REF!</v>
      </c>
      <c r="Q239" s="18"/>
      <c r="R239" s="18"/>
      <c r="S239" s="18" t="e">
        <f t="shared" si="23"/>
        <v>#REF!</v>
      </c>
      <c r="T239" s="59" t="e">
        <f>SUMIFS(#REF!,#REF!,美团日报!$C239,#REF!,"美团")</f>
        <v>#REF!</v>
      </c>
      <c r="U239" s="18" t="e">
        <f t="shared" si="24"/>
        <v>#REF!</v>
      </c>
      <c r="V239" s="59" t="e">
        <f>SUMIFS(#REF!,#REF!,美团日报!$C239,#REF!,"美团")</f>
        <v>#REF!</v>
      </c>
      <c r="W239" s="16" t="s">
        <v>13</v>
      </c>
    </row>
    <row r="240" ht="14.4" spans="1:23">
      <c r="A240" s="30"/>
      <c r="B240" s="30"/>
      <c r="C240" s="33">
        <v>8798</v>
      </c>
      <c r="D240" s="32" t="s">
        <v>536</v>
      </c>
      <c r="E240" s="58">
        <f>_xlfn.IFNA(VLOOKUP(C:C,线上线下销售!B:D,3,0),0)</f>
        <v>4611.6069</v>
      </c>
      <c r="F240" s="18">
        <f>SUMIFS(线上订单!$E:$E,线上订单!$B:$B,美团日报!$C240,线上订单!$D:$D,"美团")</f>
        <v>0</v>
      </c>
      <c r="G240" s="59">
        <f t="shared" si="19"/>
        <v>0</v>
      </c>
      <c r="H240" s="18">
        <f>SUMIFS(线上订单!$F:$F,线上订单!$B:$B,美团日报!$C240,线上订单!$D:$D,"美团")</f>
        <v>0</v>
      </c>
      <c r="I240" s="18">
        <f>SUMIFS(线上订单!$F:$F,线上订单!$B:$B,美团日报!$C240,线上订单!$D:$D,"美团")</f>
        <v>0</v>
      </c>
      <c r="J240" s="18">
        <f t="shared" si="20"/>
        <v>0</v>
      </c>
      <c r="K240" s="18" t="e">
        <f t="shared" si="21"/>
        <v>#REF!</v>
      </c>
      <c r="L240" s="59" t="e">
        <f>SUMIFS(#REF!,#REF!,美团日报!$C240,#REF!,"美团")</f>
        <v>#REF!</v>
      </c>
      <c r="M240" s="18"/>
      <c r="N240" s="18"/>
      <c r="O240" s="18" t="e">
        <f t="shared" si="22"/>
        <v>#REF!</v>
      </c>
      <c r="P240" s="59" t="e">
        <f>SUMIFS(#REF!,#REF!,美团日报!$C240,#REF!,"美团")</f>
        <v>#REF!</v>
      </c>
      <c r="Q240" s="18"/>
      <c r="R240" s="18"/>
      <c r="S240" s="18" t="e">
        <f t="shared" si="23"/>
        <v>#REF!</v>
      </c>
      <c r="T240" s="59" t="e">
        <f>SUMIFS(#REF!,#REF!,美团日报!$C240,#REF!,"美团")</f>
        <v>#REF!</v>
      </c>
      <c r="U240" s="18" t="e">
        <f t="shared" si="24"/>
        <v>#REF!</v>
      </c>
      <c r="V240" s="59" t="e">
        <f>SUMIFS(#REF!,#REF!,美团日报!$C240,#REF!,"美团")</f>
        <v>#REF!</v>
      </c>
      <c r="W240" s="16" t="s">
        <v>13</v>
      </c>
    </row>
    <row r="241" ht="14.4" spans="1:23">
      <c r="A241" s="30"/>
      <c r="B241" s="30"/>
      <c r="C241" s="33">
        <v>8800</v>
      </c>
      <c r="D241" s="32" t="s">
        <v>538</v>
      </c>
      <c r="E241" s="58">
        <f>_xlfn.IFNA(VLOOKUP(C:C,线上线下销售!B:D,3,0),0)</f>
        <v>4055.4092</v>
      </c>
      <c r="F241" s="18">
        <f>SUMIFS(线上订单!$E:$E,线上订单!$B:$B,美团日报!$C241,线上订单!$D:$D,"美团")</f>
        <v>0</v>
      </c>
      <c r="G241" s="59">
        <f t="shared" si="19"/>
        <v>0</v>
      </c>
      <c r="H241" s="18">
        <f>SUMIFS(线上订单!$F:$F,线上订单!$B:$B,美团日报!$C241,线上订单!$D:$D,"美团")</f>
        <v>0</v>
      </c>
      <c r="I241" s="18">
        <f>SUMIFS(线上订单!$F:$F,线上订单!$B:$B,美团日报!$C241,线上订单!$D:$D,"美团")</f>
        <v>0</v>
      </c>
      <c r="J241" s="18">
        <f t="shared" si="20"/>
        <v>0</v>
      </c>
      <c r="K241" s="18" t="e">
        <f t="shared" si="21"/>
        <v>#REF!</v>
      </c>
      <c r="L241" s="59" t="e">
        <f>SUMIFS(#REF!,#REF!,美团日报!$C241,#REF!,"美团")</f>
        <v>#REF!</v>
      </c>
      <c r="M241" s="18"/>
      <c r="N241" s="18"/>
      <c r="O241" s="18" t="e">
        <f t="shared" si="22"/>
        <v>#REF!</v>
      </c>
      <c r="P241" s="59" t="e">
        <f>SUMIFS(#REF!,#REF!,美团日报!$C241,#REF!,"美团")</f>
        <v>#REF!</v>
      </c>
      <c r="Q241" s="18"/>
      <c r="R241" s="18"/>
      <c r="S241" s="18" t="e">
        <f t="shared" si="23"/>
        <v>#REF!</v>
      </c>
      <c r="T241" s="59" t="e">
        <f>SUMIFS(#REF!,#REF!,美团日报!$C241,#REF!,"美团")</f>
        <v>#REF!</v>
      </c>
      <c r="U241" s="18" t="e">
        <f t="shared" si="24"/>
        <v>#REF!</v>
      </c>
      <c r="V241" s="59" t="e">
        <f>SUMIFS(#REF!,#REF!,美团日报!$C241,#REF!,"美团")</f>
        <v>#REF!</v>
      </c>
      <c r="W241" s="16" t="s">
        <v>13</v>
      </c>
    </row>
    <row r="242" ht="14.4" spans="1:23">
      <c r="A242" s="30"/>
      <c r="B242" s="30"/>
      <c r="C242" s="33">
        <v>8790</v>
      </c>
      <c r="D242" s="32" t="s">
        <v>539</v>
      </c>
      <c r="E242" s="58">
        <f>_xlfn.IFNA(VLOOKUP(C:C,线上线下销售!B:D,3,0),0)</f>
        <v>2548.7954</v>
      </c>
      <c r="F242" s="18">
        <f>SUMIFS(线上订单!$E:$E,线上订单!$B:$B,美团日报!$C242,线上订单!$D:$D,"美团")</f>
        <v>0</v>
      </c>
      <c r="G242" s="59">
        <f t="shared" si="19"/>
        <v>0</v>
      </c>
      <c r="H242" s="18">
        <f>SUMIFS(线上订单!$F:$F,线上订单!$B:$B,美团日报!$C242,线上订单!$D:$D,"美团")</f>
        <v>0</v>
      </c>
      <c r="I242" s="18">
        <f>SUMIFS(线上订单!$F:$F,线上订单!$B:$B,美团日报!$C242,线上订单!$D:$D,"美团")</f>
        <v>0</v>
      </c>
      <c r="J242" s="18">
        <f t="shared" si="20"/>
        <v>0</v>
      </c>
      <c r="K242" s="18" t="e">
        <f t="shared" si="21"/>
        <v>#REF!</v>
      </c>
      <c r="L242" s="59" t="e">
        <f>SUMIFS(#REF!,#REF!,美团日报!$C242,#REF!,"美团")</f>
        <v>#REF!</v>
      </c>
      <c r="M242" s="18"/>
      <c r="N242" s="18"/>
      <c r="O242" s="18" t="e">
        <f t="shared" si="22"/>
        <v>#REF!</v>
      </c>
      <c r="P242" s="59" t="e">
        <f>SUMIFS(#REF!,#REF!,美团日报!$C242,#REF!,"美团")</f>
        <v>#REF!</v>
      </c>
      <c r="Q242" s="18"/>
      <c r="R242" s="18"/>
      <c r="S242" s="18" t="e">
        <f t="shared" si="23"/>
        <v>#REF!</v>
      </c>
      <c r="T242" s="59" t="e">
        <f>SUMIFS(#REF!,#REF!,美团日报!$C242,#REF!,"美团")</f>
        <v>#REF!</v>
      </c>
      <c r="U242" s="18" t="e">
        <f t="shared" si="24"/>
        <v>#REF!</v>
      </c>
      <c r="V242" s="59" t="e">
        <f>SUMIFS(#REF!,#REF!,美团日报!$C242,#REF!,"美团")</f>
        <v>#REF!</v>
      </c>
      <c r="W242" s="16" t="s">
        <v>13</v>
      </c>
    </row>
    <row r="243" ht="14.4" spans="1:23">
      <c r="A243" s="30"/>
      <c r="B243" s="30"/>
      <c r="C243" s="33">
        <v>8796</v>
      </c>
      <c r="D243" s="32" t="s">
        <v>540</v>
      </c>
      <c r="E243" s="58">
        <f>_xlfn.IFNA(VLOOKUP(C:C,线上线下销售!B:D,3,0),0)</f>
        <v>1029.4834</v>
      </c>
      <c r="F243" s="18">
        <f>SUMIFS(线上订单!$E:$E,线上订单!$B:$B,美团日报!$C243,线上订单!$D:$D,"美团")</f>
        <v>0</v>
      </c>
      <c r="G243" s="59">
        <f t="shared" si="19"/>
        <v>0</v>
      </c>
      <c r="H243" s="18">
        <f>SUMIFS(线上订单!$F:$F,线上订单!$B:$B,美团日报!$C243,线上订单!$D:$D,"美团")</f>
        <v>0</v>
      </c>
      <c r="I243" s="18">
        <f>SUMIFS(线上订单!$F:$F,线上订单!$B:$B,美团日报!$C243,线上订单!$D:$D,"美团")</f>
        <v>0</v>
      </c>
      <c r="J243" s="18">
        <f t="shared" si="20"/>
        <v>0</v>
      </c>
      <c r="K243" s="18" t="e">
        <f t="shared" si="21"/>
        <v>#REF!</v>
      </c>
      <c r="L243" s="59" t="e">
        <f>SUMIFS(#REF!,#REF!,美团日报!$C243,#REF!,"美团")</f>
        <v>#REF!</v>
      </c>
      <c r="M243" s="18"/>
      <c r="N243" s="18"/>
      <c r="O243" s="18" t="e">
        <f t="shared" si="22"/>
        <v>#REF!</v>
      </c>
      <c r="P243" s="59" t="e">
        <f>SUMIFS(#REF!,#REF!,美团日报!$C243,#REF!,"美团")</f>
        <v>#REF!</v>
      </c>
      <c r="Q243" s="18"/>
      <c r="R243" s="18"/>
      <c r="S243" s="18" t="e">
        <f t="shared" si="23"/>
        <v>#REF!</v>
      </c>
      <c r="T243" s="59" t="e">
        <f>SUMIFS(#REF!,#REF!,美团日报!$C243,#REF!,"美团")</f>
        <v>#REF!</v>
      </c>
      <c r="U243" s="18" t="e">
        <f t="shared" si="24"/>
        <v>#REF!</v>
      </c>
      <c r="V243" s="59" t="e">
        <f>SUMIFS(#REF!,#REF!,美团日报!$C243,#REF!,"美团")</f>
        <v>#REF!</v>
      </c>
      <c r="W243" s="16" t="s">
        <v>13</v>
      </c>
    </row>
    <row r="244" ht="14.4" spans="1:23">
      <c r="A244" s="30"/>
      <c r="B244" s="30"/>
      <c r="C244" s="33">
        <v>8803</v>
      </c>
      <c r="D244" s="32" t="s">
        <v>541</v>
      </c>
      <c r="E244" s="58">
        <f>_xlfn.IFNA(VLOOKUP(C:C,线上线下销售!B:D,3,0),0)</f>
        <v>1940.8555</v>
      </c>
      <c r="F244" s="18">
        <f>SUMIFS(线上订单!$E:$E,线上订单!$B:$B,美团日报!$C244,线上订单!$D:$D,"美团")</f>
        <v>0</v>
      </c>
      <c r="G244" s="59">
        <f t="shared" si="19"/>
        <v>0</v>
      </c>
      <c r="H244" s="18">
        <f>SUMIFS(线上订单!$F:$F,线上订单!$B:$B,美团日报!$C244,线上订单!$D:$D,"美团")</f>
        <v>0</v>
      </c>
      <c r="I244" s="18">
        <f>SUMIFS(线上订单!$F:$F,线上订单!$B:$B,美团日报!$C244,线上订单!$D:$D,"美团")</f>
        <v>0</v>
      </c>
      <c r="J244" s="18">
        <f t="shared" si="20"/>
        <v>0</v>
      </c>
      <c r="K244" s="18" t="e">
        <f t="shared" si="21"/>
        <v>#REF!</v>
      </c>
      <c r="L244" s="59" t="e">
        <f>SUMIFS(#REF!,#REF!,美团日报!$C244,#REF!,"美团")</f>
        <v>#REF!</v>
      </c>
      <c r="M244" s="18"/>
      <c r="N244" s="18"/>
      <c r="O244" s="18" t="e">
        <f t="shared" si="22"/>
        <v>#REF!</v>
      </c>
      <c r="P244" s="59" t="e">
        <f>SUMIFS(#REF!,#REF!,美团日报!$C244,#REF!,"美团")</f>
        <v>#REF!</v>
      </c>
      <c r="Q244" s="18"/>
      <c r="R244" s="18"/>
      <c r="S244" s="18" t="e">
        <f t="shared" si="23"/>
        <v>#REF!</v>
      </c>
      <c r="T244" s="59" t="e">
        <f>SUMIFS(#REF!,#REF!,美团日报!$C244,#REF!,"美团")</f>
        <v>#REF!</v>
      </c>
      <c r="U244" s="18" t="e">
        <f t="shared" si="24"/>
        <v>#REF!</v>
      </c>
      <c r="V244" s="59" t="e">
        <f>SUMIFS(#REF!,#REF!,美团日报!$C244,#REF!,"美团")</f>
        <v>#REF!</v>
      </c>
      <c r="W244" s="16" t="s">
        <v>13</v>
      </c>
    </row>
    <row r="245" ht="14.4" spans="1:23">
      <c r="A245" s="30"/>
      <c r="B245" s="30"/>
      <c r="C245" s="33">
        <v>8810</v>
      </c>
      <c r="D245" s="32" t="s">
        <v>542</v>
      </c>
      <c r="E245" s="58">
        <f>_xlfn.IFNA(VLOOKUP(C:C,线上线下销售!B:D,3,0),0)</f>
        <v>23884.7035</v>
      </c>
      <c r="F245" s="18">
        <f>SUMIFS(线上订单!$E:$E,线上订单!$B:$B,美团日报!$C245,线上订单!$D:$D,"美团")</f>
        <v>0</v>
      </c>
      <c r="G245" s="59">
        <f t="shared" si="19"/>
        <v>0</v>
      </c>
      <c r="H245" s="18">
        <f>SUMIFS(线上订单!$F:$F,线上订单!$B:$B,美团日报!$C245,线上订单!$D:$D,"美团")</f>
        <v>0</v>
      </c>
      <c r="I245" s="18">
        <f>SUMIFS(线上订单!$F:$F,线上订单!$B:$B,美团日报!$C245,线上订单!$D:$D,"美团")</f>
        <v>0</v>
      </c>
      <c r="J245" s="18">
        <f t="shared" si="20"/>
        <v>0</v>
      </c>
      <c r="K245" s="18" t="e">
        <f t="shared" si="21"/>
        <v>#REF!</v>
      </c>
      <c r="L245" s="59" t="e">
        <f>SUMIFS(#REF!,#REF!,美团日报!$C245,#REF!,"美团")</f>
        <v>#REF!</v>
      </c>
      <c r="M245" s="18"/>
      <c r="N245" s="18"/>
      <c r="O245" s="18" t="e">
        <f t="shared" si="22"/>
        <v>#REF!</v>
      </c>
      <c r="P245" s="59" t="e">
        <f>SUMIFS(#REF!,#REF!,美团日报!$C245,#REF!,"美团")</f>
        <v>#REF!</v>
      </c>
      <c r="Q245" s="18"/>
      <c r="R245" s="18"/>
      <c r="S245" s="18" t="e">
        <f t="shared" si="23"/>
        <v>#REF!</v>
      </c>
      <c r="T245" s="59" t="e">
        <f>SUMIFS(#REF!,#REF!,美团日报!$C245,#REF!,"美团")</f>
        <v>#REF!</v>
      </c>
      <c r="U245" s="18" t="e">
        <f t="shared" si="24"/>
        <v>#REF!</v>
      </c>
      <c r="V245" s="59" t="e">
        <f>SUMIFS(#REF!,#REF!,美团日报!$C245,#REF!,"美团")</f>
        <v>#REF!</v>
      </c>
      <c r="W245" s="16" t="s">
        <v>13</v>
      </c>
    </row>
    <row r="246" ht="14.4" spans="1:23">
      <c r="A246" s="30"/>
      <c r="B246" s="30"/>
      <c r="C246" s="33">
        <v>8801</v>
      </c>
      <c r="D246" s="32" t="s">
        <v>543</v>
      </c>
      <c r="E246" s="58">
        <f>_xlfn.IFNA(VLOOKUP(C:C,线上线下销售!B:D,3,0),0)</f>
        <v>806.8885</v>
      </c>
      <c r="F246" s="18">
        <f>SUMIFS(线上订单!$E:$E,线上订单!$B:$B,美团日报!$C246,线上订单!$D:$D,"美团")</f>
        <v>0</v>
      </c>
      <c r="G246" s="59">
        <f t="shared" si="19"/>
        <v>0</v>
      </c>
      <c r="H246" s="18">
        <f>SUMIFS(线上订单!$F:$F,线上订单!$B:$B,美团日报!$C246,线上订单!$D:$D,"美团")</f>
        <v>0</v>
      </c>
      <c r="I246" s="18">
        <f>SUMIFS(线上订单!$F:$F,线上订单!$B:$B,美团日报!$C246,线上订单!$D:$D,"美团")</f>
        <v>0</v>
      </c>
      <c r="J246" s="18">
        <f t="shared" si="20"/>
        <v>0</v>
      </c>
      <c r="K246" s="18" t="e">
        <f t="shared" si="21"/>
        <v>#REF!</v>
      </c>
      <c r="L246" s="59" t="e">
        <f>SUMIFS(#REF!,#REF!,美团日报!$C246,#REF!,"美团")</f>
        <v>#REF!</v>
      </c>
      <c r="M246" s="18"/>
      <c r="N246" s="18"/>
      <c r="O246" s="18" t="e">
        <f t="shared" si="22"/>
        <v>#REF!</v>
      </c>
      <c r="P246" s="59" t="e">
        <f>SUMIFS(#REF!,#REF!,美团日报!$C246,#REF!,"美团")</f>
        <v>#REF!</v>
      </c>
      <c r="Q246" s="18"/>
      <c r="R246" s="18"/>
      <c r="S246" s="18" t="e">
        <f t="shared" si="23"/>
        <v>#REF!</v>
      </c>
      <c r="T246" s="59" t="e">
        <f>SUMIFS(#REF!,#REF!,美团日报!$C246,#REF!,"美团")</f>
        <v>#REF!</v>
      </c>
      <c r="U246" s="18" t="e">
        <f t="shared" si="24"/>
        <v>#REF!</v>
      </c>
      <c r="V246" s="59" t="e">
        <f>SUMIFS(#REF!,#REF!,美团日报!$C246,#REF!,"美团")</f>
        <v>#REF!</v>
      </c>
      <c r="W246" s="16" t="s">
        <v>13</v>
      </c>
    </row>
    <row r="247" ht="14.4" spans="1:23">
      <c r="A247" s="30"/>
      <c r="B247" s="30"/>
      <c r="C247" s="33">
        <v>8797</v>
      </c>
      <c r="D247" s="32" t="s">
        <v>544</v>
      </c>
      <c r="E247" s="58">
        <f>_xlfn.IFNA(VLOOKUP(C:C,线上线下销售!B:D,3,0),0)</f>
        <v>840.3365</v>
      </c>
      <c r="F247" s="18">
        <f>SUMIFS(线上订单!$E:$E,线上订单!$B:$B,美团日报!$C247,线上订单!$D:$D,"美团")</f>
        <v>0</v>
      </c>
      <c r="G247" s="59">
        <f t="shared" si="19"/>
        <v>0</v>
      </c>
      <c r="H247" s="18">
        <f>SUMIFS(线上订单!$F:$F,线上订单!$B:$B,美团日报!$C247,线上订单!$D:$D,"美团")</f>
        <v>0</v>
      </c>
      <c r="I247" s="18">
        <f>SUMIFS(线上订单!$F:$F,线上订单!$B:$B,美团日报!$C247,线上订单!$D:$D,"美团")</f>
        <v>0</v>
      </c>
      <c r="J247" s="18">
        <f t="shared" si="20"/>
        <v>0</v>
      </c>
      <c r="K247" s="18" t="e">
        <f t="shared" si="21"/>
        <v>#REF!</v>
      </c>
      <c r="L247" s="59" t="e">
        <f>SUMIFS(#REF!,#REF!,美团日报!$C247,#REF!,"美团")</f>
        <v>#REF!</v>
      </c>
      <c r="M247" s="18"/>
      <c r="N247" s="18"/>
      <c r="O247" s="18" t="e">
        <f t="shared" si="22"/>
        <v>#REF!</v>
      </c>
      <c r="P247" s="59" t="e">
        <f>SUMIFS(#REF!,#REF!,美团日报!$C247,#REF!,"美团")</f>
        <v>#REF!</v>
      </c>
      <c r="Q247" s="18"/>
      <c r="R247" s="18"/>
      <c r="S247" s="18" t="e">
        <f t="shared" si="23"/>
        <v>#REF!</v>
      </c>
      <c r="T247" s="59" t="e">
        <f>SUMIFS(#REF!,#REF!,美团日报!$C247,#REF!,"美团")</f>
        <v>#REF!</v>
      </c>
      <c r="U247" s="18" t="e">
        <f t="shared" si="24"/>
        <v>#REF!</v>
      </c>
      <c r="V247" s="59" t="e">
        <f>SUMIFS(#REF!,#REF!,美团日报!$C247,#REF!,"美团")</f>
        <v>#REF!</v>
      </c>
      <c r="W247" s="16" t="s">
        <v>13</v>
      </c>
    </row>
    <row r="248" ht="14.4" spans="1:23">
      <c r="A248" s="30"/>
      <c r="B248" s="30"/>
      <c r="C248" s="33">
        <v>8806</v>
      </c>
      <c r="D248" s="32" t="s">
        <v>545</v>
      </c>
      <c r="E248" s="58">
        <f>_xlfn.IFNA(VLOOKUP(C:C,线上线下销售!B:D,3,0),0)</f>
        <v>969.9726</v>
      </c>
      <c r="F248" s="18">
        <f>SUMIFS(线上订单!$E:$E,线上订单!$B:$B,美团日报!$C248,线上订单!$D:$D,"美团")</f>
        <v>0</v>
      </c>
      <c r="G248" s="59">
        <f t="shared" si="19"/>
        <v>0</v>
      </c>
      <c r="H248" s="18">
        <f>SUMIFS(线上订单!$F:$F,线上订单!$B:$B,美团日报!$C248,线上订单!$D:$D,"美团")</f>
        <v>0</v>
      </c>
      <c r="I248" s="18">
        <f>SUMIFS(线上订单!$F:$F,线上订单!$B:$B,美团日报!$C248,线上订单!$D:$D,"美团")</f>
        <v>0</v>
      </c>
      <c r="J248" s="18">
        <f t="shared" si="20"/>
        <v>0</v>
      </c>
      <c r="K248" s="18" t="e">
        <f t="shared" si="21"/>
        <v>#REF!</v>
      </c>
      <c r="L248" s="59" t="e">
        <f>SUMIFS(#REF!,#REF!,美团日报!$C248,#REF!,"美团")</f>
        <v>#REF!</v>
      </c>
      <c r="M248" s="18"/>
      <c r="N248" s="18"/>
      <c r="O248" s="18" t="e">
        <f t="shared" si="22"/>
        <v>#REF!</v>
      </c>
      <c r="P248" s="59" t="e">
        <f>SUMIFS(#REF!,#REF!,美团日报!$C248,#REF!,"美团")</f>
        <v>#REF!</v>
      </c>
      <c r="Q248" s="18"/>
      <c r="R248" s="18"/>
      <c r="S248" s="18" t="e">
        <f t="shared" si="23"/>
        <v>#REF!</v>
      </c>
      <c r="T248" s="59" t="e">
        <f>SUMIFS(#REF!,#REF!,美团日报!$C248,#REF!,"美团")</f>
        <v>#REF!</v>
      </c>
      <c r="U248" s="18" t="e">
        <f t="shared" si="24"/>
        <v>#REF!</v>
      </c>
      <c r="V248" s="59" t="e">
        <f>SUMIFS(#REF!,#REF!,美团日报!$C248,#REF!,"美团")</f>
        <v>#REF!</v>
      </c>
      <c r="W248" s="16" t="s">
        <v>13</v>
      </c>
    </row>
    <row r="249" ht="14.4" spans="1:23">
      <c r="A249" s="30"/>
      <c r="B249" s="30"/>
      <c r="C249" s="33">
        <v>8802</v>
      </c>
      <c r="D249" s="32" t="s">
        <v>546</v>
      </c>
      <c r="E249" s="58">
        <f>_xlfn.IFNA(VLOOKUP(C:C,线上线下销售!B:D,3,0),0)</f>
        <v>1137.8884</v>
      </c>
      <c r="F249" s="18">
        <f>SUMIFS(线上订单!$E:$E,线上订单!$B:$B,美团日报!$C249,线上订单!$D:$D,"美团")</f>
        <v>0</v>
      </c>
      <c r="G249" s="59">
        <f t="shared" si="19"/>
        <v>0</v>
      </c>
      <c r="H249" s="18">
        <f>SUMIFS(线上订单!$F:$F,线上订单!$B:$B,美团日报!$C249,线上订单!$D:$D,"美团")</f>
        <v>0</v>
      </c>
      <c r="I249" s="18">
        <f>SUMIFS(线上订单!$F:$F,线上订单!$B:$B,美团日报!$C249,线上订单!$D:$D,"美团")</f>
        <v>0</v>
      </c>
      <c r="J249" s="18">
        <f t="shared" si="20"/>
        <v>0</v>
      </c>
      <c r="K249" s="18" t="e">
        <f t="shared" si="21"/>
        <v>#REF!</v>
      </c>
      <c r="L249" s="59" t="e">
        <f>SUMIFS(#REF!,#REF!,美团日报!$C249,#REF!,"美团")</f>
        <v>#REF!</v>
      </c>
      <c r="M249" s="18"/>
      <c r="N249" s="18"/>
      <c r="O249" s="18" t="e">
        <f t="shared" si="22"/>
        <v>#REF!</v>
      </c>
      <c r="P249" s="59" t="e">
        <f>SUMIFS(#REF!,#REF!,美团日报!$C249,#REF!,"美团")</f>
        <v>#REF!</v>
      </c>
      <c r="Q249" s="18"/>
      <c r="R249" s="18"/>
      <c r="S249" s="18" t="e">
        <f t="shared" si="23"/>
        <v>#REF!</v>
      </c>
      <c r="T249" s="59" t="e">
        <f>SUMIFS(#REF!,#REF!,美团日报!$C249,#REF!,"美团")</f>
        <v>#REF!</v>
      </c>
      <c r="U249" s="18" t="e">
        <f t="shared" si="24"/>
        <v>#REF!</v>
      </c>
      <c r="V249" s="59" t="e">
        <f>SUMIFS(#REF!,#REF!,美团日报!$C249,#REF!,"美团")</f>
        <v>#REF!</v>
      </c>
      <c r="W249" s="16" t="s">
        <v>13</v>
      </c>
    </row>
    <row r="250" ht="14.4" spans="1:23">
      <c r="A250" s="30"/>
      <c r="B250" s="30"/>
      <c r="C250" s="33">
        <v>8799</v>
      </c>
      <c r="D250" s="32" t="s">
        <v>547</v>
      </c>
      <c r="E250" s="58">
        <f>_xlfn.IFNA(VLOOKUP(C:C,线上线下销售!B:D,3,0),0)</f>
        <v>3447.4034</v>
      </c>
      <c r="F250" s="18">
        <f>SUMIFS(线上订单!$E:$E,线上订单!$B:$B,美团日报!$C250,线上订单!$D:$D,"美团")</f>
        <v>0</v>
      </c>
      <c r="G250" s="59">
        <f t="shared" si="19"/>
        <v>0</v>
      </c>
      <c r="H250" s="18">
        <f>SUMIFS(线上订单!$F:$F,线上订单!$B:$B,美团日报!$C250,线上订单!$D:$D,"美团")</f>
        <v>0</v>
      </c>
      <c r="I250" s="18">
        <f>SUMIFS(线上订单!$F:$F,线上订单!$B:$B,美团日报!$C250,线上订单!$D:$D,"美团")</f>
        <v>0</v>
      </c>
      <c r="J250" s="18">
        <f t="shared" si="20"/>
        <v>0</v>
      </c>
      <c r="K250" s="18" t="e">
        <f t="shared" si="21"/>
        <v>#REF!</v>
      </c>
      <c r="L250" s="59" t="e">
        <f>SUMIFS(#REF!,#REF!,美团日报!$C250,#REF!,"美团")</f>
        <v>#REF!</v>
      </c>
      <c r="M250" s="18"/>
      <c r="N250" s="18"/>
      <c r="O250" s="18" t="e">
        <f t="shared" si="22"/>
        <v>#REF!</v>
      </c>
      <c r="P250" s="59" t="e">
        <f>SUMIFS(#REF!,#REF!,美团日报!$C250,#REF!,"美团")</f>
        <v>#REF!</v>
      </c>
      <c r="Q250" s="18"/>
      <c r="R250" s="18"/>
      <c r="S250" s="18" t="e">
        <f t="shared" si="23"/>
        <v>#REF!</v>
      </c>
      <c r="T250" s="59" t="e">
        <f>SUMIFS(#REF!,#REF!,美团日报!$C250,#REF!,"美团")</f>
        <v>#REF!</v>
      </c>
      <c r="U250" s="18" t="e">
        <f t="shared" si="24"/>
        <v>#REF!</v>
      </c>
      <c r="V250" s="59" t="e">
        <f>SUMIFS(#REF!,#REF!,美团日报!$C250,#REF!,"美团")</f>
        <v>#REF!</v>
      </c>
      <c r="W250" s="16" t="s">
        <v>13</v>
      </c>
    </row>
    <row r="251" ht="14.4" spans="1:23">
      <c r="A251" s="30"/>
      <c r="B251" s="30"/>
      <c r="C251" s="33">
        <v>8805</v>
      </c>
      <c r="D251" s="32" t="s">
        <v>548</v>
      </c>
      <c r="E251" s="58">
        <f>_xlfn.IFNA(VLOOKUP(C:C,线上线下销售!B:D,3,0),0)</f>
        <v>1336.0695</v>
      </c>
      <c r="F251" s="18">
        <f>SUMIFS(线上订单!$E:$E,线上订单!$B:$B,美团日报!$C251,线上订单!$D:$D,"美团")</f>
        <v>0</v>
      </c>
      <c r="G251" s="59">
        <f t="shared" si="19"/>
        <v>0</v>
      </c>
      <c r="H251" s="18">
        <f>SUMIFS(线上订单!$F:$F,线上订单!$B:$B,美团日报!$C251,线上订单!$D:$D,"美团")</f>
        <v>0</v>
      </c>
      <c r="I251" s="18">
        <f>SUMIFS(线上订单!$F:$F,线上订单!$B:$B,美团日报!$C251,线上订单!$D:$D,"美团")</f>
        <v>0</v>
      </c>
      <c r="J251" s="18">
        <f t="shared" si="20"/>
        <v>0</v>
      </c>
      <c r="K251" s="18" t="e">
        <f t="shared" si="21"/>
        <v>#REF!</v>
      </c>
      <c r="L251" s="59" t="e">
        <f>SUMIFS(#REF!,#REF!,美团日报!$C251,#REF!,"美团")</f>
        <v>#REF!</v>
      </c>
      <c r="M251" s="18"/>
      <c r="N251" s="18"/>
      <c r="O251" s="18" t="e">
        <f t="shared" si="22"/>
        <v>#REF!</v>
      </c>
      <c r="P251" s="59" t="e">
        <f>SUMIFS(#REF!,#REF!,美团日报!$C251,#REF!,"美团")</f>
        <v>#REF!</v>
      </c>
      <c r="Q251" s="18"/>
      <c r="R251" s="18"/>
      <c r="S251" s="18" t="e">
        <f t="shared" si="23"/>
        <v>#REF!</v>
      </c>
      <c r="T251" s="59" t="e">
        <f>SUMIFS(#REF!,#REF!,美团日报!$C251,#REF!,"美团")</f>
        <v>#REF!</v>
      </c>
      <c r="U251" s="18" t="e">
        <f t="shared" si="24"/>
        <v>#REF!</v>
      </c>
      <c r="V251" s="59" t="e">
        <f>SUMIFS(#REF!,#REF!,美团日报!$C251,#REF!,"美团")</f>
        <v>#REF!</v>
      </c>
      <c r="W251" s="16" t="s">
        <v>13</v>
      </c>
    </row>
    <row r="252" ht="14.4" spans="1:23">
      <c r="A252" s="30"/>
      <c r="B252" s="30"/>
      <c r="C252" s="33">
        <v>8791</v>
      </c>
      <c r="D252" s="32" t="s">
        <v>549</v>
      </c>
      <c r="E252" s="58">
        <f>_xlfn.IFNA(VLOOKUP(C:C,线上线下销售!B:D,3,0),0)</f>
        <v>4379.2147</v>
      </c>
      <c r="F252" s="18">
        <f>SUMIFS(线上订单!$E:$E,线上订单!$B:$B,美团日报!$C252,线上订单!$D:$D,"美团")</f>
        <v>0</v>
      </c>
      <c r="G252" s="59">
        <f t="shared" si="19"/>
        <v>0</v>
      </c>
      <c r="H252" s="18">
        <f>SUMIFS(线上订单!$F:$F,线上订单!$B:$B,美团日报!$C252,线上订单!$D:$D,"美团")</f>
        <v>0</v>
      </c>
      <c r="I252" s="18">
        <f>SUMIFS(线上订单!$F:$F,线上订单!$B:$B,美团日报!$C252,线上订单!$D:$D,"美团")</f>
        <v>0</v>
      </c>
      <c r="J252" s="18">
        <f t="shared" si="20"/>
        <v>0</v>
      </c>
      <c r="K252" s="18" t="e">
        <f t="shared" si="21"/>
        <v>#REF!</v>
      </c>
      <c r="L252" s="59" t="e">
        <f>SUMIFS(#REF!,#REF!,美团日报!$C252,#REF!,"美团")</f>
        <v>#REF!</v>
      </c>
      <c r="M252" s="18"/>
      <c r="N252" s="18"/>
      <c r="O252" s="18" t="e">
        <f t="shared" si="22"/>
        <v>#REF!</v>
      </c>
      <c r="P252" s="59" t="e">
        <f>SUMIFS(#REF!,#REF!,美团日报!$C252,#REF!,"美团")</f>
        <v>#REF!</v>
      </c>
      <c r="Q252" s="18"/>
      <c r="R252" s="18"/>
      <c r="S252" s="18" t="e">
        <f t="shared" si="23"/>
        <v>#REF!</v>
      </c>
      <c r="T252" s="59" t="e">
        <f>SUMIFS(#REF!,#REF!,美团日报!$C252,#REF!,"美团")</f>
        <v>#REF!</v>
      </c>
      <c r="U252" s="18" t="e">
        <f t="shared" si="24"/>
        <v>#REF!</v>
      </c>
      <c r="V252" s="59" t="e">
        <f>SUMIFS(#REF!,#REF!,美团日报!$C252,#REF!,"美团")</f>
        <v>#REF!</v>
      </c>
      <c r="W252" s="16" t="s">
        <v>13</v>
      </c>
    </row>
    <row r="253" ht="14.4" spans="1:23">
      <c r="A253" s="30"/>
      <c r="B253" s="30"/>
      <c r="C253" s="33">
        <v>8807</v>
      </c>
      <c r="D253" s="32" t="s">
        <v>550</v>
      </c>
      <c r="E253" s="58">
        <f>_xlfn.IFNA(VLOOKUP(C:C,线上线下销售!B:D,3,0),0)</f>
        <v>1030.0879</v>
      </c>
      <c r="F253" s="18">
        <f>SUMIFS(线上订单!$E:$E,线上订单!$B:$B,美团日报!$C253,线上订单!$D:$D,"美团")</f>
        <v>0</v>
      </c>
      <c r="G253" s="59">
        <f t="shared" si="19"/>
        <v>0</v>
      </c>
      <c r="H253" s="18">
        <f>SUMIFS(线上订单!$F:$F,线上订单!$B:$B,美团日报!$C253,线上订单!$D:$D,"美团")</f>
        <v>0</v>
      </c>
      <c r="I253" s="18">
        <f>SUMIFS(线上订单!$F:$F,线上订单!$B:$B,美团日报!$C253,线上订单!$D:$D,"美团")</f>
        <v>0</v>
      </c>
      <c r="J253" s="18">
        <f t="shared" si="20"/>
        <v>0</v>
      </c>
      <c r="K253" s="18" t="e">
        <f t="shared" si="21"/>
        <v>#REF!</v>
      </c>
      <c r="L253" s="59" t="e">
        <f>SUMIFS(#REF!,#REF!,美团日报!$C253,#REF!,"美团")</f>
        <v>#REF!</v>
      </c>
      <c r="M253" s="18"/>
      <c r="N253" s="18"/>
      <c r="O253" s="18" t="e">
        <f t="shared" si="22"/>
        <v>#REF!</v>
      </c>
      <c r="P253" s="59" t="e">
        <f>SUMIFS(#REF!,#REF!,美团日报!$C253,#REF!,"美团")</f>
        <v>#REF!</v>
      </c>
      <c r="Q253" s="18"/>
      <c r="R253" s="18"/>
      <c r="S253" s="18" t="e">
        <f t="shared" si="23"/>
        <v>#REF!</v>
      </c>
      <c r="T253" s="59" t="e">
        <f>SUMIFS(#REF!,#REF!,美团日报!$C253,#REF!,"美团")</f>
        <v>#REF!</v>
      </c>
      <c r="U253" s="18" t="e">
        <f t="shared" si="24"/>
        <v>#REF!</v>
      </c>
      <c r="V253" s="59" t="e">
        <f>SUMIFS(#REF!,#REF!,美团日报!$C253,#REF!,"美团")</f>
        <v>#REF!</v>
      </c>
      <c r="W253" s="16" t="s">
        <v>13</v>
      </c>
    </row>
    <row r="254" ht="14.4" spans="1:23">
      <c r="A254" s="30"/>
      <c r="B254" s="30"/>
      <c r="C254" s="33">
        <v>8808</v>
      </c>
      <c r="D254" s="32" t="s">
        <v>551</v>
      </c>
      <c r="E254" s="58">
        <f>_xlfn.IFNA(VLOOKUP(C:C,线上线下销售!B:D,3,0),0)</f>
        <v>3983.0242</v>
      </c>
      <c r="F254" s="18">
        <f>SUMIFS(线上订单!$E:$E,线上订单!$B:$B,美团日报!$C254,线上订单!$D:$D,"美团")</f>
        <v>0</v>
      </c>
      <c r="G254" s="59">
        <f t="shared" si="19"/>
        <v>0</v>
      </c>
      <c r="H254" s="18">
        <f>SUMIFS(线上订单!$F:$F,线上订单!$B:$B,美团日报!$C254,线上订单!$D:$D,"美团")</f>
        <v>0</v>
      </c>
      <c r="I254" s="18">
        <f>SUMIFS(线上订单!$F:$F,线上订单!$B:$B,美团日报!$C254,线上订单!$D:$D,"美团")</f>
        <v>0</v>
      </c>
      <c r="J254" s="18">
        <f t="shared" si="20"/>
        <v>0</v>
      </c>
      <c r="K254" s="18" t="e">
        <f t="shared" si="21"/>
        <v>#REF!</v>
      </c>
      <c r="L254" s="59" t="e">
        <f>SUMIFS(#REF!,#REF!,美团日报!$C254,#REF!,"美团")</f>
        <v>#REF!</v>
      </c>
      <c r="M254" s="18"/>
      <c r="N254" s="18"/>
      <c r="O254" s="18" t="e">
        <f t="shared" si="22"/>
        <v>#REF!</v>
      </c>
      <c r="P254" s="59" t="e">
        <f>SUMIFS(#REF!,#REF!,美团日报!$C254,#REF!,"美团")</f>
        <v>#REF!</v>
      </c>
      <c r="Q254" s="18"/>
      <c r="R254" s="18"/>
      <c r="S254" s="18" t="e">
        <f t="shared" si="23"/>
        <v>#REF!</v>
      </c>
      <c r="T254" s="59" t="e">
        <f>SUMIFS(#REF!,#REF!,美团日报!$C254,#REF!,"美团")</f>
        <v>#REF!</v>
      </c>
      <c r="U254" s="18" t="e">
        <f t="shared" si="24"/>
        <v>#REF!</v>
      </c>
      <c r="V254" s="59" t="e">
        <f>SUMIFS(#REF!,#REF!,美团日报!$C254,#REF!,"美团")</f>
        <v>#REF!</v>
      </c>
      <c r="W254" s="16" t="s">
        <v>13</v>
      </c>
    </row>
    <row r="255" ht="14.4" spans="1:23">
      <c r="A255" s="30"/>
      <c r="B255" s="30"/>
      <c r="C255" s="33">
        <v>8809</v>
      </c>
      <c r="D255" s="32" t="s">
        <v>552</v>
      </c>
      <c r="E255" s="58">
        <f>_xlfn.IFNA(VLOOKUP(C:C,线上线下销售!B:D,3,0),0)</f>
        <v>5197.3052</v>
      </c>
      <c r="F255" s="18">
        <f>SUMIFS(线上订单!$E:$E,线上订单!$B:$B,美团日报!$C255,线上订单!$D:$D,"美团")</f>
        <v>0</v>
      </c>
      <c r="G255" s="59">
        <f t="shared" si="19"/>
        <v>0</v>
      </c>
      <c r="H255" s="18">
        <f>SUMIFS(线上订单!$F:$F,线上订单!$B:$B,美团日报!$C255,线上订单!$D:$D,"美团")</f>
        <v>0</v>
      </c>
      <c r="I255" s="18">
        <f>SUMIFS(线上订单!$F:$F,线上订单!$B:$B,美团日报!$C255,线上订单!$D:$D,"美团")</f>
        <v>0</v>
      </c>
      <c r="J255" s="18">
        <f t="shared" si="20"/>
        <v>0</v>
      </c>
      <c r="K255" s="18" t="e">
        <f t="shared" si="21"/>
        <v>#REF!</v>
      </c>
      <c r="L255" s="59" t="e">
        <f>SUMIFS(#REF!,#REF!,美团日报!$C255,#REF!,"美团")</f>
        <v>#REF!</v>
      </c>
      <c r="M255" s="18"/>
      <c r="N255" s="18"/>
      <c r="O255" s="18" t="e">
        <f t="shared" si="22"/>
        <v>#REF!</v>
      </c>
      <c r="P255" s="59" t="e">
        <f>SUMIFS(#REF!,#REF!,美团日报!$C255,#REF!,"美团")</f>
        <v>#REF!</v>
      </c>
      <c r="Q255" s="18"/>
      <c r="R255" s="18"/>
      <c r="S255" s="18" t="e">
        <f t="shared" si="23"/>
        <v>#REF!</v>
      </c>
      <c r="T255" s="59" t="e">
        <f>SUMIFS(#REF!,#REF!,美团日报!$C255,#REF!,"美团")</f>
        <v>#REF!</v>
      </c>
      <c r="U255" s="18" t="e">
        <f t="shared" si="24"/>
        <v>#REF!</v>
      </c>
      <c r="V255" s="59" t="e">
        <f>SUMIFS(#REF!,#REF!,美团日报!$C255,#REF!,"美团")</f>
        <v>#REF!</v>
      </c>
      <c r="W255" s="16" t="s">
        <v>13</v>
      </c>
    </row>
    <row r="256" ht="14.4" spans="1:23">
      <c r="A256" s="30"/>
      <c r="B256" s="30"/>
      <c r="C256" s="33">
        <v>8794</v>
      </c>
      <c r="D256" s="32" t="s">
        <v>553</v>
      </c>
      <c r="E256" s="58">
        <f>_xlfn.IFNA(VLOOKUP(C:C,线上线下销售!B:D,3,0),0)</f>
        <v>1239.4563</v>
      </c>
      <c r="F256" s="18">
        <f>SUMIFS(线上订单!$E:$E,线上订单!$B:$B,美团日报!$C256,线上订单!$D:$D,"美团")</f>
        <v>0</v>
      </c>
      <c r="G256" s="59">
        <f t="shared" si="19"/>
        <v>0</v>
      </c>
      <c r="H256" s="18">
        <f>SUMIFS(线上订单!$F:$F,线上订单!$B:$B,美团日报!$C256,线上订单!$D:$D,"美团")</f>
        <v>0</v>
      </c>
      <c r="I256" s="18">
        <f>SUMIFS(线上订单!$F:$F,线上订单!$B:$B,美团日报!$C256,线上订单!$D:$D,"美团")</f>
        <v>0</v>
      </c>
      <c r="J256" s="18">
        <f t="shared" si="20"/>
        <v>0</v>
      </c>
      <c r="K256" s="18" t="e">
        <f t="shared" si="21"/>
        <v>#REF!</v>
      </c>
      <c r="L256" s="59" t="e">
        <f>SUMIFS(#REF!,#REF!,美团日报!$C256,#REF!,"美团")</f>
        <v>#REF!</v>
      </c>
      <c r="M256" s="18"/>
      <c r="N256" s="18"/>
      <c r="O256" s="18" t="e">
        <f t="shared" si="22"/>
        <v>#REF!</v>
      </c>
      <c r="P256" s="59" t="e">
        <f>SUMIFS(#REF!,#REF!,美团日报!$C256,#REF!,"美团")</f>
        <v>#REF!</v>
      </c>
      <c r="Q256" s="18"/>
      <c r="R256" s="18"/>
      <c r="S256" s="18" t="e">
        <f t="shared" si="23"/>
        <v>#REF!</v>
      </c>
      <c r="T256" s="59" t="e">
        <f>SUMIFS(#REF!,#REF!,美团日报!$C256,#REF!,"美团")</f>
        <v>#REF!</v>
      </c>
      <c r="U256" s="18" t="e">
        <f t="shared" si="24"/>
        <v>#REF!</v>
      </c>
      <c r="V256" s="59" t="e">
        <f>SUMIFS(#REF!,#REF!,美团日报!$C256,#REF!,"美团")</f>
        <v>#REF!</v>
      </c>
      <c r="W256" s="16" t="s">
        <v>13</v>
      </c>
    </row>
    <row r="257" ht="14.4" spans="1:23">
      <c r="A257" s="30"/>
      <c r="B257" s="30"/>
      <c r="C257" s="33">
        <v>8815</v>
      </c>
      <c r="D257" s="32" t="s">
        <v>554</v>
      </c>
      <c r="E257" s="58">
        <f>_xlfn.IFNA(VLOOKUP(C:C,线上线下销售!B:D,3,0),0)</f>
        <v>261.982</v>
      </c>
      <c r="F257" s="18">
        <f>SUMIFS(线上订单!$E:$E,线上订单!$B:$B,美团日报!$C257,线上订单!$D:$D,"美团")</f>
        <v>0</v>
      </c>
      <c r="G257" s="59">
        <f t="shared" si="19"/>
        <v>0</v>
      </c>
      <c r="H257" s="18">
        <f>SUMIFS(线上订单!$F:$F,线上订单!$B:$B,美团日报!$C257,线上订单!$D:$D,"美团")</f>
        <v>0</v>
      </c>
      <c r="I257" s="18">
        <f>SUMIFS(线上订单!$F:$F,线上订单!$B:$B,美团日报!$C257,线上订单!$D:$D,"美团")</f>
        <v>0</v>
      </c>
      <c r="J257" s="18">
        <f t="shared" si="20"/>
        <v>0</v>
      </c>
      <c r="K257" s="18" t="e">
        <f t="shared" si="21"/>
        <v>#REF!</v>
      </c>
      <c r="L257" s="59" t="e">
        <f>SUMIFS(#REF!,#REF!,美团日报!$C257,#REF!,"美团")</f>
        <v>#REF!</v>
      </c>
      <c r="M257" s="18"/>
      <c r="N257" s="18"/>
      <c r="O257" s="18" t="e">
        <f t="shared" si="22"/>
        <v>#REF!</v>
      </c>
      <c r="P257" s="59" t="e">
        <f>SUMIFS(#REF!,#REF!,美团日报!$C257,#REF!,"美团")</f>
        <v>#REF!</v>
      </c>
      <c r="Q257" s="18"/>
      <c r="R257" s="18"/>
      <c r="S257" s="18" t="e">
        <f t="shared" si="23"/>
        <v>#REF!</v>
      </c>
      <c r="T257" s="59" t="e">
        <f>SUMIFS(#REF!,#REF!,美团日报!$C257,#REF!,"美团")</f>
        <v>#REF!</v>
      </c>
      <c r="U257" s="18" t="e">
        <f t="shared" si="24"/>
        <v>#REF!</v>
      </c>
      <c r="V257" s="59" t="e">
        <f>SUMIFS(#REF!,#REF!,美团日报!$C257,#REF!,"美团")</f>
        <v>#REF!</v>
      </c>
      <c r="W257" s="16" t="s">
        <v>13</v>
      </c>
    </row>
    <row r="258" ht="14.4" spans="1:23">
      <c r="A258" s="30"/>
      <c r="B258" s="30"/>
      <c r="C258" s="33">
        <v>8816</v>
      </c>
      <c r="D258" s="32" t="s">
        <v>555</v>
      </c>
      <c r="E258" s="58">
        <f>_xlfn.IFNA(VLOOKUP(C:C,线上线下销售!B:D,3,0),0)</f>
        <v>316.7169</v>
      </c>
      <c r="F258" s="18">
        <f>SUMIFS(线上订单!$E:$E,线上订单!$B:$B,美团日报!$C258,线上订单!$D:$D,"美团")</f>
        <v>0</v>
      </c>
      <c r="G258" s="59">
        <f t="shared" si="19"/>
        <v>0</v>
      </c>
      <c r="H258" s="18">
        <f>SUMIFS(线上订单!$F:$F,线上订单!$B:$B,美团日报!$C258,线上订单!$D:$D,"美团")</f>
        <v>0</v>
      </c>
      <c r="I258" s="18">
        <f>SUMIFS(线上订单!$F:$F,线上订单!$B:$B,美团日报!$C258,线上订单!$D:$D,"美团")</f>
        <v>0</v>
      </c>
      <c r="J258" s="18">
        <f t="shared" si="20"/>
        <v>0</v>
      </c>
      <c r="K258" s="18" t="e">
        <f t="shared" si="21"/>
        <v>#REF!</v>
      </c>
      <c r="L258" s="59" t="e">
        <f>SUMIFS(#REF!,#REF!,美团日报!$C258,#REF!,"美团")</f>
        <v>#REF!</v>
      </c>
      <c r="M258" s="18"/>
      <c r="N258" s="18"/>
      <c r="O258" s="18" t="e">
        <f t="shared" si="22"/>
        <v>#REF!</v>
      </c>
      <c r="P258" s="59" t="e">
        <f>SUMIFS(#REF!,#REF!,美团日报!$C258,#REF!,"美团")</f>
        <v>#REF!</v>
      </c>
      <c r="Q258" s="18"/>
      <c r="R258" s="18"/>
      <c r="S258" s="18" t="e">
        <f t="shared" si="23"/>
        <v>#REF!</v>
      </c>
      <c r="T258" s="59" t="e">
        <f>SUMIFS(#REF!,#REF!,美团日报!$C258,#REF!,"美团")</f>
        <v>#REF!</v>
      </c>
      <c r="U258" s="18" t="e">
        <f t="shared" si="24"/>
        <v>#REF!</v>
      </c>
      <c r="V258" s="59" t="e">
        <f>SUMIFS(#REF!,#REF!,美团日报!$C258,#REF!,"美团")</f>
        <v>#REF!</v>
      </c>
      <c r="W258" s="16" t="s">
        <v>13</v>
      </c>
    </row>
    <row r="259" ht="14.4" spans="1:23">
      <c r="A259" s="30"/>
      <c r="B259" s="30"/>
      <c r="C259" s="33">
        <v>8814</v>
      </c>
      <c r="D259" s="32" t="s">
        <v>556</v>
      </c>
      <c r="E259" s="58">
        <f>_xlfn.IFNA(VLOOKUP(C:C,线上线下销售!B:D,3,0),0)</f>
        <v>96.3717</v>
      </c>
      <c r="F259" s="18">
        <f>SUMIFS(线上订单!$E:$E,线上订单!$B:$B,美团日报!$C259,线上订单!$D:$D,"美团")</f>
        <v>0</v>
      </c>
      <c r="G259" s="59">
        <f>IFERROR(F259/E259,0)</f>
        <v>0</v>
      </c>
      <c r="H259" s="18">
        <f>SUMIFS(线上订单!$F:$F,线上订单!$B:$B,美团日报!$C259,线上订单!$D:$D,"美团")</f>
        <v>0</v>
      </c>
      <c r="I259" s="18">
        <f>SUMIFS(线上订单!$F:$F,线上订单!$B:$B,美团日报!$C259,线上订单!$D:$D,"美团")</f>
        <v>0</v>
      </c>
      <c r="J259" s="18">
        <f>IFERROR(F259/I259,0)</f>
        <v>0</v>
      </c>
      <c r="K259" s="18" t="e">
        <f>H259*L259</f>
        <v>#REF!</v>
      </c>
      <c r="L259" s="59" t="e">
        <f>SUMIFS(#REF!,#REF!,美团日报!$C259,#REF!,"美团")</f>
        <v>#REF!</v>
      </c>
      <c r="M259" s="18"/>
      <c r="N259" s="18"/>
      <c r="O259" s="18" t="e">
        <f>H259*(1-P259)</f>
        <v>#REF!</v>
      </c>
      <c r="P259" s="59" t="e">
        <f>SUMIFS(#REF!,#REF!,美团日报!$C259,#REF!,"美团")</f>
        <v>#REF!</v>
      </c>
      <c r="Q259" s="18"/>
      <c r="R259" s="18"/>
      <c r="S259" s="18" t="e">
        <f>H259*T259</f>
        <v>#REF!</v>
      </c>
      <c r="T259" s="59" t="e">
        <f>SUMIFS(#REF!,#REF!,美团日报!$C259,#REF!,"美团")</f>
        <v>#REF!</v>
      </c>
      <c r="U259" s="18" t="e">
        <f>H259*V259</f>
        <v>#REF!</v>
      </c>
      <c r="V259" s="59" t="e">
        <f>SUMIFS(#REF!,#REF!,美团日报!$C259,#REF!,"美团")</f>
        <v>#REF!</v>
      </c>
      <c r="W259" s="16" t="s">
        <v>13</v>
      </c>
    </row>
    <row r="260" ht="14.4" spans="1:23">
      <c r="A260" s="30"/>
      <c r="B260" s="30"/>
      <c r="C260" s="33">
        <v>8811</v>
      </c>
      <c r="D260" s="32" t="s">
        <v>557</v>
      </c>
      <c r="E260" s="58">
        <f>_xlfn.IFNA(VLOOKUP(C:C,线上线下销售!B:D,3,0),0)</f>
        <v>3800.7928</v>
      </c>
      <c r="F260" s="18">
        <f>SUMIFS(线上订单!$E:$E,线上订单!$B:$B,美团日报!$C260,线上订单!$D:$D,"美团")</f>
        <v>706.70861411051</v>
      </c>
      <c r="G260" s="59">
        <f>IFERROR(F260/E260,0)</f>
        <v>0.185937158718705</v>
      </c>
      <c r="H260" s="18">
        <f>SUMIFS(线上订单!$F:$F,线上订单!$B:$B,美团日报!$C260,线上订单!$D:$D,"美团")</f>
        <v>23</v>
      </c>
      <c r="I260" s="18">
        <f>SUMIFS(线上订单!$F:$F,线上订单!$B:$B,美团日报!$C260,线上订单!$D:$D,"美团")</f>
        <v>23</v>
      </c>
      <c r="J260" s="18">
        <f>IFERROR(F260/I260,0)</f>
        <v>30.7264614830657</v>
      </c>
      <c r="K260" s="18" t="e">
        <f>H260*L260</f>
        <v>#REF!</v>
      </c>
      <c r="L260" s="59" t="e">
        <f>SUMIFS(#REF!,#REF!,美团日报!$C260,#REF!,"美团")</f>
        <v>#REF!</v>
      </c>
      <c r="M260" s="18"/>
      <c r="N260" s="18"/>
      <c r="O260" s="18" t="e">
        <f>H260*(1-P260)</f>
        <v>#REF!</v>
      </c>
      <c r="P260" s="59" t="e">
        <f>SUMIFS(#REF!,#REF!,美团日报!$C260,#REF!,"美团")</f>
        <v>#REF!</v>
      </c>
      <c r="Q260" s="18"/>
      <c r="R260" s="18"/>
      <c r="S260" s="18" t="e">
        <f>H260*T260</f>
        <v>#REF!</v>
      </c>
      <c r="T260" s="59" t="e">
        <f>SUMIFS(#REF!,#REF!,美团日报!$C260,#REF!,"美团")</f>
        <v>#REF!</v>
      </c>
      <c r="U260" s="18" t="e">
        <f>H260*V260</f>
        <v>#REF!</v>
      </c>
      <c r="V260" s="59" t="e">
        <f>SUMIFS(#REF!,#REF!,美团日报!$C260,#REF!,"美团")</f>
        <v>#REF!</v>
      </c>
      <c r="W260" s="16" t="s">
        <v>13</v>
      </c>
    </row>
    <row r="261" ht="14.4" spans="1:23">
      <c r="A261" s="30"/>
      <c r="B261" s="30"/>
      <c r="C261" s="33">
        <v>8813</v>
      </c>
      <c r="D261" s="33" t="s">
        <v>558</v>
      </c>
      <c r="E261" s="58">
        <f>_xlfn.IFNA(VLOOKUP(C:C,线上线下销售!B:D,3,0),0)</f>
        <v>38731.4666</v>
      </c>
      <c r="F261" s="18">
        <f>SUMIFS(线上订单!$E:$E,线上订单!$B:$B,美团日报!$C261,线上订单!$D:$D,"美团")</f>
        <v>0</v>
      </c>
      <c r="G261" s="59">
        <f>IFERROR(F261/E261,0)</f>
        <v>0</v>
      </c>
      <c r="H261" s="18">
        <f>SUMIFS(线上订单!$F:$F,线上订单!$B:$B,美团日报!$C261,线上订单!$D:$D,"美团")</f>
        <v>0</v>
      </c>
      <c r="I261" s="18">
        <f>SUMIFS(线上订单!$F:$F,线上订单!$B:$B,美团日报!$C261,线上订单!$D:$D,"美团")</f>
        <v>0</v>
      </c>
      <c r="J261" s="18">
        <f>IFERROR(F261/I261,0)</f>
        <v>0</v>
      </c>
      <c r="K261" s="18" t="e">
        <f>H261*L261</f>
        <v>#REF!</v>
      </c>
      <c r="L261" s="59" t="e">
        <f>SUMIFS(#REF!,#REF!,美团日报!$C261,#REF!,"美团")</f>
        <v>#REF!</v>
      </c>
      <c r="M261" s="18"/>
      <c r="N261" s="18"/>
      <c r="O261" s="18" t="e">
        <f>H261*(1-P261)</f>
        <v>#REF!</v>
      </c>
      <c r="P261" s="59" t="e">
        <f>SUMIFS(#REF!,#REF!,美团日报!$C261,#REF!,"美团")</f>
        <v>#REF!</v>
      </c>
      <c r="Q261" s="18"/>
      <c r="R261" s="18"/>
      <c r="S261" s="18" t="e">
        <f>H261*T261</f>
        <v>#REF!</v>
      </c>
      <c r="T261" s="59" t="e">
        <f>SUMIFS(#REF!,#REF!,美团日报!$C261,#REF!,"美团")</f>
        <v>#REF!</v>
      </c>
      <c r="U261" s="18" t="e">
        <f>H261*V261</f>
        <v>#REF!</v>
      </c>
      <c r="V261" s="59" t="e">
        <f>SUMIFS(#REF!,#REF!,美团日报!$C261,#REF!,"美团")</f>
        <v>#REF!</v>
      </c>
      <c r="W261" s="16" t="s">
        <v>13</v>
      </c>
    </row>
    <row r="262" ht="14.4" spans="1:23">
      <c r="A262" s="16" t="s">
        <v>43</v>
      </c>
      <c r="B262" s="16" t="s">
        <v>131</v>
      </c>
      <c r="C262" s="16">
        <v>8706</v>
      </c>
      <c r="D262" s="16" t="s">
        <v>559</v>
      </c>
      <c r="E262" s="58">
        <f>_xlfn.IFNA(VLOOKUP(C:C,线上线下销售!B:D,3,0),0)</f>
        <v>0</v>
      </c>
      <c r="F262" s="18">
        <f>SUMIFS(线上订单!$E:$E,线上订单!$B:$B,美团日报!$C262,线上订单!$D:$D,"美团")</f>
        <v>0</v>
      </c>
      <c r="G262" s="59">
        <f>IFERROR(F262/E262,0)</f>
        <v>0</v>
      </c>
      <c r="H262" s="18">
        <f>SUMIFS(线上订单!$F:$F,线上订单!$B:$B,美团日报!$C262,线上订单!$D:$D,"美团")</f>
        <v>0</v>
      </c>
      <c r="I262" s="18">
        <f>SUMIFS(线上订单!$F:$F,线上订单!$B:$B,美团日报!$C262,线上订单!$D:$D,"美团")</f>
        <v>0</v>
      </c>
      <c r="J262" s="18">
        <f>IFERROR(F262/I262,0)</f>
        <v>0</v>
      </c>
      <c r="K262" s="18" t="e">
        <f>H262*L262</f>
        <v>#REF!</v>
      </c>
      <c r="L262" s="59" t="e">
        <f>SUMIFS(#REF!,#REF!,美团日报!$C262,#REF!,"美团")</f>
        <v>#REF!</v>
      </c>
      <c r="M262" s="18"/>
      <c r="N262" s="18"/>
      <c r="O262" s="18" t="e">
        <f>H262*(1-P262)</f>
        <v>#REF!</v>
      </c>
      <c r="P262" s="59" t="e">
        <f>SUMIFS(#REF!,#REF!,美团日报!$C262,#REF!,"美团")</f>
        <v>#REF!</v>
      </c>
      <c r="Q262" s="18"/>
      <c r="R262" s="18"/>
      <c r="S262" s="18" t="e">
        <f>H262*T262</f>
        <v>#REF!</v>
      </c>
      <c r="T262" s="59" t="e">
        <f>SUMIFS(#REF!,#REF!,美团日报!$C262,#REF!,"美团")</f>
        <v>#REF!</v>
      </c>
      <c r="U262" s="18" t="e">
        <f>H262*V262</f>
        <v>#REF!</v>
      </c>
      <c r="V262" s="59" t="e">
        <f>SUMIFS(#REF!,#REF!,美团日报!$C262,#REF!,"美团")</f>
        <v>#REF!</v>
      </c>
      <c r="W262" s="16" t="s">
        <v>13</v>
      </c>
    </row>
    <row r="263" ht="15.2" spans="1:23">
      <c r="A263" s="61" t="s">
        <v>578</v>
      </c>
      <c r="B263" s="61"/>
      <c r="C263" s="61"/>
      <c r="D263" s="61"/>
      <c r="E263" s="49">
        <f>SUM(E2:E262)</f>
        <v>1781819.6355</v>
      </c>
      <c r="F263" s="49">
        <f>SUM(F2:F262)</f>
        <v>136989.054193384</v>
      </c>
      <c r="G263" s="62">
        <f>F263/E263</f>
        <v>0.0768815493241229</v>
      </c>
      <c r="H263" s="63">
        <f>SUM(H2:H262)</f>
        <v>3277</v>
      </c>
      <c r="I263" s="63">
        <f>SUM(I2:I262)</f>
        <v>3277</v>
      </c>
      <c r="J263" s="63">
        <f>IFERROR(F263/I263,0)</f>
        <v>41.8031901719207</v>
      </c>
      <c r="K263" s="63" t="e">
        <f>H263*L263</f>
        <v>#REF!</v>
      </c>
      <c r="L263" s="63" t="e">
        <f>AVERAGE(L2:L225)</f>
        <v>#REF!</v>
      </c>
      <c r="M263" s="63"/>
      <c r="N263" s="63"/>
      <c r="O263" s="63" t="e">
        <f>SUM(O2:O262)</f>
        <v>#REF!</v>
      </c>
      <c r="P263" s="62" t="e">
        <f>AVERAGE(P2:P262)</f>
        <v>#REF!</v>
      </c>
      <c r="Q263" s="63"/>
      <c r="R263" s="63"/>
      <c r="S263" s="63" t="e">
        <f>SUM(S2:S225)</f>
        <v>#REF!</v>
      </c>
      <c r="T263" s="63" t="e">
        <f>SUM(T2:T225)</f>
        <v>#REF!</v>
      </c>
      <c r="U263" s="63" t="e">
        <f>SUM(U2:U225)</f>
        <v>#REF!</v>
      </c>
      <c r="V263" s="63" t="e">
        <f>AVERAGE(V2:V225)</f>
        <v>#REF!</v>
      </c>
      <c r="W263" s="61"/>
    </row>
  </sheetData>
  <mergeCells count="1">
    <mergeCell ref="A263:D263"/>
  </mergeCells>
  <conditionalFormatting sqref="D1">
    <cfRule type="duplicateValues" dxfId="0" priority="592"/>
    <cfRule type="duplicateValues" dxfId="0" priority="593"/>
    <cfRule type="duplicateValues" dxfId="0" priority="594"/>
    <cfRule type="duplicateValues" dxfId="1" priority="595"/>
    <cfRule type="duplicateValues" dxfId="0" priority="596"/>
    <cfRule type="duplicateValues" dxfId="0" priority="597"/>
  </conditionalFormatting>
  <conditionalFormatting sqref="C1 W1">
    <cfRule type="duplicateValues" dxfId="0" priority="537"/>
    <cfRule type="duplicateValues" dxfId="0" priority="538"/>
  </conditionalFormatting>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70"/>
  <sheetViews>
    <sheetView workbookViewId="0">
      <pane xSplit="4" ySplit="1" topLeftCell="E245" activePane="bottomRight" state="frozen"/>
      <selection/>
      <selection pane="topRight"/>
      <selection pane="bottomLeft"/>
      <selection pane="bottomRight" activeCell="C261" sqref="C261"/>
    </sheetView>
  </sheetViews>
  <sheetFormatPr defaultColWidth="8.88392857142857" defaultRowHeight="12.4"/>
  <cols>
    <col min="1" max="2" width="7.38392857142857" customWidth="1"/>
    <col min="3" max="3" width="9.63392857142857" style="11" customWidth="1"/>
    <col min="4" max="4" width="23.6339285714286" customWidth="1"/>
    <col min="5" max="5" width="13.1339285714286" style="11" customWidth="1"/>
    <col min="6" max="6" width="13" style="11" customWidth="1"/>
    <col min="7" max="7" width="7.63392857142857" customWidth="1"/>
    <col min="8" max="9" width="7.38392857142857" style="11" customWidth="1"/>
    <col min="10" max="10" width="8.63392857142857" customWidth="1"/>
    <col min="11" max="11" width="10.5" customWidth="1"/>
    <col min="12" max="14" width="7.38392857142857" customWidth="1"/>
    <col min="15" max="15" width="11.6339285714286" customWidth="1"/>
    <col min="16" max="17" width="9.13392857142857" customWidth="1"/>
    <col min="18" max="19" width="7.38392857142857" customWidth="1"/>
    <col min="20" max="20" width="7.88392857142857" customWidth="1"/>
    <col min="21" max="21" width="10.5" customWidth="1"/>
    <col min="22" max="22" width="8.13392857142857" customWidth="1"/>
    <col min="23" max="23" width="7.38392857142857" customWidth="1"/>
  </cols>
  <sheetData>
    <row r="1" s="12" customFormat="1" ht="44" spans="1:23">
      <c r="A1" s="14" t="s">
        <v>20</v>
      </c>
      <c r="B1" s="14" t="s">
        <v>21</v>
      </c>
      <c r="C1" s="15" t="s">
        <v>22</v>
      </c>
      <c r="D1" s="14" t="s">
        <v>23</v>
      </c>
      <c r="E1" s="15" t="s">
        <v>28</v>
      </c>
      <c r="F1" s="15" t="s">
        <v>31</v>
      </c>
      <c r="G1" s="17" t="s">
        <v>35</v>
      </c>
      <c r="H1" s="15" t="s">
        <v>560</v>
      </c>
      <c r="I1" s="15" t="s">
        <v>32</v>
      </c>
      <c r="J1" s="20" t="s">
        <v>8</v>
      </c>
      <c r="K1" s="14" t="s">
        <v>579</v>
      </c>
      <c r="L1" s="17" t="s">
        <v>562</v>
      </c>
      <c r="M1" s="15" t="s">
        <v>563</v>
      </c>
      <c r="N1" s="17" t="s">
        <v>564</v>
      </c>
      <c r="O1" s="14" t="s">
        <v>565</v>
      </c>
      <c r="P1" s="14" t="s">
        <v>566</v>
      </c>
      <c r="Q1" s="15" t="s">
        <v>567</v>
      </c>
      <c r="R1" s="17" t="s">
        <v>568</v>
      </c>
      <c r="S1" s="15" t="s">
        <v>569</v>
      </c>
      <c r="T1" s="17" t="s">
        <v>570</v>
      </c>
      <c r="U1" s="15" t="s">
        <v>571</v>
      </c>
      <c r="V1" s="17" t="s">
        <v>580</v>
      </c>
      <c r="W1" s="14" t="s">
        <v>1</v>
      </c>
    </row>
    <row r="2" ht="14.4" spans="1:23">
      <c r="A2" s="16" t="s">
        <v>43</v>
      </c>
      <c r="B2" s="16" t="s">
        <v>143</v>
      </c>
      <c r="C2" s="16">
        <v>8613</v>
      </c>
      <c r="D2" s="16" t="s">
        <v>39</v>
      </c>
      <c r="E2" s="18">
        <f>_xlfn.IFNA(VLOOKUP(C:C,线上线下销售!B:D,3,0),0)</f>
        <v>3915.4358</v>
      </c>
      <c r="F2" s="18">
        <f>SUMIFS(线上订单!$E:$E,线上订单!$B:$B,美团日报!$C2,线上订单!$D:$D,"饿了么")</f>
        <v>308.00332873264</v>
      </c>
      <c r="G2" s="19">
        <f>IFERROR(F2/E2,0)</f>
        <v>0.0786638689702536</v>
      </c>
      <c r="H2" s="18">
        <f>SUMIFS(线上订单!$F:$F,线上订单!$B:$B,美团日报!$C2,线上订单!$D:$D,"饿了么")</f>
        <v>9</v>
      </c>
      <c r="I2" s="18">
        <f>SUMIFS(线上订单!$F:$F,线上订单!$B:$B,美团日报!$C2,线上订单!$D:$D,"饿了么")</f>
        <v>9</v>
      </c>
      <c r="J2" s="21">
        <f>IFERROR(F2/I2,0)</f>
        <v>34.2225920814044</v>
      </c>
      <c r="K2" s="22" t="e">
        <f>H2*L2</f>
        <v>#REF!</v>
      </c>
      <c r="L2" s="19" t="e">
        <f>SUMIFS(#REF!,#REF!,美团日报!$C2,#REF!,"饿了么")</f>
        <v>#REF!</v>
      </c>
      <c r="M2" s="23"/>
      <c r="N2" s="23"/>
      <c r="O2" s="22" t="e">
        <f>H2*(1-P2)</f>
        <v>#REF!</v>
      </c>
      <c r="P2" s="19" t="e">
        <f>SUMIFS(#REF!,#REF!,美团日报!$C2,#REF!,"饿了么")</f>
        <v>#REF!</v>
      </c>
      <c r="Q2" s="23"/>
      <c r="R2" s="23"/>
      <c r="S2" s="22" t="e">
        <f>H2*T2</f>
        <v>#REF!</v>
      </c>
      <c r="T2" s="19" t="e">
        <f>SUMIFS(#REF!,#REF!,美团日报!$C2,#REF!,"饿了么")</f>
        <v>#REF!</v>
      </c>
      <c r="U2" s="22" t="e">
        <f>H2*V2</f>
        <v>#REF!</v>
      </c>
      <c r="V2" s="19" t="e">
        <f>SUMIFS(#REF!,#REF!,美团日报!$C2,#REF!,"饿了么")</f>
        <v>#REF!</v>
      </c>
      <c r="W2" s="24" t="s">
        <v>13</v>
      </c>
    </row>
    <row r="3" ht="14.4" spans="1:23">
      <c r="A3" s="16" t="s">
        <v>48</v>
      </c>
      <c r="B3" s="16" t="s">
        <v>64</v>
      </c>
      <c r="C3" s="16">
        <v>8620</v>
      </c>
      <c r="D3" s="16" t="s">
        <v>45</v>
      </c>
      <c r="E3" s="18">
        <f>_xlfn.IFNA(VLOOKUP(C:C,线上线下销售!B:D,3,0),0)</f>
        <v>0</v>
      </c>
      <c r="F3" s="18">
        <f>SUMIFS(线上订单!$E:$E,线上订单!$B:$B,美团日报!$C3,线上订单!$D:$D,"饿了么")</f>
        <v>0</v>
      </c>
      <c r="G3" s="19">
        <f t="shared" ref="G3:G66" si="0">IFERROR(F3/E3,0)</f>
        <v>0</v>
      </c>
      <c r="H3" s="18">
        <f>SUMIFS(线上订单!$F:$F,线上订单!$B:$B,美团日报!$C3,线上订单!$D:$D,"饿了么")</f>
        <v>0</v>
      </c>
      <c r="I3" s="18">
        <f>SUMIFS(线上订单!$F:$F,线上订单!$B:$B,美团日报!$C3,线上订单!$D:$D,"饿了么")</f>
        <v>0</v>
      </c>
      <c r="J3" s="21">
        <f t="shared" ref="J3:J66" si="1">IFERROR(F3/I3,0)</f>
        <v>0</v>
      </c>
      <c r="K3" s="22" t="e">
        <f t="shared" ref="K3:K66" si="2">H3*L3</f>
        <v>#REF!</v>
      </c>
      <c r="L3" s="19" t="e">
        <f>SUMIFS(#REF!,#REF!,美团日报!$C3,#REF!,"饿了么")</f>
        <v>#REF!</v>
      </c>
      <c r="M3" s="23"/>
      <c r="N3" s="23"/>
      <c r="O3" s="22" t="e">
        <f t="shared" ref="O3:O66" si="3">H3*(1-P3)</f>
        <v>#REF!</v>
      </c>
      <c r="P3" s="19" t="e">
        <f>SUMIFS(#REF!,#REF!,美团日报!$C3,#REF!,"饿了么")</f>
        <v>#REF!</v>
      </c>
      <c r="Q3" s="23"/>
      <c r="R3" s="23"/>
      <c r="S3" s="22" t="e">
        <f t="shared" ref="S3:S66" si="4">H3*T3</f>
        <v>#REF!</v>
      </c>
      <c r="T3" s="19" t="e">
        <f>SUMIFS(#REF!,#REF!,美团日报!$C3,#REF!,"饿了么")</f>
        <v>#REF!</v>
      </c>
      <c r="U3" s="22" t="e">
        <f t="shared" ref="U3:U66" si="5">H3*V3</f>
        <v>#REF!</v>
      </c>
      <c r="V3" s="19" t="e">
        <f>SUMIFS(#REF!,#REF!,美团日报!$C3,#REF!,"饿了么")</f>
        <v>#REF!</v>
      </c>
      <c r="W3" s="24" t="s">
        <v>13</v>
      </c>
    </row>
    <row r="4" ht="14.4" spans="1:23">
      <c r="A4" s="16" t="s">
        <v>48</v>
      </c>
      <c r="B4" s="16" t="s">
        <v>49</v>
      </c>
      <c r="C4" s="16">
        <v>8608</v>
      </c>
      <c r="D4" s="16" t="s">
        <v>50</v>
      </c>
      <c r="E4" s="18">
        <f>_xlfn.IFNA(VLOOKUP(C:C,线上线下销售!B:D,3,0),0)</f>
        <v>12874.7361</v>
      </c>
      <c r="F4" s="18">
        <f>SUMIFS(线上订单!$E:$E,线上订单!$B:$B,美团日报!$C4,线上订单!$D:$D,"饿了么")</f>
        <v>1670.23918161893</v>
      </c>
      <c r="G4" s="19">
        <f t="shared" si="0"/>
        <v>0.129729974163815</v>
      </c>
      <c r="H4" s="18">
        <f>SUMIFS(线上订单!$F:$F,线上订单!$B:$B,美团日报!$C4,线上订单!$D:$D,"饿了么")</f>
        <v>48</v>
      </c>
      <c r="I4" s="18">
        <f>SUMIFS(线上订单!$F:$F,线上订单!$B:$B,美团日报!$C4,线上订单!$D:$D,"饿了么")</f>
        <v>48</v>
      </c>
      <c r="J4" s="21">
        <f t="shared" si="1"/>
        <v>34.796649617061</v>
      </c>
      <c r="K4" s="22" t="e">
        <f t="shared" si="2"/>
        <v>#REF!</v>
      </c>
      <c r="L4" s="19" t="e">
        <f>SUMIFS(#REF!,#REF!,美团日报!$C4,#REF!,"饿了么")</f>
        <v>#REF!</v>
      </c>
      <c r="M4" s="23"/>
      <c r="N4" s="23"/>
      <c r="O4" s="22" t="e">
        <f t="shared" si="3"/>
        <v>#REF!</v>
      </c>
      <c r="P4" s="19" t="e">
        <f>SUMIFS(#REF!,#REF!,美团日报!$C4,#REF!,"饿了么")</f>
        <v>#REF!</v>
      </c>
      <c r="Q4" s="23"/>
      <c r="R4" s="23"/>
      <c r="S4" s="22" t="e">
        <f t="shared" si="4"/>
        <v>#REF!</v>
      </c>
      <c r="T4" s="19" t="e">
        <f>SUMIFS(#REF!,#REF!,美团日报!$C4,#REF!,"饿了么")</f>
        <v>#REF!</v>
      </c>
      <c r="U4" s="22" t="e">
        <f t="shared" si="5"/>
        <v>#REF!</v>
      </c>
      <c r="V4" s="19" t="e">
        <f>SUMIFS(#REF!,#REF!,美团日报!$C4,#REF!,"饿了么")</f>
        <v>#REF!</v>
      </c>
      <c r="W4" s="24" t="s">
        <v>13</v>
      </c>
    </row>
    <row r="5" ht="14.4" spans="1:23">
      <c r="A5" s="16" t="s">
        <v>56</v>
      </c>
      <c r="B5" s="16" t="s">
        <v>52</v>
      </c>
      <c r="C5" s="16">
        <v>8600</v>
      </c>
      <c r="D5" s="16" t="s">
        <v>53</v>
      </c>
      <c r="E5" s="18">
        <f>_xlfn.IFNA(VLOOKUP(C:C,线上线下销售!B:D,3,0),0)</f>
        <v>11494.6114</v>
      </c>
      <c r="F5" s="18">
        <f>SUMIFS(线上订单!$E:$E,线上订单!$B:$B,美团日报!$C5,线上订单!$D:$D,"饿了么")</f>
        <v>356.2389380531</v>
      </c>
      <c r="G5" s="19">
        <f t="shared" si="0"/>
        <v>0.0309918209199399</v>
      </c>
      <c r="H5" s="18">
        <f>SUMIFS(线上订单!$F:$F,线上订单!$B:$B,美团日报!$C5,线上订单!$D:$D,"饿了么")</f>
        <v>11</v>
      </c>
      <c r="I5" s="18">
        <f>SUMIFS(线上订单!$F:$F,线上订单!$B:$B,美团日报!$C5,线上订单!$D:$D,"饿了么")</f>
        <v>11</v>
      </c>
      <c r="J5" s="21">
        <f t="shared" si="1"/>
        <v>32.3853580048273</v>
      </c>
      <c r="K5" s="22" t="e">
        <f t="shared" si="2"/>
        <v>#REF!</v>
      </c>
      <c r="L5" s="19" t="e">
        <f>SUMIFS(#REF!,#REF!,美团日报!$C5,#REF!,"饿了么")</f>
        <v>#REF!</v>
      </c>
      <c r="M5" s="23"/>
      <c r="N5" s="23"/>
      <c r="O5" s="22" t="e">
        <f t="shared" si="3"/>
        <v>#REF!</v>
      </c>
      <c r="P5" s="19" t="e">
        <f>SUMIFS(#REF!,#REF!,美团日报!$C5,#REF!,"饿了么")</f>
        <v>#REF!</v>
      </c>
      <c r="Q5" s="23"/>
      <c r="R5" s="23"/>
      <c r="S5" s="22" t="e">
        <f t="shared" si="4"/>
        <v>#REF!</v>
      </c>
      <c r="T5" s="19" t="e">
        <f>SUMIFS(#REF!,#REF!,美团日报!$C5,#REF!,"饿了么")</f>
        <v>#REF!</v>
      </c>
      <c r="U5" s="22" t="e">
        <f t="shared" si="5"/>
        <v>#REF!</v>
      </c>
      <c r="V5" s="19" t="e">
        <f>SUMIFS(#REF!,#REF!,美团日报!$C5,#REF!,"饿了么")</f>
        <v>#REF!</v>
      </c>
      <c r="W5" s="24" t="s">
        <v>13</v>
      </c>
    </row>
    <row r="6" ht="14.4" spans="1:23">
      <c r="A6" s="16" t="s">
        <v>56</v>
      </c>
      <c r="B6" s="16" t="s">
        <v>57</v>
      </c>
      <c r="C6" s="16">
        <v>8615</v>
      </c>
      <c r="D6" s="16" t="s">
        <v>58</v>
      </c>
      <c r="E6" s="18">
        <f>_xlfn.IFNA(VLOOKUP(C:C,线上线下销售!B:D,3,0),0)</f>
        <v>6964.3807</v>
      </c>
      <c r="F6" s="18">
        <f>SUMIFS(线上订单!$E:$E,线上订单!$B:$B,美团日报!$C6,线上订单!$D:$D,"饿了么")</f>
        <v>485.63416416337</v>
      </c>
      <c r="G6" s="19">
        <f t="shared" si="0"/>
        <v>0.0697311340494884</v>
      </c>
      <c r="H6" s="18">
        <f>SUMIFS(线上订单!$F:$F,线上订单!$B:$B,美团日报!$C6,线上订单!$D:$D,"饿了么")</f>
        <v>12</v>
      </c>
      <c r="I6" s="18">
        <f>SUMIFS(线上订单!$F:$F,线上订单!$B:$B,美团日报!$C6,线上订单!$D:$D,"饿了么")</f>
        <v>12</v>
      </c>
      <c r="J6" s="21">
        <f t="shared" si="1"/>
        <v>40.4695136802808</v>
      </c>
      <c r="K6" s="22" t="e">
        <f t="shared" si="2"/>
        <v>#REF!</v>
      </c>
      <c r="L6" s="19" t="e">
        <f>SUMIFS(#REF!,#REF!,美团日报!$C6,#REF!,"饿了么")</f>
        <v>#REF!</v>
      </c>
      <c r="M6" s="23"/>
      <c r="N6" s="23"/>
      <c r="O6" s="22" t="e">
        <f t="shared" si="3"/>
        <v>#REF!</v>
      </c>
      <c r="P6" s="19" t="e">
        <f>SUMIFS(#REF!,#REF!,美团日报!$C6,#REF!,"饿了么")</f>
        <v>#REF!</v>
      </c>
      <c r="Q6" s="23"/>
      <c r="R6" s="23"/>
      <c r="S6" s="22" t="e">
        <f t="shared" si="4"/>
        <v>#REF!</v>
      </c>
      <c r="T6" s="19" t="e">
        <f>SUMIFS(#REF!,#REF!,美团日报!$C6,#REF!,"饿了么")</f>
        <v>#REF!</v>
      </c>
      <c r="U6" s="22" t="e">
        <f t="shared" si="5"/>
        <v>#REF!</v>
      </c>
      <c r="V6" s="19" t="e">
        <f>SUMIFS(#REF!,#REF!,美团日报!$C6,#REF!,"饿了么")</f>
        <v>#REF!</v>
      </c>
      <c r="W6" s="24" t="s">
        <v>13</v>
      </c>
    </row>
    <row r="7" ht="14.4" spans="1:23">
      <c r="A7" s="16" t="s">
        <v>63</v>
      </c>
      <c r="B7" s="16" t="s">
        <v>60</v>
      </c>
      <c r="C7" s="16">
        <v>8603</v>
      </c>
      <c r="D7" s="16" t="s">
        <v>61</v>
      </c>
      <c r="E7" s="18">
        <f>_xlfn.IFNA(VLOOKUP(C:C,线上线下销售!B:D,3,0),0)</f>
        <v>9352.1572</v>
      </c>
      <c r="F7" s="18">
        <f>SUMIFS(线上订单!$E:$E,线上订单!$B:$B,美团日报!$C7,线上订单!$D:$D,"饿了么")</f>
        <v>931.18251197537</v>
      </c>
      <c r="G7" s="19">
        <f t="shared" si="0"/>
        <v>0.0995687403517308</v>
      </c>
      <c r="H7" s="18">
        <f>SUMIFS(线上订单!$F:$F,线上订单!$B:$B,美团日报!$C7,线上订单!$D:$D,"饿了么")</f>
        <v>22</v>
      </c>
      <c r="I7" s="18">
        <f>SUMIFS(线上订单!$F:$F,线上订单!$B:$B,美团日报!$C7,线上订单!$D:$D,"饿了么")</f>
        <v>22</v>
      </c>
      <c r="J7" s="21">
        <f t="shared" si="1"/>
        <v>42.3264778170623</v>
      </c>
      <c r="K7" s="22" t="e">
        <f t="shared" si="2"/>
        <v>#REF!</v>
      </c>
      <c r="L7" s="19" t="e">
        <f>SUMIFS(#REF!,#REF!,美团日报!$C7,#REF!,"饿了么")</f>
        <v>#REF!</v>
      </c>
      <c r="M7" s="23"/>
      <c r="N7" s="23"/>
      <c r="O7" s="22" t="e">
        <f t="shared" si="3"/>
        <v>#REF!</v>
      </c>
      <c r="P7" s="19" t="e">
        <f>SUMIFS(#REF!,#REF!,美团日报!$C7,#REF!,"饿了么")</f>
        <v>#REF!</v>
      </c>
      <c r="Q7" s="23"/>
      <c r="R7" s="23"/>
      <c r="S7" s="22" t="e">
        <f t="shared" si="4"/>
        <v>#REF!</v>
      </c>
      <c r="T7" s="19" t="e">
        <f>SUMIFS(#REF!,#REF!,美团日报!$C7,#REF!,"饿了么")</f>
        <v>#REF!</v>
      </c>
      <c r="U7" s="22" t="e">
        <f t="shared" si="5"/>
        <v>#REF!</v>
      </c>
      <c r="V7" s="19" t="e">
        <f>SUMIFS(#REF!,#REF!,美团日报!$C7,#REF!,"饿了么")</f>
        <v>#REF!</v>
      </c>
      <c r="W7" s="24" t="s">
        <v>13</v>
      </c>
    </row>
    <row r="8" ht="14.4" spans="1:23">
      <c r="A8" s="16" t="s">
        <v>48</v>
      </c>
      <c r="B8" s="16" t="s">
        <v>111</v>
      </c>
      <c r="C8" s="16">
        <v>8604</v>
      </c>
      <c r="D8" s="16" t="s">
        <v>65</v>
      </c>
      <c r="E8" s="18">
        <f>_xlfn.IFNA(VLOOKUP(C:C,线上线下销售!B:D,3,0),0)</f>
        <v>7815.4465</v>
      </c>
      <c r="F8" s="18">
        <f>SUMIFS(线上订单!$E:$E,线上订单!$B:$B,美团日报!$C8,线上订单!$D:$D,"饿了么")</f>
        <v>666.40391329052</v>
      </c>
      <c r="G8" s="19">
        <f t="shared" si="0"/>
        <v>0.0852675420771571</v>
      </c>
      <c r="H8" s="18">
        <f>SUMIFS(线上订单!$F:$F,线上订单!$B:$B,美团日报!$C8,线上订单!$D:$D,"饿了么")</f>
        <v>20</v>
      </c>
      <c r="I8" s="18">
        <f>SUMIFS(线上订单!$F:$F,线上订单!$B:$B,美团日报!$C8,线上订单!$D:$D,"饿了么")</f>
        <v>20</v>
      </c>
      <c r="J8" s="21">
        <f t="shared" si="1"/>
        <v>33.320195664526</v>
      </c>
      <c r="K8" s="22" t="e">
        <f t="shared" si="2"/>
        <v>#REF!</v>
      </c>
      <c r="L8" s="19" t="e">
        <f>SUMIFS(#REF!,#REF!,美团日报!$C8,#REF!,"饿了么")</f>
        <v>#REF!</v>
      </c>
      <c r="M8" s="23"/>
      <c r="N8" s="23"/>
      <c r="O8" s="22" t="e">
        <f t="shared" si="3"/>
        <v>#REF!</v>
      </c>
      <c r="P8" s="19" t="e">
        <f>SUMIFS(#REF!,#REF!,美团日报!$C8,#REF!,"饿了么")</f>
        <v>#REF!</v>
      </c>
      <c r="Q8" s="23"/>
      <c r="R8" s="23"/>
      <c r="S8" s="22" t="e">
        <f t="shared" si="4"/>
        <v>#REF!</v>
      </c>
      <c r="T8" s="19" t="e">
        <f>SUMIFS(#REF!,#REF!,美团日报!$C8,#REF!,"饿了么")</f>
        <v>#REF!</v>
      </c>
      <c r="U8" s="22" t="e">
        <f t="shared" si="5"/>
        <v>#REF!</v>
      </c>
      <c r="V8" s="19" t="e">
        <f>SUMIFS(#REF!,#REF!,美团日报!$C8,#REF!,"饿了么")</f>
        <v>#REF!</v>
      </c>
      <c r="W8" s="24" t="s">
        <v>13</v>
      </c>
    </row>
    <row r="9" ht="14.4" spans="1:23">
      <c r="A9" s="16" t="s">
        <v>43</v>
      </c>
      <c r="B9" s="16" t="s">
        <v>301</v>
      </c>
      <c r="C9" s="16">
        <v>8606</v>
      </c>
      <c r="D9" s="16" t="s">
        <v>68</v>
      </c>
      <c r="E9" s="18">
        <f>_xlfn.IFNA(VLOOKUP(C:C,线上线下销售!B:D,3,0),0)</f>
        <v>10089.4799</v>
      </c>
      <c r="F9" s="18">
        <f>SUMIFS(线上订单!$E:$E,线上订单!$B:$B,美团日报!$C9,线上订单!$D:$D,"饿了么")</f>
        <v>666.95274823415</v>
      </c>
      <c r="G9" s="19">
        <f t="shared" si="0"/>
        <v>0.0661037788711141</v>
      </c>
      <c r="H9" s="18">
        <f>SUMIFS(线上订单!$F:$F,线上订单!$B:$B,美团日报!$C9,线上订单!$D:$D,"饿了么")</f>
        <v>16</v>
      </c>
      <c r="I9" s="18">
        <f>SUMIFS(线上订单!$F:$F,线上订单!$B:$B,美团日报!$C9,线上订单!$D:$D,"饿了么")</f>
        <v>16</v>
      </c>
      <c r="J9" s="21">
        <f t="shared" si="1"/>
        <v>41.6845467646344</v>
      </c>
      <c r="K9" s="22" t="e">
        <f t="shared" si="2"/>
        <v>#REF!</v>
      </c>
      <c r="L9" s="19" t="e">
        <f>SUMIFS(#REF!,#REF!,美团日报!$C9,#REF!,"饿了么")</f>
        <v>#REF!</v>
      </c>
      <c r="M9" s="23"/>
      <c r="N9" s="23"/>
      <c r="O9" s="22" t="e">
        <f t="shared" si="3"/>
        <v>#REF!</v>
      </c>
      <c r="P9" s="19" t="e">
        <f>SUMIFS(#REF!,#REF!,美团日报!$C9,#REF!,"饿了么")</f>
        <v>#REF!</v>
      </c>
      <c r="Q9" s="23"/>
      <c r="R9" s="23"/>
      <c r="S9" s="22" t="e">
        <f t="shared" si="4"/>
        <v>#REF!</v>
      </c>
      <c r="T9" s="19" t="e">
        <f>SUMIFS(#REF!,#REF!,美团日报!$C9,#REF!,"饿了么")</f>
        <v>#REF!</v>
      </c>
      <c r="U9" s="22" t="e">
        <f t="shared" si="5"/>
        <v>#REF!</v>
      </c>
      <c r="V9" s="19" t="e">
        <f>SUMIFS(#REF!,#REF!,美团日报!$C9,#REF!,"饿了么")</f>
        <v>#REF!</v>
      </c>
      <c r="W9" s="24" t="s">
        <v>13</v>
      </c>
    </row>
    <row r="10" ht="14.4" spans="1:23">
      <c r="A10" s="16" t="s">
        <v>56</v>
      </c>
      <c r="B10" s="16" t="s">
        <v>70</v>
      </c>
      <c r="C10" s="16">
        <v>8617</v>
      </c>
      <c r="D10" s="16" t="s">
        <v>71</v>
      </c>
      <c r="E10" s="18">
        <f>_xlfn.IFNA(VLOOKUP(C:C,线上线下销售!B:D,3,0),0)</f>
        <v>7394.9216</v>
      </c>
      <c r="F10" s="18">
        <f>SUMIFS(线上订单!$E:$E,线上订单!$B:$B,美团日报!$C10,线上订单!$D:$D,"饿了么")</f>
        <v>171.41592920352</v>
      </c>
      <c r="G10" s="19">
        <f t="shared" si="0"/>
        <v>0.0231802226548987</v>
      </c>
      <c r="H10" s="18">
        <f>SUMIFS(线上订单!$F:$F,线上订单!$B:$B,美团日报!$C10,线上订单!$D:$D,"饿了么")</f>
        <v>5</v>
      </c>
      <c r="I10" s="18">
        <f>SUMIFS(线上订单!$F:$F,线上订单!$B:$B,美团日报!$C10,线上订单!$D:$D,"饿了么")</f>
        <v>5</v>
      </c>
      <c r="J10" s="21">
        <f t="shared" si="1"/>
        <v>34.283185840704</v>
      </c>
      <c r="K10" s="22" t="e">
        <f t="shared" si="2"/>
        <v>#REF!</v>
      </c>
      <c r="L10" s="19" t="e">
        <f>SUMIFS(#REF!,#REF!,美团日报!$C10,#REF!,"饿了么")</f>
        <v>#REF!</v>
      </c>
      <c r="M10" s="23"/>
      <c r="N10" s="23"/>
      <c r="O10" s="22" t="e">
        <f t="shared" si="3"/>
        <v>#REF!</v>
      </c>
      <c r="P10" s="19" t="e">
        <f>SUMIFS(#REF!,#REF!,美团日报!$C10,#REF!,"饿了么")</f>
        <v>#REF!</v>
      </c>
      <c r="Q10" s="23"/>
      <c r="R10" s="23"/>
      <c r="S10" s="22" t="e">
        <f t="shared" si="4"/>
        <v>#REF!</v>
      </c>
      <c r="T10" s="19" t="e">
        <f>SUMIFS(#REF!,#REF!,美团日报!$C10,#REF!,"饿了么")</f>
        <v>#REF!</v>
      </c>
      <c r="U10" s="22" t="e">
        <f t="shared" si="5"/>
        <v>#REF!</v>
      </c>
      <c r="V10" s="19" t="e">
        <f>SUMIFS(#REF!,#REF!,美团日报!$C10,#REF!,"饿了么")</f>
        <v>#REF!</v>
      </c>
      <c r="W10" s="24" t="s">
        <v>13</v>
      </c>
    </row>
    <row r="11" ht="14.4" spans="1:23">
      <c r="A11" s="16" t="s">
        <v>56</v>
      </c>
      <c r="B11" s="16" t="s">
        <v>573</v>
      </c>
      <c r="C11" s="16">
        <v>8628</v>
      </c>
      <c r="D11" s="16" t="s">
        <v>74</v>
      </c>
      <c r="E11" s="18">
        <f>_xlfn.IFNA(VLOOKUP(C:C,线上线下销售!B:D,3,0),0)</f>
        <v>11368.4489</v>
      </c>
      <c r="F11" s="18">
        <f>SUMIFS(线上订单!$E:$E,线上订单!$B:$B,美团日报!$C11,线上订单!$D:$D,"饿了么")</f>
        <v>1204.92960948273</v>
      </c>
      <c r="G11" s="19">
        <f t="shared" si="0"/>
        <v>0.105988918988124</v>
      </c>
      <c r="H11" s="18">
        <f>SUMIFS(线上订单!$F:$F,线上订单!$B:$B,美团日报!$C11,线上订单!$D:$D,"饿了么")</f>
        <v>35</v>
      </c>
      <c r="I11" s="18">
        <f>SUMIFS(线上订单!$F:$F,线上订单!$B:$B,美团日报!$C11,线上订单!$D:$D,"饿了么")</f>
        <v>35</v>
      </c>
      <c r="J11" s="21">
        <f t="shared" si="1"/>
        <v>34.4265602709351</v>
      </c>
      <c r="K11" s="22" t="e">
        <f t="shared" si="2"/>
        <v>#REF!</v>
      </c>
      <c r="L11" s="19" t="e">
        <f>SUMIFS(#REF!,#REF!,美团日报!$C11,#REF!,"饿了么")</f>
        <v>#REF!</v>
      </c>
      <c r="M11" s="23"/>
      <c r="N11" s="23"/>
      <c r="O11" s="22" t="e">
        <f t="shared" si="3"/>
        <v>#REF!</v>
      </c>
      <c r="P11" s="19" t="e">
        <f>SUMIFS(#REF!,#REF!,美团日报!$C11,#REF!,"饿了么")</f>
        <v>#REF!</v>
      </c>
      <c r="Q11" s="23"/>
      <c r="R11" s="23"/>
      <c r="S11" s="22" t="e">
        <f t="shared" si="4"/>
        <v>#REF!</v>
      </c>
      <c r="T11" s="19" t="e">
        <f>SUMIFS(#REF!,#REF!,美团日报!$C11,#REF!,"饿了么")</f>
        <v>#REF!</v>
      </c>
      <c r="U11" s="22" t="e">
        <f t="shared" si="5"/>
        <v>#REF!</v>
      </c>
      <c r="V11" s="19" t="e">
        <f>SUMIFS(#REF!,#REF!,美团日报!$C11,#REF!,"饿了么")</f>
        <v>#REF!</v>
      </c>
      <c r="W11" s="24" t="s">
        <v>13</v>
      </c>
    </row>
    <row r="12" ht="14.4" spans="1:23">
      <c r="A12" s="16" t="s">
        <v>56</v>
      </c>
      <c r="B12" s="16" t="s">
        <v>118</v>
      </c>
      <c r="C12" s="16">
        <v>8609</v>
      </c>
      <c r="D12" s="16" t="s">
        <v>77</v>
      </c>
      <c r="E12" s="18">
        <f>_xlfn.IFNA(VLOOKUP(C:C,线上线下销售!B:D,3,0),0)</f>
        <v>5644.3092</v>
      </c>
      <c r="F12" s="18">
        <f>SUMIFS(线上订单!$E:$E,线上订单!$B:$B,美团日报!$C12,线上订单!$D:$D,"饿了么")</f>
        <v>352.7528618982</v>
      </c>
      <c r="G12" s="19">
        <f t="shared" si="0"/>
        <v>0.0624970832388488</v>
      </c>
      <c r="H12" s="18">
        <f>SUMIFS(线上订单!$F:$F,线上订单!$B:$B,美团日报!$C12,线上订单!$D:$D,"饿了么")</f>
        <v>11</v>
      </c>
      <c r="I12" s="18">
        <f>SUMIFS(线上订单!$F:$F,线上订单!$B:$B,美团日报!$C12,线上订单!$D:$D,"饿了么")</f>
        <v>11</v>
      </c>
      <c r="J12" s="21">
        <f t="shared" si="1"/>
        <v>32.0684419907455</v>
      </c>
      <c r="K12" s="22" t="e">
        <f t="shared" si="2"/>
        <v>#REF!</v>
      </c>
      <c r="L12" s="19" t="e">
        <f>SUMIFS(#REF!,#REF!,美团日报!$C12,#REF!,"饿了么")</f>
        <v>#REF!</v>
      </c>
      <c r="M12" s="23"/>
      <c r="N12" s="23"/>
      <c r="O12" s="22" t="e">
        <f t="shared" si="3"/>
        <v>#REF!</v>
      </c>
      <c r="P12" s="19" t="e">
        <f>SUMIFS(#REF!,#REF!,美团日报!$C12,#REF!,"饿了么")</f>
        <v>#REF!</v>
      </c>
      <c r="Q12" s="23"/>
      <c r="R12" s="23"/>
      <c r="S12" s="22" t="e">
        <f t="shared" si="4"/>
        <v>#REF!</v>
      </c>
      <c r="T12" s="19" t="e">
        <f>SUMIFS(#REF!,#REF!,美团日报!$C12,#REF!,"饿了么")</f>
        <v>#REF!</v>
      </c>
      <c r="U12" s="22" t="e">
        <f t="shared" si="5"/>
        <v>#REF!</v>
      </c>
      <c r="V12" s="19" t="e">
        <f>SUMIFS(#REF!,#REF!,美团日报!$C12,#REF!,"饿了么")</f>
        <v>#REF!</v>
      </c>
      <c r="W12" s="24" t="s">
        <v>13</v>
      </c>
    </row>
    <row r="13" ht="14.4" spans="1:23">
      <c r="A13" s="16" t="s">
        <v>48</v>
      </c>
      <c r="B13" s="16" t="s">
        <v>49</v>
      </c>
      <c r="C13" s="16">
        <v>8621</v>
      </c>
      <c r="D13" s="16" t="s">
        <v>79</v>
      </c>
      <c r="E13" s="18">
        <f>_xlfn.IFNA(VLOOKUP(C:C,线上线下销售!B:D,3,0),0)</f>
        <v>5489.37</v>
      </c>
      <c r="F13" s="18">
        <f>SUMIFS(线上订单!$E:$E,线上订单!$B:$B,美团日报!$C13,线上订单!$D:$D,"饿了么")</f>
        <v>646.20786717541</v>
      </c>
      <c r="G13" s="19">
        <f t="shared" si="0"/>
        <v>0.117719859870151</v>
      </c>
      <c r="H13" s="18">
        <f>SUMIFS(线上订单!$F:$F,线上订单!$B:$B,美团日报!$C13,线上订单!$D:$D,"饿了么")</f>
        <v>22</v>
      </c>
      <c r="I13" s="18">
        <f>SUMIFS(线上订单!$F:$F,线上订单!$B:$B,美团日报!$C13,线上订单!$D:$D,"饿了么")</f>
        <v>22</v>
      </c>
      <c r="J13" s="21">
        <f t="shared" si="1"/>
        <v>29.3730848716095</v>
      </c>
      <c r="K13" s="22" t="e">
        <f t="shared" si="2"/>
        <v>#REF!</v>
      </c>
      <c r="L13" s="19" t="e">
        <f>SUMIFS(#REF!,#REF!,美团日报!$C13,#REF!,"饿了么")</f>
        <v>#REF!</v>
      </c>
      <c r="M13" s="23"/>
      <c r="N13" s="23"/>
      <c r="O13" s="22" t="e">
        <f t="shared" si="3"/>
        <v>#REF!</v>
      </c>
      <c r="P13" s="19" t="e">
        <f>SUMIFS(#REF!,#REF!,美团日报!$C13,#REF!,"饿了么")</f>
        <v>#REF!</v>
      </c>
      <c r="Q13" s="23"/>
      <c r="R13" s="23"/>
      <c r="S13" s="22" t="e">
        <f t="shared" si="4"/>
        <v>#REF!</v>
      </c>
      <c r="T13" s="19" t="e">
        <f>SUMIFS(#REF!,#REF!,美团日报!$C13,#REF!,"饿了么")</f>
        <v>#REF!</v>
      </c>
      <c r="U13" s="22" t="e">
        <f t="shared" si="5"/>
        <v>#REF!</v>
      </c>
      <c r="V13" s="19" t="e">
        <f>SUMIFS(#REF!,#REF!,美团日报!$C13,#REF!,"饿了么")</f>
        <v>#REF!</v>
      </c>
      <c r="W13" s="24" t="s">
        <v>13</v>
      </c>
    </row>
    <row r="14" ht="14.4" spans="1:23">
      <c r="A14" s="16" t="s">
        <v>43</v>
      </c>
      <c r="B14" s="16" t="s">
        <v>131</v>
      </c>
      <c r="C14" s="16">
        <v>8634</v>
      </c>
      <c r="D14" s="16" t="s">
        <v>81</v>
      </c>
      <c r="E14" s="18">
        <f>_xlfn.IFNA(VLOOKUP(C:C,线上线下销售!B:D,3,0),0)</f>
        <v>11827.5082</v>
      </c>
      <c r="F14" s="18">
        <f>SUMIFS(线上订单!$E:$E,线上订单!$B:$B,美团日报!$C14,线上订单!$D:$D,"饿了么")</f>
        <v>574.93407485589</v>
      </c>
      <c r="G14" s="19">
        <f t="shared" si="0"/>
        <v>0.0486099071024859</v>
      </c>
      <c r="H14" s="18">
        <f>SUMIFS(线上订单!$F:$F,线上订单!$B:$B,美团日报!$C14,线上订单!$D:$D,"饿了么")</f>
        <v>9</v>
      </c>
      <c r="I14" s="18">
        <f>SUMIFS(线上订单!$F:$F,线上订单!$B:$B,美团日报!$C14,线上订单!$D:$D,"饿了么")</f>
        <v>9</v>
      </c>
      <c r="J14" s="21">
        <f t="shared" si="1"/>
        <v>63.8815638728767</v>
      </c>
      <c r="K14" s="22" t="e">
        <f t="shared" si="2"/>
        <v>#REF!</v>
      </c>
      <c r="L14" s="19" t="e">
        <f>SUMIFS(#REF!,#REF!,美团日报!$C14,#REF!,"饿了么")</f>
        <v>#REF!</v>
      </c>
      <c r="M14" s="23"/>
      <c r="N14" s="23"/>
      <c r="O14" s="22" t="e">
        <f t="shared" si="3"/>
        <v>#REF!</v>
      </c>
      <c r="P14" s="19" t="e">
        <f>SUMIFS(#REF!,#REF!,美团日报!$C14,#REF!,"饿了么")</f>
        <v>#REF!</v>
      </c>
      <c r="Q14" s="23"/>
      <c r="R14" s="23"/>
      <c r="S14" s="22" t="e">
        <f t="shared" si="4"/>
        <v>#REF!</v>
      </c>
      <c r="T14" s="19" t="e">
        <f>SUMIFS(#REF!,#REF!,美团日报!$C14,#REF!,"饿了么")</f>
        <v>#REF!</v>
      </c>
      <c r="U14" s="22" t="e">
        <f t="shared" si="5"/>
        <v>#REF!</v>
      </c>
      <c r="V14" s="19" t="e">
        <f>SUMIFS(#REF!,#REF!,美团日报!$C14,#REF!,"饿了么")</f>
        <v>#REF!</v>
      </c>
      <c r="W14" s="24" t="s">
        <v>13</v>
      </c>
    </row>
    <row r="15" ht="14.4" spans="1:23">
      <c r="A15" s="16" t="s">
        <v>48</v>
      </c>
      <c r="B15" s="16" t="s">
        <v>83</v>
      </c>
      <c r="C15" s="16">
        <v>8623</v>
      </c>
      <c r="D15" s="16" t="s">
        <v>84</v>
      </c>
      <c r="E15" s="18">
        <f>_xlfn.IFNA(VLOOKUP(C:C,线上线下销售!B:D,3,0),0)</f>
        <v>6866.9293</v>
      </c>
      <c r="F15" s="18">
        <f>SUMIFS(线上订单!$E:$E,线上订单!$B:$B,美团日报!$C15,线上订单!$D:$D,"饿了么")</f>
        <v>710.1061946903</v>
      </c>
      <c r="G15" s="19">
        <f t="shared" si="0"/>
        <v>0.103409568333593</v>
      </c>
      <c r="H15" s="18">
        <f>SUMIFS(线上订单!$F:$F,线上订单!$B:$B,美团日报!$C15,线上订单!$D:$D,"饿了么")</f>
        <v>14</v>
      </c>
      <c r="I15" s="18">
        <f>SUMIFS(线上订单!$F:$F,线上订单!$B:$B,美团日报!$C15,线上订单!$D:$D,"饿了么")</f>
        <v>14</v>
      </c>
      <c r="J15" s="21">
        <f t="shared" si="1"/>
        <v>50.7218710493071</v>
      </c>
      <c r="K15" s="22" t="e">
        <f t="shared" si="2"/>
        <v>#REF!</v>
      </c>
      <c r="L15" s="19" t="e">
        <f>SUMIFS(#REF!,#REF!,美团日报!$C15,#REF!,"饿了么")</f>
        <v>#REF!</v>
      </c>
      <c r="M15" s="23"/>
      <c r="N15" s="23"/>
      <c r="O15" s="22" t="e">
        <f t="shared" si="3"/>
        <v>#REF!</v>
      </c>
      <c r="P15" s="19" t="e">
        <f>SUMIFS(#REF!,#REF!,美团日报!$C15,#REF!,"饿了么")</f>
        <v>#REF!</v>
      </c>
      <c r="Q15" s="23"/>
      <c r="R15" s="23"/>
      <c r="S15" s="22" t="e">
        <f t="shared" si="4"/>
        <v>#REF!</v>
      </c>
      <c r="T15" s="19" t="e">
        <f>SUMIFS(#REF!,#REF!,美团日报!$C15,#REF!,"饿了么")</f>
        <v>#REF!</v>
      </c>
      <c r="U15" s="22" t="e">
        <f t="shared" si="5"/>
        <v>#REF!</v>
      </c>
      <c r="V15" s="19" t="e">
        <f>SUMIFS(#REF!,#REF!,美团日报!$C15,#REF!,"饿了么")</f>
        <v>#REF!</v>
      </c>
      <c r="W15" s="24" t="s">
        <v>13</v>
      </c>
    </row>
    <row r="16" ht="14.4" spans="1:23">
      <c r="A16" s="16" t="s">
        <v>63</v>
      </c>
      <c r="B16" s="16" t="s">
        <v>574</v>
      </c>
      <c r="C16" s="16">
        <v>8653</v>
      </c>
      <c r="D16" s="16" t="s">
        <v>87</v>
      </c>
      <c r="E16" s="18">
        <f>_xlfn.IFNA(VLOOKUP(C:C,线上线下销售!B:D,3,0),0)</f>
        <v>3342.9164</v>
      </c>
      <c r="F16" s="18">
        <f>SUMIFS(线上订单!$E:$E,线上订单!$B:$B,美团日报!$C16,线上订单!$D:$D,"饿了么")</f>
        <v>632.08914508403</v>
      </c>
      <c r="G16" s="19">
        <f t="shared" si="0"/>
        <v>0.189083144611104</v>
      </c>
      <c r="H16" s="18">
        <f>SUMIFS(线上订单!$F:$F,线上订单!$B:$B,美团日报!$C16,线上订单!$D:$D,"饿了么")</f>
        <v>16</v>
      </c>
      <c r="I16" s="18">
        <f>SUMIFS(线上订单!$F:$F,线上订单!$B:$B,美团日报!$C16,线上订单!$D:$D,"饿了么")</f>
        <v>16</v>
      </c>
      <c r="J16" s="21">
        <f t="shared" si="1"/>
        <v>39.5055715677519</v>
      </c>
      <c r="K16" s="22" t="e">
        <f t="shared" si="2"/>
        <v>#REF!</v>
      </c>
      <c r="L16" s="19" t="e">
        <f>SUMIFS(#REF!,#REF!,美团日报!$C16,#REF!,"饿了么")</f>
        <v>#REF!</v>
      </c>
      <c r="M16" s="23"/>
      <c r="N16" s="23"/>
      <c r="O16" s="22" t="e">
        <f t="shared" si="3"/>
        <v>#REF!</v>
      </c>
      <c r="P16" s="19" t="e">
        <f>SUMIFS(#REF!,#REF!,美团日报!$C16,#REF!,"饿了么")</f>
        <v>#REF!</v>
      </c>
      <c r="Q16" s="23"/>
      <c r="R16" s="23"/>
      <c r="S16" s="22" t="e">
        <f t="shared" si="4"/>
        <v>#REF!</v>
      </c>
      <c r="T16" s="19" t="e">
        <f>SUMIFS(#REF!,#REF!,美团日报!$C16,#REF!,"饿了么")</f>
        <v>#REF!</v>
      </c>
      <c r="U16" s="22" t="e">
        <f t="shared" si="5"/>
        <v>#REF!</v>
      </c>
      <c r="V16" s="19" t="e">
        <f>SUMIFS(#REF!,#REF!,美团日报!$C16,#REF!,"饿了么")</f>
        <v>#REF!</v>
      </c>
      <c r="W16" s="24" t="s">
        <v>13</v>
      </c>
    </row>
    <row r="17" ht="14.4" spans="1:23">
      <c r="A17" s="16" t="s">
        <v>48</v>
      </c>
      <c r="B17" s="16" t="s">
        <v>89</v>
      </c>
      <c r="C17" s="16">
        <v>8622</v>
      </c>
      <c r="D17" s="16" t="s">
        <v>90</v>
      </c>
      <c r="E17" s="18">
        <f>_xlfn.IFNA(VLOOKUP(C:C,线上线下销售!B:D,3,0),0)</f>
        <v>10514.0517</v>
      </c>
      <c r="F17" s="18">
        <f>SUMIFS(线上订单!$E:$E,线上订单!$B:$B,美团日报!$C17,线上订单!$D:$D,"饿了么")</f>
        <v>1289.76106194689</v>
      </c>
      <c r="G17" s="19">
        <f t="shared" si="0"/>
        <v>0.122670222550541</v>
      </c>
      <c r="H17" s="18">
        <f>SUMIFS(线上订单!$F:$F,线上订单!$B:$B,美团日报!$C17,线上订单!$D:$D,"饿了么")</f>
        <v>33</v>
      </c>
      <c r="I17" s="18">
        <f>SUMIFS(线上订单!$F:$F,线上订单!$B:$B,美团日报!$C17,线上订单!$D:$D,"饿了么")</f>
        <v>33</v>
      </c>
      <c r="J17" s="21">
        <f t="shared" si="1"/>
        <v>39.0836685438452</v>
      </c>
      <c r="K17" s="22" t="e">
        <f t="shared" si="2"/>
        <v>#REF!</v>
      </c>
      <c r="L17" s="19" t="e">
        <f>SUMIFS(#REF!,#REF!,美团日报!$C17,#REF!,"饿了么")</f>
        <v>#REF!</v>
      </c>
      <c r="M17" s="23"/>
      <c r="N17" s="23"/>
      <c r="O17" s="22" t="e">
        <f t="shared" si="3"/>
        <v>#REF!</v>
      </c>
      <c r="P17" s="19" t="e">
        <f>SUMIFS(#REF!,#REF!,美团日报!$C17,#REF!,"饿了么")</f>
        <v>#REF!</v>
      </c>
      <c r="Q17" s="23"/>
      <c r="R17" s="23"/>
      <c r="S17" s="22" t="e">
        <f t="shared" si="4"/>
        <v>#REF!</v>
      </c>
      <c r="T17" s="19" t="e">
        <f>SUMIFS(#REF!,#REF!,美团日报!$C17,#REF!,"饿了么")</f>
        <v>#REF!</v>
      </c>
      <c r="U17" s="22" t="e">
        <f t="shared" si="5"/>
        <v>#REF!</v>
      </c>
      <c r="V17" s="19" t="e">
        <f>SUMIFS(#REF!,#REF!,美团日报!$C17,#REF!,"饿了么")</f>
        <v>#REF!</v>
      </c>
      <c r="W17" s="24" t="s">
        <v>13</v>
      </c>
    </row>
    <row r="18" ht="14.4" spans="1:23">
      <c r="A18" s="16" t="s">
        <v>56</v>
      </c>
      <c r="B18" s="16" t="s">
        <v>118</v>
      </c>
      <c r="C18" s="16">
        <v>8614</v>
      </c>
      <c r="D18" s="16" t="s">
        <v>93</v>
      </c>
      <c r="E18" s="18">
        <f>_xlfn.IFNA(VLOOKUP(C:C,线上线下销售!B:D,3,0),0)</f>
        <v>8560.2456</v>
      </c>
      <c r="F18" s="18">
        <f>SUMIFS(线上订单!$E:$E,线上订单!$B:$B,美团日报!$C18,线上订单!$D:$D,"饿了么")</f>
        <v>153.5132743363</v>
      </c>
      <c r="G18" s="19">
        <f t="shared" si="0"/>
        <v>0.0179332791966039</v>
      </c>
      <c r="H18" s="18">
        <f>SUMIFS(线上订单!$F:$F,线上订单!$B:$B,美团日报!$C18,线上订单!$D:$D,"饿了么")</f>
        <v>3</v>
      </c>
      <c r="I18" s="18">
        <f>SUMIFS(线上订单!$F:$F,线上订单!$B:$B,美团日报!$C18,线上订单!$D:$D,"饿了么")</f>
        <v>3</v>
      </c>
      <c r="J18" s="21">
        <f t="shared" si="1"/>
        <v>51.1710914454333</v>
      </c>
      <c r="K18" s="22" t="e">
        <f t="shared" si="2"/>
        <v>#REF!</v>
      </c>
      <c r="L18" s="19" t="e">
        <f>SUMIFS(#REF!,#REF!,美团日报!$C18,#REF!,"饿了么")</f>
        <v>#REF!</v>
      </c>
      <c r="M18" s="23"/>
      <c r="N18" s="23"/>
      <c r="O18" s="22" t="e">
        <f t="shared" si="3"/>
        <v>#REF!</v>
      </c>
      <c r="P18" s="19" t="e">
        <f>SUMIFS(#REF!,#REF!,美团日报!$C18,#REF!,"饿了么")</f>
        <v>#REF!</v>
      </c>
      <c r="Q18" s="23"/>
      <c r="R18" s="23"/>
      <c r="S18" s="22" t="e">
        <f t="shared" si="4"/>
        <v>#REF!</v>
      </c>
      <c r="T18" s="19" t="e">
        <f>SUMIFS(#REF!,#REF!,美团日报!$C18,#REF!,"饿了么")</f>
        <v>#REF!</v>
      </c>
      <c r="U18" s="22" t="e">
        <f t="shared" si="5"/>
        <v>#REF!</v>
      </c>
      <c r="V18" s="19" t="e">
        <f>SUMIFS(#REF!,#REF!,美团日报!$C18,#REF!,"饿了么")</f>
        <v>#REF!</v>
      </c>
      <c r="W18" s="24" t="s">
        <v>13</v>
      </c>
    </row>
    <row r="19" ht="14.4" spans="1:23">
      <c r="A19" s="16" t="s">
        <v>48</v>
      </c>
      <c r="B19" s="16" t="s">
        <v>83</v>
      </c>
      <c r="C19" s="16">
        <v>8625</v>
      </c>
      <c r="D19" s="16" t="s">
        <v>95</v>
      </c>
      <c r="E19" s="18">
        <f>_xlfn.IFNA(VLOOKUP(C:C,线上线下销售!B:D,3,0),0)</f>
        <v>7384.6683</v>
      </c>
      <c r="F19" s="18">
        <f>SUMIFS(线上订单!$E:$E,线上订单!$B:$B,美团日报!$C19,线上订单!$D:$D,"饿了么")</f>
        <v>1663.8099050092</v>
      </c>
      <c r="G19" s="19">
        <f t="shared" si="0"/>
        <v>0.225305976845189</v>
      </c>
      <c r="H19" s="18">
        <f>SUMIFS(线上订单!$F:$F,线上订单!$B:$B,美团日报!$C19,线上订单!$D:$D,"饿了么")</f>
        <v>48</v>
      </c>
      <c r="I19" s="18">
        <f>SUMIFS(线上订单!$F:$F,线上订单!$B:$B,美团日报!$C19,线上订单!$D:$D,"饿了么")</f>
        <v>48</v>
      </c>
      <c r="J19" s="21">
        <f t="shared" si="1"/>
        <v>34.6627063543583</v>
      </c>
      <c r="K19" s="22" t="e">
        <f t="shared" si="2"/>
        <v>#REF!</v>
      </c>
      <c r="L19" s="19" t="e">
        <f>SUMIFS(#REF!,#REF!,美团日报!$C19,#REF!,"饿了么")</f>
        <v>#REF!</v>
      </c>
      <c r="M19" s="23"/>
      <c r="N19" s="23"/>
      <c r="O19" s="22" t="e">
        <f t="shared" si="3"/>
        <v>#REF!</v>
      </c>
      <c r="P19" s="19" t="e">
        <f>SUMIFS(#REF!,#REF!,美团日报!$C19,#REF!,"饿了么")</f>
        <v>#REF!</v>
      </c>
      <c r="Q19" s="23"/>
      <c r="R19" s="23"/>
      <c r="S19" s="22" t="e">
        <f t="shared" si="4"/>
        <v>#REF!</v>
      </c>
      <c r="T19" s="19" t="e">
        <f>SUMIFS(#REF!,#REF!,美团日报!$C19,#REF!,"饿了么")</f>
        <v>#REF!</v>
      </c>
      <c r="U19" s="22" t="e">
        <f t="shared" si="5"/>
        <v>#REF!</v>
      </c>
      <c r="V19" s="19" t="e">
        <f>SUMIFS(#REF!,#REF!,美团日报!$C19,#REF!,"饿了么")</f>
        <v>#REF!</v>
      </c>
      <c r="W19" s="24" t="s">
        <v>13</v>
      </c>
    </row>
    <row r="20" ht="14.4" spans="1:23">
      <c r="A20" s="16" t="s">
        <v>56</v>
      </c>
      <c r="B20" s="16" t="s">
        <v>52</v>
      </c>
      <c r="C20" s="16">
        <v>8655</v>
      </c>
      <c r="D20" s="16" t="s">
        <v>97</v>
      </c>
      <c r="E20" s="18">
        <f>_xlfn.IFNA(VLOOKUP(C:C,线上线下销售!B:D,3,0),0)</f>
        <v>10609.3829</v>
      </c>
      <c r="F20" s="18">
        <f>SUMIFS(线上订单!$E:$E,线上订单!$B:$B,美团日报!$C20,线上订单!$D:$D,"饿了么")</f>
        <v>472.69911504426</v>
      </c>
      <c r="G20" s="19">
        <f t="shared" si="0"/>
        <v>0.044554817136844</v>
      </c>
      <c r="H20" s="18">
        <f>SUMIFS(线上订单!$F:$F,线上订单!$B:$B,美团日报!$C20,线上订单!$D:$D,"饿了么")</f>
        <v>12</v>
      </c>
      <c r="I20" s="18">
        <f>SUMIFS(线上订单!$F:$F,线上订单!$B:$B,美团日报!$C20,线上订单!$D:$D,"饿了么")</f>
        <v>12</v>
      </c>
      <c r="J20" s="21">
        <f t="shared" si="1"/>
        <v>39.391592920355</v>
      </c>
      <c r="K20" s="22" t="e">
        <f t="shared" si="2"/>
        <v>#REF!</v>
      </c>
      <c r="L20" s="19" t="e">
        <f>SUMIFS(#REF!,#REF!,美团日报!$C20,#REF!,"饿了么")</f>
        <v>#REF!</v>
      </c>
      <c r="M20" s="23"/>
      <c r="N20" s="23"/>
      <c r="O20" s="22" t="e">
        <f t="shared" si="3"/>
        <v>#REF!</v>
      </c>
      <c r="P20" s="19" t="e">
        <f>SUMIFS(#REF!,#REF!,美团日报!$C20,#REF!,"饿了么")</f>
        <v>#REF!</v>
      </c>
      <c r="Q20" s="23"/>
      <c r="R20" s="23"/>
      <c r="S20" s="22" t="e">
        <f t="shared" si="4"/>
        <v>#REF!</v>
      </c>
      <c r="T20" s="19" t="e">
        <f>SUMIFS(#REF!,#REF!,美团日报!$C20,#REF!,"饿了么")</f>
        <v>#REF!</v>
      </c>
      <c r="U20" s="22" t="e">
        <f t="shared" si="5"/>
        <v>#REF!</v>
      </c>
      <c r="V20" s="19" t="e">
        <f>SUMIFS(#REF!,#REF!,美团日报!$C20,#REF!,"饿了么")</f>
        <v>#REF!</v>
      </c>
      <c r="W20" s="24" t="s">
        <v>13</v>
      </c>
    </row>
    <row r="21" ht="14.4" spans="1:23">
      <c r="A21" s="16" t="s">
        <v>63</v>
      </c>
      <c r="B21" s="16" t="s">
        <v>86</v>
      </c>
      <c r="C21" s="16">
        <v>8651</v>
      </c>
      <c r="D21" s="16" t="s">
        <v>100</v>
      </c>
      <c r="E21" s="18">
        <f>_xlfn.IFNA(VLOOKUP(C:C,线上线下销售!B:D,3,0),0)</f>
        <v>10740.3633</v>
      </c>
      <c r="F21" s="18">
        <f>SUMIFS(线上订单!$E:$E,线上订单!$B:$B,美团日报!$C21,线上订单!$D:$D,"饿了么")</f>
        <v>2039.50661687079</v>
      </c>
      <c r="G21" s="19">
        <f t="shared" si="0"/>
        <v>0.189891771805409</v>
      </c>
      <c r="H21" s="18">
        <f>SUMIFS(线上订单!$F:$F,线上订单!$B:$B,美团日报!$C21,线上订单!$D:$D,"饿了么")</f>
        <v>51</v>
      </c>
      <c r="I21" s="18">
        <f>SUMIFS(线上订单!$F:$F,线上订单!$B:$B,美团日报!$C21,线上订单!$D:$D,"饿了么")</f>
        <v>51</v>
      </c>
      <c r="J21" s="21">
        <f t="shared" si="1"/>
        <v>39.9903258209959</v>
      </c>
      <c r="K21" s="22" t="e">
        <f t="shared" si="2"/>
        <v>#REF!</v>
      </c>
      <c r="L21" s="19" t="e">
        <f>SUMIFS(#REF!,#REF!,美团日报!$C21,#REF!,"饿了么")</f>
        <v>#REF!</v>
      </c>
      <c r="M21" s="23"/>
      <c r="N21" s="23"/>
      <c r="O21" s="22" t="e">
        <f t="shared" si="3"/>
        <v>#REF!</v>
      </c>
      <c r="P21" s="19" t="e">
        <f>SUMIFS(#REF!,#REF!,美团日报!$C21,#REF!,"饿了么")</f>
        <v>#REF!</v>
      </c>
      <c r="Q21" s="23"/>
      <c r="R21" s="23"/>
      <c r="S21" s="22" t="e">
        <f t="shared" si="4"/>
        <v>#REF!</v>
      </c>
      <c r="T21" s="19" t="e">
        <f>SUMIFS(#REF!,#REF!,美团日报!$C21,#REF!,"饿了么")</f>
        <v>#REF!</v>
      </c>
      <c r="U21" s="22" t="e">
        <f t="shared" si="5"/>
        <v>#REF!</v>
      </c>
      <c r="V21" s="19" t="e">
        <f>SUMIFS(#REF!,#REF!,美团日报!$C21,#REF!,"饿了么")</f>
        <v>#REF!</v>
      </c>
      <c r="W21" s="24" t="s">
        <v>13</v>
      </c>
    </row>
    <row r="22" ht="14.4" spans="1:23">
      <c r="A22" s="16" t="s">
        <v>56</v>
      </c>
      <c r="B22" s="16" t="s">
        <v>57</v>
      </c>
      <c r="C22" s="16">
        <v>8647</v>
      </c>
      <c r="D22" s="16" t="s">
        <v>102</v>
      </c>
      <c r="E22" s="18">
        <f>_xlfn.IFNA(VLOOKUP(C:C,线上线下销售!B:D,3,0),0)</f>
        <v>5690.7758</v>
      </c>
      <c r="F22" s="18">
        <f>SUMIFS(线上订单!$E:$E,线上订单!$B:$B,美团日报!$C22,线上订单!$D:$D,"饿了么")</f>
        <v>391.9869286352</v>
      </c>
      <c r="G22" s="19">
        <f t="shared" si="0"/>
        <v>0.0688811055665205</v>
      </c>
      <c r="H22" s="18">
        <f>SUMIFS(线上订单!$F:$F,线上订单!$B:$B,美团日报!$C22,线上订单!$D:$D,"饿了么")</f>
        <v>11</v>
      </c>
      <c r="I22" s="18">
        <f>SUMIFS(线上订单!$F:$F,线上订单!$B:$B,美团日报!$C22,线上订单!$D:$D,"饿了么")</f>
        <v>11</v>
      </c>
      <c r="J22" s="21">
        <f t="shared" si="1"/>
        <v>35.6351753304727</v>
      </c>
      <c r="K22" s="22" t="e">
        <f t="shared" si="2"/>
        <v>#REF!</v>
      </c>
      <c r="L22" s="19" t="e">
        <f>SUMIFS(#REF!,#REF!,美团日报!$C22,#REF!,"饿了么")</f>
        <v>#REF!</v>
      </c>
      <c r="M22" s="23"/>
      <c r="N22" s="23"/>
      <c r="O22" s="22" t="e">
        <f t="shared" si="3"/>
        <v>#REF!</v>
      </c>
      <c r="P22" s="19" t="e">
        <f>SUMIFS(#REF!,#REF!,美团日报!$C22,#REF!,"饿了么")</f>
        <v>#REF!</v>
      </c>
      <c r="Q22" s="23"/>
      <c r="R22" s="23"/>
      <c r="S22" s="22" t="e">
        <f t="shared" si="4"/>
        <v>#REF!</v>
      </c>
      <c r="T22" s="19" t="e">
        <f>SUMIFS(#REF!,#REF!,美团日报!$C22,#REF!,"饿了么")</f>
        <v>#REF!</v>
      </c>
      <c r="U22" s="22" t="e">
        <f t="shared" si="5"/>
        <v>#REF!</v>
      </c>
      <c r="V22" s="19" t="e">
        <f>SUMIFS(#REF!,#REF!,美团日报!$C22,#REF!,"饿了么")</f>
        <v>#REF!</v>
      </c>
      <c r="W22" s="24" t="s">
        <v>13</v>
      </c>
    </row>
    <row r="23" ht="14.4" spans="1:23">
      <c r="A23" s="16" t="s">
        <v>56</v>
      </c>
      <c r="B23" s="16" t="s">
        <v>73</v>
      </c>
      <c r="C23" s="16">
        <v>8631</v>
      </c>
      <c r="D23" s="16" t="s">
        <v>104</v>
      </c>
      <c r="E23" s="18">
        <f>_xlfn.IFNA(VLOOKUP(C:C,线上线下销售!B:D,3,0),0)</f>
        <v>0</v>
      </c>
      <c r="F23" s="18">
        <f>SUMIFS(线上订单!$E:$E,线上订单!$B:$B,美团日报!$C23,线上订单!$D:$D,"饿了么")</f>
        <v>0</v>
      </c>
      <c r="G23" s="19">
        <f t="shared" si="0"/>
        <v>0</v>
      </c>
      <c r="H23" s="18">
        <f>SUMIFS(线上订单!$F:$F,线上订单!$B:$B,美团日报!$C23,线上订单!$D:$D,"饿了么")</f>
        <v>0</v>
      </c>
      <c r="I23" s="18">
        <f>SUMIFS(线上订单!$F:$F,线上订单!$B:$B,美团日报!$C23,线上订单!$D:$D,"饿了么")</f>
        <v>0</v>
      </c>
      <c r="J23" s="21">
        <f t="shared" si="1"/>
        <v>0</v>
      </c>
      <c r="K23" s="22" t="e">
        <f t="shared" si="2"/>
        <v>#REF!</v>
      </c>
      <c r="L23" s="19" t="e">
        <f>SUMIFS(#REF!,#REF!,美团日报!$C23,#REF!,"饿了么")</f>
        <v>#REF!</v>
      </c>
      <c r="M23" s="23"/>
      <c r="N23" s="23"/>
      <c r="O23" s="22" t="e">
        <f t="shared" si="3"/>
        <v>#REF!</v>
      </c>
      <c r="P23" s="19" t="e">
        <f>SUMIFS(#REF!,#REF!,美团日报!$C23,#REF!,"饿了么")</f>
        <v>#REF!</v>
      </c>
      <c r="Q23" s="23"/>
      <c r="R23" s="23"/>
      <c r="S23" s="22" t="e">
        <f t="shared" si="4"/>
        <v>#REF!</v>
      </c>
      <c r="T23" s="19" t="e">
        <f>SUMIFS(#REF!,#REF!,美团日报!$C23,#REF!,"饿了么")</f>
        <v>#REF!</v>
      </c>
      <c r="U23" s="22" t="e">
        <f t="shared" si="5"/>
        <v>#REF!</v>
      </c>
      <c r="V23" s="19" t="e">
        <f>SUMIFS(#REF!,#REF!,美团日报!$C23,#REF!,"饿了么")</f>
        <v>#REF!</v>
      </c>
      <c r="W23" s="24" t="s">
        <v>13</v>
      </c>
    </row>
    <row r="24" ht="14.4" spans="1:23">
      <c r="A24" s="16" t="s">
        <v>63</v>
      </c>
      <c r="B24" s="16" t="s">
        <v>60</v>
      </c>
      <c r="C24" s="16">
        <v>8656</v>
      </c>
      <c r="D24" s="16" t="s">
        <v>106</v>
      </c>
      <c r="E24" s="18">
        <f>_xlfn.IFNA(VLOOKUP(C:C,线上线下销售!B:D,3,0),0)</f>
        <v>5771.653</v>
      </c>
      <c r="F24" s="18">
        <f>SUMIFS(线上订单!$E:$E,线上订单!$B:$B,美团日报!$C24,线上订单!$D:$D,"饿了么")</f>
        <v>1009.19776731336</v>
      </c>
      <c r="G24" s="19">
        <f t="shared" si="0"/>
        <v>0.174854199882314</v>
      </c>
      <c r="H24" s="18">
        <f>SUMIFS(线上订单!$F:$F,线上订单!$B:$B,美团日报!$C24,线上订单!$D:$D,"饿了么")</f>
        <v>23</v>
      </c>
      <c r="I24" s="18">
        <f>SUMIFS(线上订单!$F:$F,线上订单!$B:$B,美团日报!$C24,线上订单!$D:$D,"饿了么")</f>
        <v>23</v>
      </c>
      <c r="J24" s="21">
        <f t="shared" si="1"/>
        <v>43.878163796233</v>
      </c>
      <c r="K24" s="22" t="e">
        <f t="shared" si="2"/>
        <v>#REF!</v>
      </c>
      <c r="L24" s="19" t="e">
        <f>SUMIFS(#REF!,#REF!,美团日报!$C24,#REF!,"饿了么")</f>
        <v>#REF!</v>
      </c>
      <c r="M24" s="23"/>
      <c r="N24" s="23"/>
      <c r="O24" s="22" t="e">
        <f t="shared" si="3"/>
        <v>#REF!</v>
      </c>
      <c r="P24" s="19" t="e">
        <f>SUMIFS(#REF!,#REF!,美团日报!$C24,#REF!,"饿了么")</f>
        <v>#REF!</v>
      </c>
      <c r="Q24" s="23"/>
      <c r="R24" s="23"/>
      <c r="S24" s="22" t="e">
        <f t="shared" si="4"/>
        <v>#REF!</v>
      </c>
      <c r="T24" s="19" t="e">
        <f>SUMIFS(#REF!,#REF!,美团日报!$C24,#REF!,"饿了么")</f>
        <v>#REF!</v>
      </c>
      <c r="U24" s="22" t="e">
        <f t="shared" si="5"/>
        <v>#REF!</v>
      </c>
      <c r="V24" s="19" t="e">
        <f>SUMIFS(#REF!,#REF!,美团日报!$C24,#REF!,"饿了么")</f>
        <v>#REF!</v>
      </c>
      <c r="W24" s="24" t="s">
        <v>13</v>
      </c>
    </row>
    <row r="25" ht="14.4" spans="1:23">
      <c r="A25" s="16" t="s">
        <v>63</v>
      </c>
      <c r="B25" s="16" t="s">
        <v>99</v>
      </c>
      <c r="C25" s="16">
        <v>8645</v>
      </c>
      <c r="D25" s="16" t="s">
        <v>109</v>
      </c>
      <c r="E25" s="18">
        <f>_xlfn.IFNA(VLOOKUP(C:C,线上线下销售!B:D,3,0),0)</f>
        <v>3778.4918</v>
      </c>
      <c r="F25" s="18">
        <f>SUMIFS(线上订单!$E:$E,线上订单!$B:$B,美团日报!$C25,线上订单!$D:$D,"饿了么")</f>
        <v>660.53148493944</v>
      </c>
      <c r="G25" s="19">
        <f t="shared" si="0"/>
        <v>0.174813528757543</v>
      </c>
      <c r="H25" s="18">
        <f>SUMIFS(线上订单!$F:$F,线上订单!$B:$B,美团日报!$C25,线上订单!$D:$D,"饿了么")</f>
        <v>21</v>
      </c>
      <c r="I25" s="18">
        <f>SUMIFS(线上订单!$F:$F,线上订单!$B:$B,美团日报!$C25,线上订单!$D:$D,"饿了么")</f>
        <v>21</v>
      </c>
      <c r="J25" s="21">
        <f t="shared" si="1"/>
        <v>31.4538802352114</v>
      </c>
      <c r="K25" s="22" t="e">
        <f t="shared" si="2"/>
        <v>#REF!</v>
      </c>
      <c r="L25" s="19" t="e">
        <f>SUMIFS(#REF!,#REF!,美团日报!$C25,#REF!,"饿了么")</f>
        <v>#REF!</v>
      </c>
      <c r="M25" s="23"/>
      <c r="N25" s="23"/>
      <c r="O25" s="22" t="e">
        <f t="shared" si="3"/>
        <v>#REF!</v>
      </c>
      <c r="P25" s="19" t="e">
        <f>SUMIFS(#REF!,#REF!,美团日报!$C25,#REF!,"饿了么")</f>
        <v>#REF!</v>
      </c>
      <c r="Q25" s="23"/>
      <c r="R25" s="23"/>
      <c r="S25" s="22" t="e">
        <f t="shared" si="4"/>
        <v>#REF!</v>
      </c>
      <c r="T25" s="19" t="e">
        <f>SUMIFS(#REF!,#REF!,美团日报!$C25,#REF!,"饿了么")</f>
        <v>#REF!</v>
      </c>
      <c r="U25" s="22" t="e">
        <f t="shared" si="5"/>
        <v>#REF!</v>
      </c>
      <c r="V25" s="19" t="e">
        <f>SUMIFS(#REF!,#REF!,美团日报!$C25,#REF!,"饿了么")</f>
        <v>#REF!</v>
      </c>
      <c r="W25" s="24" t="s">
        <v>13</v>
      </c>
    </row>
    <row r="26" ht="14.4" spans="1:23">
      <c r="A26" s="16" t="s">
        <v>48</v>
      </c>
      <c r="B26" s="16" t="s">
        <v>111</v>
      </c>
      <c r="C26" s="16">
        <v>8607</v>
      </c>
      <c r="D26" s="16" t="s">
        <v>112</v>
      </c>
      <c r="E26" s="18">
        <f>_xlfn.IFNA(VLOOKUP(C:C,线上线下销售!B:D,3,0),0)</f>
        <v>8816.8897</v>
      </c>
      <c r="F26" s="18">
        <f>SUMIFS(线上订单!$E:$E,线上订单!$B:$B,美团日报!$C26,线上订单!$D:$D,"饿了么")</f>
        <v>1610.12797759192</v>
      </c>
      <c r="G26" s="19">
        <f t="shared" si="0"/>
        <v>0.182618591405529</v>
      </c>
      <c r="H26" s="18">
        <f>SUMIFS(线上订单!$F:$F,线上订单!$B:$B,美团日报!$C26,线上订单!$D:$D,"饿了么")</f>
        <v>47</v>
      </c>
      <c r="I26" s="18">
        <f>SUMIFS(线上订单!$F:$F,线上订单!$B:$B,美团日报!$C26,线上订单!$D:$D,"饿了么")</f>
        <v>47</v>
      </c>
      <c r="J26" s="21">
        <f t="shared" si="1"/>
        <v>34.2580420764238</v>
      </c>
      <c r="K26" s="22" t="e">
        <f t="shared" si="2"/>
        <v>#REF!</v>
      </c>
      <c r="L26" s="19" t="e">
        <f>SUMIFS(#REF!,#REF!,美团日报!$C26,#REF!,"饿了么")</f>
        <v>#REF!</v>
      </c>
      <c r="M26" s="23"/>
      <c r="N26" s="23"/>
      <c r="O26" s="22" t="e">
        <f t="shared" si="3"/>
        <v>#REF!</v>
      </c>
      <c r="P26" s="19" t="e">
        <f>SUMIFS(#REF!,#REF!,美团日报!$C26,#REF!,"饿了么")</f>
        <v>#REF!</v>
      </c>
      <c r="Q26" s="23"/>
      <c r="R26" s="23"/>
      <c r="S26" s="22" t="e">
        <f t="shared" si="4"/>
        <v>#REF!</v>
      </c>
      <c r="T26" s="19" t="e">
        <f>SUMIFS(#REF!,#REF!,美团日报!$C26,#REF!,"饿了么")</f>
        <v>#REF!</v>
      </c>
      <c r="U26" s="22" t="e">
        <f t="shared" si="5"/>
        <v>#REF!</v>
      </c>
      <c r="V26" s="19" t="e">
        <f>SUMIFS(#REF!,#REF!,美团日报!$C26,#REF!,"饿了么")</f>
        <v>#REF!</v>
      </c>
      <c r="W26" s="24" t="s">
        <v>13</v>
      </c>
    </row>
    <row r="27" ht="14.4" spans="1:23">
      <c r="A27" s="16" t="s">
        <v>48</v>
      </c>
      <c r="B27" s="16" t="s">
        <v>111</v>
      </c>
      <c r="C27" s="16">
        <v>8658</v>
      </c>
      <c r="D27" s="16" t="s">
        <v>114</v>
      </c>
      <c r="E27" s="18">
        <f>_xlfn.IFNA(VLOOKUP(C:C,线上线下销售!B:D,3,0),0)</f>
        <v>8410.1373</v>
      </c>
      <c r="F27" s="18">
        <f>SUMIFS(线上订单!$E:$E,线上订单!$B:$B,美团日报!$C27,线上订单!$D:$D,"饿了么")</f>
        <v>854.02760412439</v>
      </c>
      <c r="G27" s="19">
        <f t="shared" si="0"/>
        <v>0.101547403289645</v>
      </c>
      <c r="H27" s="18">
        <f>SUMIFS(线上订单!$F:$F,线上订单!$B:$B,美团日报!$C27,线上订单!$D:$D,"饿了么")</f>
        <v>15</v>
      </c>
      <c r="I27" s="18">
        <f>SUMIFS(线上订单!$F:$F,线上订单!$B:$B,美团日报!$C27,线上订单!$D:$D,"饿了么")</f>
        <v>15</v>
      </c>
      <c r="J27" s="21">
        <f t="shared" si="1"/>
        <v>56.9351736082927</v>
      </c>
      <c r="K27" s="22" t="e">
        <f t="shared" si="2"/>
        <v>#REF!</v>
      </c>
      <c r="L27" s="19" t="e">
        <f>SUMIFS(#REF!,#REF!,美团日报!$C27,#REF!,"饿了么")</f>
        <v>#REF!</v>
      </c>
      <c r="M27" s="23"/>
      <c r="N27" s="23"/>
      <c r="O27" s="22" t="e">
        <f t="shared" si="3"/>
        <v>#REF!</v>
      </c>
      <c r="P27" s="19" t="e">
        <f>SUMIFS(#REF!,#REF!,美团日报!$C27,#REF!,"饿了么")</f>
        <v>#REF!</v>
      </c>
      <c r="Q27" s="23"/>
      <c r="R27" s="23"/>
      <c r="S27" s="22" t="e">
        <f t="shared" si="4"/>
        <v>#REF!</v>
      </c>
      <c r="T27" s="19" t="e">
        <f>SUMIFS(#REF!,#REF!,美团日报!$C27,#REF!,"饿了么")</f>
        <v>#REF!</v>
      </c>
      <c r="U27" s="22" t="e">
        <f t="shared" si="5"/>
        <v>#REF!</v>
      </c>
      <c r="V27" s="19" t="e">
        <f>SUMIFS(#REF!,#REF!,美团日报!$C27,#REF!,"饿了么")</f>
        <v>#REF!</v>
      </c>
      <c r="W27" s="24" t="s">
        <v>13</v>
      </c>
    </row>
    <row r="28" ht="14.4" spans="1:23">
      <c r="A28" s="16" t="s">
        <v>56</v>
      </c>
      <c r="B28" s="16" t="s">
        <v>70</v>
      </c>
      <c r="C28" s="16">
        <v>8637</v>
      </c>
      <c r="D28" s="16" t="s">
        <v>116</v>
      </c>
      <c r="E28" s="18">
        <f>_xlfn.IFNA(VLOOKUP(C:C,线上线下销售!B:D,3,0),0)</f>
        <v>8921.8529</v>
      </c>
      <c r="F28" s="18">
        <f>SUMIFS(线上订单!$E:$E,线上订单!$B:$B,美团日报!$C28,线上订单!$D:$D,"饿了么")</f>
        <v>870.23195583334</v>
      </c>
      <c r="G28" s="19">
        <f t="shared" si="0"/>
        <v>0.0975393750140557</v>
      </c>
      <c r="H28" s="18">
        <f>SUMIFS(线上订单!$F:$F,线上订单!$B:$B,美团日报!$C28,线上订单!$D:$D,"饿了么")</f>
        <v>21</v>
      </c>
      <c r="I28" s="18">
        <f>SUMIFS(线上订单!$F:$F,线上订单!$B:$B,美团日报!$C28,线上订单!$D:$D,"饿了么")</f>
        <v>21</v>
      </c>
      <c r="J28" s="21">
        <f t="shared" si="1"/>
        <v>41.4396169444448</v>
      </c>
      <c r="K28" s="22" t="e">
        <f t="shared" si="2"/>
        <v>#REF!</v>
      </c>
      <c r="L28" s="19" t="e">
        <f>SUMIFS(#REF!,#REF!,美团日报!$C28,#REF!,"饿了么")</f>
        <v>#REF!</v>
      </c>
      <c r="M28" s="23"/>
      <c r="N28" s="23"/>
      <c r="O28" s="22" t="e">
        <f t="shared" si="3"/>
        <v>#REF!</v>
      </c>
      <c r="P28" s="19" t="e">
        <f>SUMIFS(#REF!,#REF!,美团日报!$C28,#REF!,"饿了么")</f>
        <v>#REF!</v>
      </c>
      <c r="Q28" s="23"/>
      <c r="R28" s="23"/>
      <c r="S28" s="22" t="e">
        <f t="shared" si="4"/>
        <v>#REF!</v>
      </c>
      <c r="T28" s="19" t="e">
        <f>SUMIFS(#REF!,#REF!,美团日报!$C28,#REF!,"饿了么")</f>
        <v>#REF!</v>
      </c>
      <c r="U28" s="22" t="e">
        <f t="shared" si="5"/>
        <v>#REF!</v>
      </c>
      <c r="V28" s="19" t="e">
        <f>SUMIFS(#REF!,#REF!,美团日报!$C28,#REF!,"饿了么")</f>
        <v>#REF!</v>
      </c>
      <c r="W28" s="24" t="s">
        <v>13</v>
      </c>
    </row>
    <row r="29" ht="14.4" spans="1:23">
      <c r="A29" s="16" t="s">
        <v>56</v>
      </c>
      <c r="B29" s="16" t="s">
        <v>573</v>
      </c>
      <c r="C29" s="16">
        <v>8630</v>
      </c>
      <c r="D29" s="16" t="s">
        <v>119</v>
      </c>
      <c r="E29" s="18">
        <f>_xlfn.IFNA(VLOOKUP(C:C,线上线下销售!B:D,3,0),0)</f>
        <v>6367.5363</v>
      </c>
      <c r="F29" s="18">
        <f>SUMIFS(线上订单!$E:$E,线上订单!$B:$B,美团日报!$C29,线上订单!$D:$D,"饿了么")</f>
        <v>1163.83683526826</v>
      </c>
      <c r="G29" s="19">
        <f t="shared" si="0"/>
        <v>0.182776631405817</v>
      </c>
      <c r="H29" s="18">
        <f>SUMIFS(线上订单!$F:$F,线上订单!$B:$B,美团日报!$C29,线上订单!$D:$D,"饿了么")</f>
        <v>35</v>
      </c>
      <c r="I29" s="18">
        <f>SUMIFS(线上订单!$F:$F,线上订单!$B:$B,美团日报!$C29,线上订单!$D:$D,"饿了么")</f>
        <v>35</v>
      </c>
      <c r="J29" s="21">
        <f t="shared" si="1"/>
        <v>33.2524810076646</v>
      </c>
      <c r="K29" s="22" t="e">
        <f t="shared" si="2"/>
        <v>#REF!</v>
      </c>
      <c r="L29" s="19" t="e">
        <f>SUMIFS(#REF!,#REF!,美团日报!$C29,#REF!,"饿了么")</f>
        <v>#REF!</v>
      </c>
      <c r="M29" s="23"/>
      <c r="N29" s="23"/>
      <c r="O29" s="22" t="e">
        <f t="shared" si="3"/>
        <v>#REF!</v>
      </c>
      <c r="P29" s="19" t="e">
        <f>SUMIFS(#REF!,#REF!,美团日报!$C29,#REF!,"饿了么")</f>
        <v>#REF!</v>
      </c>
      <c r="Q29" s="23"/>
      <c r="R29" s="23"/>
      <c r="S29" s="22" t="e">
        <f t="shared" si="4"/>
        <v>#REF!</v>
      </c>
      <c r="T29" s="19" t="e">
        <f>SUMIFS(#REF!,#REF!,美团日报!$C29,#REF!,"饿了么")</f>
        <v>#REF!</v>
      </c>
      <c r="U29" s="22" t="e">
        <f t="shared" si="5"/>
        <v>#REF!</v>
      </c>
      <c r="V29" s="19" t="e">
        <f>SUMIFS(#REF!,#REF!,美团日报!$C29,#REF!,"饿了么")</f>
        <v>#REF!</v>
      </c>
      <c r="W29" s="24" t="s">
        <v>13</v>
      </c>
    </row>
    <row r="30" ht="14.4" spans="1:23">
      <c r="A30" s="16" t="s">
        <v>63</v>
      </c>
      <c r="B30" s="16" t="s">
        <v>574</v>
      </c>
      <c r="C30" s="16">
        <v>8672</v>
      </c>
      <c r="D30" s="16" t="s">
        <v>121</v>
      </c>
      <c r="E30" s="18">
        <f>_xlfn.IFNA(VLOOKUP(C:C,线上线下销售!B:D,3,0),0)</f>
        <v>0</v>
      </c>
      <c r="F30" s="18">
        <f>SUMIFS(线上订单!$E:$E,线上订单!$B:$B,美团日报!$C30,线上订单!$D:$D,"饿了么")</f>
        <v>0</v>
      </c>
      <c r="G30" s="19">
        <f t="shared" si="0"/>
        <v>0</v>
      </c>
      <c r="H30" s="18">
        <f>SUMIFS(线上订单!$F:$F,线上订单!$B:$B,美团日报!$C30,线上订单!$D:$D,"饿了么")</f>
        <v>0</v>
      </c>
      <c r="I30" s="18">
        <f>SUMIFS(线上订单!$F:$F,线上订单!$B:$B,美团日报!$C30,线上订单!$D:$D,"饿了么")</f>
        <v>0</v>
      </c>
      <c r="J30" s="21">
        <f t="shared" si="1"/>
        <v>0</v>
      </c>
      <c r="K30" s="22" t="e">
        <f t="shared" si="2"/>
        <v>#REF!</v>
      </c>
      <c r="L30" s="19" t="e">
        <f>SUMIFS(#REF!,#REF!,美团日报!$C30,#REF!,"饿了么")</f>
        <v>#REF!</v>
      </c>
      <c r="M30" s="23"/>
      <c r="N30" s="23"/>
      <c r="O30" s="22" t="e">
        <f t="shared" si="3"/>
        <v>#REF!</v>
      </c>
      <c r="P30" s="19" t="e">
        <f>SUMIFS(#REF!,#REF!,美团日报!$C30,#REF!,"饿了么")</f>
        <v>#REF!</v>
      </c>
      <c r="Q30" s="23"/>
      <c r="R30" s="23"/>
      <c r="S30" s="22" t="e">
        <f t="shared" si="4"/>
        <v>#REF!</v>
      </c>
      <c r="T30" s="19" t="e">
        <f>SUMIFS(#REF!,#REF!,美团日报!$C30,#REF!,"饿了么")</f>
        <v>#REF!</v>
      </c>
      <c r="U30" s="22" t="e">
        <f t="shared" si="5"/>
        <v>#REF!</v>
      </c>
      <c r="V30" s="19" t="e">
        <f>SUMIFS(#REF!,#REF!,美团日报!$C30,#REF!,"饿了么")</f>
        <v>#REF!</v>
      </c>
      <c r="W30" s="24" t="s">
        <v>13</v>
      </c>
    </row>
    <row r="31" ht="14.4" spans="1:23">
      <c r="A31" s="16" t="s">
        <v>63</v>
      </c>
      <c r="B31" s="16" t="s">
        <v>86</v>
      </c>
      <c r="C31" s="16">
        <v>8626</v>
      </c>
      <c r="D31" s="16" t="s">
        <v>123</v>
      </c>
      <c r="E31" s="18">
        <f>_xlfn.IFNA(VLOOKUP(C:C,线上线下销售!B:D,3,0),0)</f>
        <v>5891.4408</v>
      </c>
      <c r="F31" s="18">
        <f>SUMIFS(线上订单!$E:$E,线上订单!$B:$B,美团日报!$C31,线上订单!$D:$D,"饿了么")</f>
        <v>535.73875943811</v>
      </c>
      <c r="G31" s="19">
        <f t="shared" si="0"/>
        <v>0.0909351001945246</v>
      </c>
      <c r="H31" s="18">
        <f>SUMIFS(线上订单!$F:$F,线上订单!$B:$B,美团日报!$C31,线上订单!$D:$D,"饿了么")</f>
        <v>15</v>
      </c>
      <c r="I31" s="18">
        <f>SUMIFS(线上订单!$F:$F,线上订单!$B:$B,美团日报!$C31,线上订单!$D:$D,"饿了么")</f>
        <v>15</v>
      </c>
      <c r="J31" s="21">
        <f t="shared" si="1"/>
        <v>35.715917295874</v>
      </c>
      <c r="K31" s="22" t="e">
        <f t="shared" si="2"/>
        <v>#REF!</v>
      </c>
      <c r="L31" s="19" t="e">
        <f>SUMIFS(#REF!,#REF!,美团日报!$C31,#REF!,"饿了么")</f>
        <v>#REF!</v>
      </c>
      <c r="M31" s="23"/>
      <c r="N31" s="23"/>
      <c r="O31" s="22" t="e">
        <f t="shared" si="3"/>
        <v>#REF!</v>
      </c>
      <c r="P31" s="19" t="e">
        <f>SUMIFS(#REF!,#REF!,美团日报!$C31,#REF!,"饿了么")</f>
        <v>#REF!</v>
      </c>
      <c r="Q31" s="23"/>
      <c r="R31" s="23"/>
      <c r="S31" s="22" t="e">
        <f t="shared" si="4"/>
        <v>#REF!</v>
      </c>
      <c r="T31" s="19" t="e">
        <f>SUMIFS(#REF!,#REF!,美团日报!$C31,#REF!,"饿了么")</f>
        <v>#REF!</v>
      </c>
      <c r="U31" s="22" t="e">
        <f t="shared" si="5"/>
        <v>#REF!</v>
      </c>
      <c r="V31" s="19" t="e">
        <f>SUMIFS(#REF!,#REF!,美团日报!$C31,#REF!,"饿了么")</f>
        <v>#REF!</v>
      </c>
      <c r="W31" s="24" t="s">
        <v>13</v>
      </c>
    </row>
    <row r="32" ht="14.4" spans="1:23">
      <c r="A32" s="16" t="s">
        <v>56</v>
      </c>
      <c r="B32" s="16" t="s">
        <v>57</v>
      </c>
      <c r="C32" s="16">
        <v>8640</v>
      </c>
      <c r="D32" s="16" t="s">
        <v>125</v>
      </c>
      <c r="E32" s="18">
        <f>_xlfn.IFNA(VLOOKUP(C:C,线上线下销售!B:D,3,0),0)</f>
        <v>0</v>
      </c>
      <c r="F32" s="18">
        <f>SUMIFS(线上订单!$E:$E,线上订单!$B:$B,美团日报!$C32,线上订单!$D:$D,"饿了么")</f>
        <v>0</v>
      </c>
      <c r="G32" s="19">
        <f t="shared" si="0"/>
        <v>0</v>
      </c>
      <c r="H32" s="18">
        <f>SUMIFS(线上订单!$F:$F,线上订单!$B:$B,美团日报!$C32,线上订单!$D:$D,"饿了么")</f>
        <v>0</v>
      </c>
      <c r="I32" s="18">
        <f>SUMIFS(线上订单!$F:$F,线上订单!$B:$B,美团日报!$C32,线上订单!$D:$D,"饿了么")</f>
        <v>0</v>
      </c>
      <c r="J32" s="21">
        <f t="shared" si="1"/>
        <v>0</v>
      </c>
      <c r="K32" s="22" t="e">
        <f t="shared" si="2"/>
        <v>#REF!</v>
      </c>
      <c r="L32" s="19" t="e">
        <f>SUMIFS(#REF!,#REF!,美团日报!$C32,#REF!,"饿了么")</f>
        <v>#REF!</v>
      </c>
      <c r="M32" s="23"/>
      <c r="N32" s="23"/>
      <c r="O32" s="22" t="e">
        <f t="shared" si="3"/>
        <v>#REF!</v>
      </c>
      <c r="P32" s="19" t="e">
        <f>SUMIFS(#REF!,#REF!,美团日报!$C32,#REF!,"饿了么")</f>
        <v>#REF!</v>
      </c>
      <c r="Q32" s="23"/>
      <c r="R32" s="23"/>
      <c r="S32" s="22" t="e">
        <f t="shared" si="4"/>
        <v>#REF!</v>
      </c>
      <c r="T32" s="19" t="e">
        <f>SUMIFS(#REF!,#REF!,美团日报!$C32,#REF!,"饿了么")</f>
        <v>#REF!</v>
      </c>
      <c r="U32" s="22" t="e">
        <f t="shared" si="5"/>
        <v>#REF!</v>
      </c>
      <c r="V32" s="19" t="e">
        <f>SUMIFS(#REF!,#REF!,美团日报!$C32,#REF!,"饿了么")</f>
        <v>#REF!</v>
      </c>
      <c r="W32" s="24" t="s">
        <v>13</v>
      </c>
    </row>
    <row r="33" ht="14.4" spans="1:23">
      <c r="A33" s="16" t="s">
        <v>63</v>
      </c>
      <c r="B33" s="16" t="s">
        <v>60</v>
      </c>
      <c r="C33" s="16">
        <v>8638</v>
      </c>
      <c r="D33" s="16" t="s">
        <v>127</v>
      </c>
      <c r="E33" s="18">
        <f>_xlfn.IFNA(VLOOKUP(C:C,线上线下销售!B:D,3,0),0)</f>
        <v>7565.1295</v>
      </c>
      <c r="F33" s="18">
        <f>SUMIFS(线上订单!$E:$E,线上订单!$B:$B,美团日报!$C33,线上订单!$D:$D,"饿了么")</f>
        <v>1248.39059835975</v>
      </c>
      <c r="G33" s="19">
        <f t="shared" si="0"/>
        <v>0.165019065220199</v>
      </c>
      <c r="H33" s="18">
        <f>SUMIFS(线上订单!$F:$F,线上订单!$B:$B,美团日报!$C33,线上订单!$D:$D,"饿了么")</f>
        <v>41</v>
      </c>
      <c r="I33" s="18">
        <f>SUMIFS(线上订单!$F:$F,线上订单!$B:$B,美团日报!$C33,线上订单!$D:$D,"饿了么")</f>
        <v>41</v>
      </c>
      <c r="J33" s="21">
        <f t="shared" si="1"/>
        <v>30.4485511795061</v>
      </c>
      <c r="K33" s="22" t="e">
        <f t="shared" si="2"/>
        <v>#REF!</v>
      </c>
      <c r="L33" s="19" t="e">
        <f>SUMIFS(#REF!,#REF!,美团日报!$C33,#REF!,"饿了么")</f>
        <v>#REF!</v>
      </c>
      <c r="M33" s="23"/>
      <c r="N33" s="23"/>
      <c r="O33" s="22" t="e">
        <f t="shared" si="3"/>
        <v>#REF!</v>
      </c>
      <c r="P33" s="19" t="e">
        <f>SUMIFS(#REF!,#REF!,美团日报!$C33,#REF!,"饿了么")</f>
        <v>#REF!</v>
      </c>
      <c r="Q33" s="23"/>
      <c r="R33" s="23"/>
      <c r="S33" s="22" t="e">
        <f t="shared" si="4"/>
        <v>#REF!</v>
      </c>
      <c r="T33" s="19" t="e">
        <f>SUMIFS(#REF!,#REF!,美团日报!$C33,#REF!,"饿了么")</f>
        <v>#REF!</v>
      </c>
      <c r="U33" s="22" t="e">
        <f t="shared" si="5"/>
        <v>#REF!</v>
      </c>
      <c r="V33" s="19" t="e">
        <f>SUMIFS(#REF!,#REF!,美团日报!$C33,#REF!,"饿了么")</f>
        <v>#REF!</v>
      </c>
      <c r="W33" s="24" t="s">
        <v>13</v>
      </c>
    </row>
    <row r="34" ht="14.4" spans="1:23">
      <c r="A34" s="16" t="s">
        <v>63</v>
      </c>
      <c r="B34" s="16" t="s">
        <v>168</v>
      </c>
      <c r="C34" s="16">
        <v>8610</v>
      </c>
      <c r="D34" s="16" t="s">
        <v>129</v>
      </c>
      <c r="E34" s="18">
        <f>_xlfn.IFNA(VLOOKUP(C:C,线上线下销售!B:D,3,0),0)</f>
        <v>10042.8102</v>
      </c>
      <c r="F34" s="18">
        <f>SUMIFS(线上订单!$E:$E,线上订单!$B:$B,美团日报!$C34,线上订单!$D:$D,"饿了么")</f>
        <v>709.10481448407</v>
      </c>
      <c r="G34" s="19">
        <f t="shared" si="0"/>
        <v>0.0706082063050509</v>
      </c>
      <c r="H34" s="18">
        <f>SUMIFS(线上订单!$F:$F,线上订单!$B:$B,美团日报!$C34,线上订单!$D:$D,"饿了么")</f>
        <v>21</v>
      </c>
      <c r="I34" s="18">
        <f>SUMIFS(线上订单!$F:$F,线上订单!$B:$B,美团日报!$C34,线上订单!$D:$D,"饿了么")</f>
        <v>21</v>
      </c>
      <c r="J34" s="21">
        <f t="shared" si="1"/>
        <v>33.7668959278129</v>
      </c>
      <c r="K34" s="22" t="e">
        <f t="shared" si="2"/>
        <v>#REF!</v>
      </c>
      <c r="L34" s="19" t="e">
        <f>SUMIFS(#REF!,#REF!,美团日报!$C34,#REF!,"饿了么")</f>
        <v>#REF!</v>
      </c>
      <c r="M34" s="23"/>
      <c r="N34" s="23"/>
      <c r="O34" s="22" t="e">
        <f t="shared" si="3"/>
        <v>#REF!</v>
      </c>
      <c r="P34" s="19" t="e">
        <f>SUMIFS(#REF!,#REF!,美团日报!$C34,#REF!,"饿了么")</f>
        <v>#REF!</v>
      </c>
      <c r="Q34" s="23"/>
      <c r="R34" s="23"/>
      <c r="S34" s="22" t="e">
        <f t="shared" si="4"/>
        <v>#REF!</v>
      </c>
      <c r="T34" s="19" t="e">
        <f>SUMIFS(#REF!,#REF!,美团日报!$C34,#REF!,"饿了么")</f>
        <v>#REF!</v>
      </c>
      <c r="U34" s="22" t="e">
        <f t="shared" si="5"/>
        <v>#REF!</v>
      </c>
      <c r="V34" s="19" t="e">
        <f>SUMIFS(#REF!,#REF!,美团日报!$C34,#REF!,"饿了么")</f>
        <v>#REF!</v>
      </c>
      <c r="W34" s="24" t="s">
        <v>13</v>
      </c>
    </row>
    <row r="35" ht="14.4" spans="1:23">
      <c r="A35" s="16" t="s">
        <v>43</v>
      </c>
      <c r="B35" s="16" t="s">
        <v>38</v>
      </c>
      <c r="C35" s="16">
        <v>8633</v>
      </c>
      <c r="D35" s="16" t="s">
        <v>132</v>
      </c>
      <c r="E35" s="18">
        <f>_xlfn.IFNA(VLOOKUP(C:C,线上线下销售!B:D,3,0),0)</f>
        <v>7633.1084</v>
      </c>
      <c r="F35" s="18">
        <f>SUMIFS(线上订单!$E:$E,线上订单!$B:$B,美团日报!$C35,线上订单!$D:$D,"饿了么")</f>
        <v>1078.7079646017</v>
      </c>
      <c r="G35" s="19">
        <f t="shared" si="0"/>
        <v>0.141319618178316</v>
      </c>
      <c r="H35" s="18">
        <f>SUMIFS(线上订单!$F:$F,线上订单!$B:$B,美团日报!$C35,线上订单!$D:$D,"饿了么")</f>
        <v>31</v>
      </c>
      <c r="I35" s="18">
        <f>SUMIFS(线上订单!$F:$F,线上订单!$B:$B,美团日报!$C35,线上订单!$D:$D,"饿了么")</f>
        <v>31</v>
      </c>
      <c r="J35" s="21">
        <f t="shared" si="1"/>
        <v>34.7970311161839</v>
      </c>
      <c r="K35" s="22" t="e">
        <f t="shared" si="2"/>
        <v>#REF!</v>
      </c>
      <c r="L35" s="19" t="e">
        <f>SUMIFS(#REF!,#REF!,美团日报!$C35,#REF!,"饿了么")</f>
        <v>#REF!</v>
      </c>
      <c r="M35" s="23"/>
      <c r="N35" s="23"/>
      <c r="O35" s="22" t="e">
        <f t="shared" si="3"/>
        <v>#REF!</v>
      </c>
      <c r="P35" s="19" t="e">
        <f>SUMIFS(#REF!,#REF!,美团日报!$C35,#REF!,"饿了么")</f>
        <v>#REF!</v>
      </c>
      <c r="Q35" s="23"/>
      <c r="R35" s="23"/>
      <c r="S35" s="22" t="e">
        <f t="shared" si="4"/>
        <v>#REF!</v>
      </c>
      <c r="T35" s="19" t="e">
        <f>SUMIFS(#REF!,#REF!,美团日报!$C35,#REF!,"饿了么")</f>
        <v>#REF!</v>
      </c>
      <c r="U35" s="22" t="e">
        <f t="shared" si="5"/>
        <v>#REF!</v>
      </c>
      <c r="V35" s="19" t="e">
        <f>SUMIFS(#REF!,#REF!,美团日报!$C35,#REF!,"饿了么")</f>
        <v>#REF!</v>
      </c>
      <c r="W35" s="24" t="s">
        <v>13</v>
      </c>
    </row>
    <row r="36" ht="14.4" spans="1:23">
      <c r="A36" s="16" t="s">
        <v>56</v>
      </c>
      <c r="B36" s="16" t="s">
        <v>70</v>
      </c>
      <c r="C36" s="16">
        <v>8612</v>
      </c>
      <c r="D36" s="16" t="s">
        <v>135</v>
      </c>
      <c r="E36" s="18">
        <f>_xlfn.IFNA(VLOOKUP(C:C,线上线下销售!B:D,3,0),0)</f>
        <v>4427.5418</v>
      </c>
      <c r="F36" s="18">
        <f>SUMIFS(线上订单!$E:$E,线上订单!$B:$B,美团日报!$C36,线上订单!$D:$D,"饿了么")</f>
        <v>862.26678574322</v>
      </c>
      <c r="G36" s="19">
        <f t="shared" si="0"/>
        <v>0.194750682137709</v>
      </c>
      <c r="H36" s="18">
        <f>SUMIFS(线上订单!$F:$F,线上订单!$B:$B,美团日报!$C36,线上订单!$D:$D,"饿了么")</f>
        <v>23</v>
      </c>
      <c r="I36" s="18">
        <f>SUMIFS(线上订单!$F:$F,线上订单!$B:$B,美团日报!$C36,线上订单!$D:$D,"饿了么")</f>
        <v>23</v>
      </c>
      <c r="J36" s="21">
        <f t="shared" si="1"/>
        <v>37.4898602497052</v>
      </c>
      <c r="K36" s="22" t="e">
        <f t="shared" si="2"/>
        <v>#REF!</v>
      </c>
      <c r="L36" s="19" t="e">
        <f>SUMIFS(#REF!,#REF!,美团日报!$C36,#REF!,"饿了么")</f>
        <v>#REF!</v>
      </c>
      <c r="M36" s="23"/>
      <c r="N36" s="23"/>
      <c r="O36" s="22" t="e">
        <f t="shared" si="3"/>
        <v>#REF!</v>
      </c>
      <c r="P36" s="19" t="e">
        <f>SUMIFS(#REF!,#REF!,美团日报!$C36,#REF!,"饿了么")</f>
        <v>#REF!</v>
      </c>
      <c r="Q36" s="23"/>
      <c r="R36" s="23"/>
      <c r="S36" s="22" t="e">
        <f t="shared" si="4"/>
        <v>#REF!</v>
      </c>
      <c r="T36" s="19" t="e">
        <f>SUMIFS(#REF!,#REF!,美团日报!$C36,#REF!,"饿了么")</f>
        <v>#REF!</v>
      </c>
      <c r="U36" s="22" t="e">
        <f t="shared" si="5"/>
        <v>#REF!</v>
      </c>
      <c r="V36" s="19" t="e">
        <f>SUMIFS(#REF!,#REF!,美团日报!$C36,#REF!,"饿了么")</f>
        <v>#REF!</v>
      </c>
      <c r="W36" s="24" t="s">
        <v>13</v>
      </c>
    </row>
    <row r="37" ht="14.4" spans="1:23">
      <c r="A37" s="16" t="s">
        <v>48</v>
      </c>
      <c r="B37" s="16" t="s">
        <v>64</v>
      </c>
      <c r="C37" s="16">
        <v>8674</v>
      </c>
      <c r="D37" s="16" t="s">
        <v>137</v>
      </c>
      <c r="E37" s="18">
        <f>_xlfn.IFNA(VLOOKUP(C:C,线上线下销售!B:D,3,0),0)</f>
        <v>4618.6337</v>
      </c>
      <c r="F37" s="18">
        <f>SUMIFS(线上订单!$E:$E,线上订单!$B:$B,美团日报!$C37,线上订单!$D:$D,"饿了么")</f>
        <v>951.79434927331</v>
      </c>
      <c r="G37" s="19">
        <f t="shared" si="0"/>
        <v>0.20607703730073</v>
      </c>
      <c r="H37" s="18">
        <f>SUMIFS(线上订单!$F:$F,线上订单!$B:$B,美团日报!$C37,线上订单!$D:$D,"饿了么")</f>
        <v>26</v>
      </c>
      <c r="I37" s="18">
        <f>SUMIFS(线上订单!$F:$F,线上订单!$B:$B,美团日报!$C37,线上订单!$D:$D,"饿了么")</f>
        <v>26</v>
      </c>
      <c r="J37" s="21">
        <f t="shared" si="1"/>
        <v>36.6074749720504</v>
      </c>
      <c r="K37" s="22" t="e">
        <f t="shared" si="2"/>
        <v>#REF!</v>
      </c>
      <c r="L37" s="19" t="e">
        <f>SUMIFS(#REF!,#REF!,美团日报!$C37,#REF!,"饿了么")</f>
        <v>#REF!</v>
      </c>
      <c r="M37" s="23"/>
      <c r="N37" s="23"/>
      <c r="O37" s="22" t="e">
        <f t="shared" si="3"/>
        <v>#REF!</v>
      </c>
      <c r="P37" s="19" t="e">
        <f>SUMIFS(#REF!,#REF!,美团日报!$C37,#REF!,"饿了么")</f>
        <v>#REF!</v>
      </c>
      <c r="Q37" s="23"/>
      <c r="R37" s="23"/>
      <c r="S37" s="22" t="e">
        <f t="shared" si="4"/>
        <v>#REF!</v>
      </c>
      <c r="T37" s="19" t="e">
        <f>SUMIFS(#REF!,#REF!,美团日报!$C37,#REF!,"饿了么")</f>
        <v>#REF!</v>
      </c>
      <c r="U37" s="22" t="e">
        <f t="shared" si="5"/>
        <v>#REF!</v>
      </c>
      <c r="V37" s="19" t="e">
        <f>SUMIFS(#REF!,#REF!,美团日报!$C37,#REF!,"饿了么")</f>
        <v>#REF!</v>
      </c>
      <c r="W37" s="24" t="s">
        <v>13</v>
      </c>
    </row>
    <row r="38" ht="14.4" spans="1:23">
      <c r="A38" s="16" t="s">
        <v>48</v>
      </c>
      <c r="B38" s="16" t="s">
        <v>64</v>
      </c>
      <c r="C38" s="16">
        <v>8654</v>
      </c>
      <c r="D38" s="16" t="s">
        <v>139</v>
      </c>
      <c r="E38" s="18">
        <f>_xlfn.IFNA(VLOOKUP(C:C,线上线下销售!B:D,3,0),0)</f>
        <v>7688.6698</v>
      </c>
      <c r="F38" s="18">
        <f>SUMIFS(线上订单!$E:$E,线上订单!$B:$B,美团日报!$C38,线上订单!$D:$D,"饿了么")</f>
        <v>1298.75903223179</v>
      </c>
      <c r="G38" s="19">
        <f t="shared" si="0"/>
        <v>0.168918560169119</v>
      </c>
      <c r="H38" s="18">
        <f>SUMIFS(线上订单!$F:$F,线上订单!$B:$B,美团日报!$C38,线上订单!$D:$D,"饿了么")</f>
        <v>42</v>
      </c>
      <c r="I38" s="18">
        <f>SUMIFS(线上订单!$F:$F,线上订单!$B:$B,美团日报!$C38,线上订单!$D:$D,"饿了么")</f>
        <v>42</v>
      </c>
      <c r="J38" s="21">
        <f t="shared" si="1"/>
        <v>30.9228341007569</v>
      </c>
      <c r="K38" s="22" t="e">
        <f t="shared" si="2"/>
        <v>#REF!</v>
      </c>
      <c r="L38" s="19" t="e">
        <f>SUMIFS(#REF!,#REF!,美团日报!$C38,#REF!,"饿了么")</f>
        <v>#REF!</v>
      </c>
      <c r="M38" s="23"/>
      <c r="N38" s="23"/>
      <c r="O38" s="22" t="e">
        <f t="shared" si="3"/>
        <v>#REF!</v>
      </c>
      <c r="P38" s="19" t="e">
        <f>SUMIFS(#REF!,#REF!,美团日报!$C38,#REF!,"饿了么")</f>
        <v>#REF!</v>
      </c>
      <c r="Q38" s="23"/>
      <c r="R38" s="23"/>
      <c r="S38" s="22" t="e">
        <f t="shared" si="4"/>
        <v>#REF!</v>
      </c>
      <c r="T38" s="19" t="e">
        <f>SUMIFS(#REF!,#REF!,美团日报!$C38,#REF!,"饿了么")</f>
        <v>#REF!</v>
      </c>
      <c r="U38" s="22" t="e">
        <f t="shared" si="5"/>
        <v>#REF!</v>
      </c>
      <c r="V38" s="19" t="e">
        <f>SUMIFS(#REF!,#REF!,美团日报!$C38,#REF!,"饿了么")</f>
        <v>#REF!</v>
      </c>
      <c r="W38" s="24" t="s">
        <v>13</v>
      </c>
    </row>
    <row r="39" ht="14.4" spans="1:23">
      <c r="A39" s="16" t="s">
        <v>63</v>
      </c>
      <c r="B39" s="16" t="s">
        <v>99</v>
      </c>
      <c r="C39" s="16">
        <v>8601</v>
      </c>
      <c r="D39" s="16" t="s">
        <v>141</v>
      </c>
      <c r="E39" s="18">
        <f>_xlfn.IFNA(VLOOKUP(C:C,线上线下销售!B:D,3,0),0)</f>
        <v>4284.3379</v>
      </c>
      <c r="F39" s="18">
        <f>SUMIFS(线上订单!$E:$E,线上订单!$B:$B,美团日报!$C39,线上订单!$D:$D,"饿了么")</f>
        <v>374.0340992125</v>
      </c>
      <c r="G39" s="19">
        <f t="shared" si="0"/>
        <v>0.0873026609811752</v>
      </c>
      <c r="H39" s="18">
        <f>SUMIFS(线上订单!$F:$F,线上订单!$B:$B,美团日报!$C39,线上订单!$D:$D,"饿了么")</f>
        <v>9</v>
      </c>
      <c r="I39" s="18">
        <f>SUMIFS(线上订单!$F:$F,线上订单!$B:$B,美团日报!$C39,线上订单!$D:$D,"饿了么")</f>
        <v>9</v>
      </c>
      <c r="J39" s="21">
        <f t="shared" si="1"/>
        <v>41.5593443569444</v>
      </c>
      <c r="K39" s="22" t="e">
        <f t="shared" si="2"/>
        <v>#REF!</v>
      </c>
      <c r="L39" s="19" t="e">
        <f>SUMIFS(#REF!,#REF!,美团日报!$C39,#REF!,"饿了么")</f>
        <v>#REF!</v>
      </c>
      <c r="M39" s="23"/>
      <c r="N39" s="23"/>
      <c r="O39" s="22" t="e">
        <f t="shared" si="3"/>
        <v>#REF!</v>
      </c>
      <c r="P39" s="19" t="e">
        <f>SUMIFS(#REF!,#REF!,美团日报!$C39,#REF!,"饿了么")</f>
        <v>#REF!</v>
      </c>
      <c r="Q39" s="23"/>
      <c r="R39" s="23"/>
      <c r="S39" s="22" t="e">
        <f t="shared" si="4"/>
        <v>#REF!</v>
      </c>
      <c r="T39" s="19" t="e">
        <f>SUMIFS(#REF!,#REF!,美团日报!$C39,#REF!,"饿了么")</f>
        <v>#REF!</v>
      </c>
      <c r="U39" s="22" t="e">
        <f t="shared" si="5"/>
        <v>#REF!</v>
      </c>
      <c r="V39" s="19" t="e">
        <f>SUMIFS(#REF!,#REF!,美团日报!$C39,#REF!,"饿了么")</f>
        <v>#REF!</v>
      </c>
      <c r="W39" s="24" t="s">
        <v>13</v>
      </c>
    </row>
    <row r="40" ht="14.4" spans="1:23">
      <c r="A40" s="16" t="s">
        <v>43</v>
      </c>
      <c r="B40" s="16" t="s">
        <v>131</v>
      </c>
      <c r="C40" s="16">
        <v>8629</v>
      </c>
      <c r="D40" s="16" t="s">
        <v>144</v>
      </c>
      <c r="E40" s="18">
        <f>_xlfn.IFNA(VLOOKUP(C:C,线上线下销售!B:D,3,0),0)</f>
        <v>17782.2976</v>
      </c>
      <c r="F40" s="18">
        <f>SUMIFS(线上订单!$E:$E,线上订单!$B:$B,美团日报!$C40,线上订单!$D:$D,"饿了么")</f>
        <v>470.82869205164</v>
      </c>
      <c r="G40" s="19">
        <f t="shared" si="0"/>
        <v>0.0264773823182242</v>
      </c>
      <c r="H40" s="18">
        <f>SUMIFS(线上订单!$F:$F,线上订单!$B:$B,美团日报!$C40,线上订单!$D:$D,"饿了么")</f>
        <v>12</v>
      </c>
      <c r="I40" s="18">
        <f>SUMIFS(线上订单!$F:$F,线上订单!$B:$B,美团日报!$C40,线上订单!$D:$D,"饿了么")</f>
        <v>12</v>
      </c>
      <c r="J40" s="21">
        <f t="shared" si="1"/>
        <v>39.2357243376367</v>
      </c>
      <c r="K40" s="22" t="e">
        <f t="shared" si="2"/>
        <v>#REF!</v>
      </c>
      <c r="L40" s="19" t="e">
        <f>SUMIFS(#REF!,#REF!,美团日报!$C40,#REF!,"饿了么")</f>
        <v>#REF!</v>
      </c>
      <c r="M40" s="23"/>
      <c r="N40" s="23"/>
      <c r="O40" s="22" t="e">
        <f t="shared" si="3"/>
        <v>#REF!</v>
      </c>
      <c r="P40" s="19" t="e">
        <f>SUMIFS(#REF!,#REF!,美团日报!$C40,#REF!,"饿了么")</f>
        <v>#REF!</v>
      </c>
      <c r="Q40" s="23"/>
      <c r="R40" s="23"/>
      <c r="S40" s="22" t="e">
        <f t="shared" si="4"/>
        <v>#REF!</v>
      </c>
      <c r="T40" s="19" t="e">
        <f>SUMIFS(#REF!,#REF!,美团日报!$C40,#REF!,"饿了么")</f>
        <v>#REF!</v>
      </c>
      <c r="U40" s="22" t="e">
        <f t="shared" si="5"/>
        <v>#REF!</v>
      </c>
      <c r="V40" s="19" t="e">
        <f>SUMIFS(#REF!,#REF!,美团日报!$C40,#REF!,"饿了么")</f>
        <v>#REF!</v>
      </c>
      <c r="W40" s="24" t="s">
        <v>13</v>
      </c>
    </row>
    <row r="41" ht="14.4" spans="1:23">
      <c r="A41" s="16" t="s">
        <v>63</v>
      </c>
      <c r="B41" s="16" t="s">
        <v>574</v>
      </c>
      <c r="C41" s="16">
        <v>8676</v>
      </c>
      <c r="D41" s="16" t="s">
        <v>146</v>
      </c>
      <c r="E41" s="18">
        <f>_xlfn.IFNA(VLOOKUP(C:C,线上线下销售!B:D,3,0),0)</f>
        <v>0</v>
      </c>
      <c r="F41" s="18">
        <f>SUMIFS(线上订单!$E:$E,线上订单!$B:$B,美团日报!$C41,线上订单!$D:$D,"饿了么")</f>
        <v>0</v>
      </c>
      <c r="G41" s="19">
        <f t="shared" si="0"/>
        <v>0</v>
      </c>
      <c r="H41" s="18">
        <f>SUMIFS(线上订单!$F:$F,线上订单!$B:$B,美团日报!$C41,线上订单!$D:$D,"饿了么")</f>
        <v>0</v>
      </c>
      <c r="I41" s="18">
        <f>SUMIFS(线上订单!$F:$F,线上订单!$B:$B,美团日报!$C41,线上订单!$D:$D,"饿了么")</f>
        <v>0</v>
      </c>
      <c r="J41" s="21">
        <f t="shared" si="1"/>
        <v>0</v>
      </c>
      <c r="K41" s="22" t="e">
        <f t="shared" si="2"/>
        <v>#REF!</v>
      </c>
      <c r="L41" s="19" t="e">
        <f>SUMIFS(#REF!,#REF!,美团日报!$C41,#REF!,"饿了么")</f>
        <v>#REF!</v>
      </c>
      <c r="M41" s="23"/>
      <c r="N41" s="23"/>
      <c r="O41" s="22" t="e">
        <f t="shared" si="3"/>
        <v>#REF!</v>
      </c>
      <c r="P41" s="19" t="e">
        <f>SUMIFS(#REF!,#REF!,美团日报!$C41,#REF!,"饿了么")</f>
        <v>#REF!</v>
      </c>
      <c r="Q41" s="23"/>
      <c r="R41" s="23"/>
      <c r="S41" s="22" t="e">
        <f t="shared" si="4"/>
        <v>#REF!</v>
      </c>
      <c r="T41" s="19" t="e">
        <f>SUMIFS(#REF!,#REF!,美团日报!$C41,#REF!,"饿了么")</f>
        <v>#REF!</v>
      </c>
      <c r="U41" s="22" t="e">
        <f t="shared" si="5"/>
        <v>#REF!</v>
      </c>
      <c r="V41" s="19" t="e">
        <f>SUMIFS(#REF!,#REF!,美团日报!$C41,#REF!,"饿了么")</f>
        <v>#REF!</v>
      </c>
      <c r="W41" s="24" t="s">
        <v>13</v>
      </c>
    </row>
    <row r="42" ht="14.4" spans="1:23">
      <c r="A42" s="16" t="s">
        <v>63</v>
      </c>
      <c r="B42" s="16" t="s">
        <v>86</v>
      </c>
      <c r="C42" s="16">
        <v>8602</v>
      </c>
      <c r="D42" s="16" t="s">
        <v>148</v>
      </c>
      <c r="E42" s="18">
        <f>_xlfn.IFNA(VLOOKUP(C:C,线上线下销售!B:D,3,0),0)</f>
        <v>7365.873</v>
      </c>
      <c r="F42" s="18">
        <f>SUMIFS(线上订单!$E:$E,线上订单!$B:$B,美团日报!$C42,线上订单!$D:$D,"饿了么")</f>
        <v>1224.94998782164</v>
      </c>
      <c r="G42" s="19">
        <f t="shared" si="0"/>
        <v>0.166300720609986</v>
      </c>
      <c r="H42" s="18">
        <f>SUMIFS(线上订单!$F:$F,线上订单!$B:$B,美团日报!$C42,线上订单!$D:$D,"饿了么")</f>
        <v>37</v>
      </c>
      <c r="I42" s="18">
        <f>SUMIFS(线上订单!$F:$F,线上订单!$B:$B,美团日报!$C42,线上订单!$D:$D,"饿了么")</f>
        <v>37</v>
      </c>
      <c r="J42" s="21">
        <f t="shared" si="1"/>
        <v>33.1067564276119</v>
      </c>
      <c r="K42" s="22" t="e">
        <f t="shared" si="2"/>
        <v>#REF!</v>
      </c>
      <c r="L42" s="19" t="e">
        <f>SUMIFS(#REF!,#REF!,美团日报!$C42,#REF!,"饿了么")</f>
        <v>#REF!</v>
      </c>
      <c r="M42" s="23"/>
      <c r="N42" s="23"/>
      <c r="O42" s="22" t="e">
        <f t="shared" si="3"/>
        <v>#REF!</v>
      </c>
      <c r="P42" s="19" t="e">
        <f>SUMIFS(#REF!,#REF!,美团日报!$C42,#REF!,"饿了么")</f>
        <v>#REF!</v>
      </c>
      <c r="Q42" s="23"/>
      <c r="R42" s="23"/>
      <c r="S42" s="22" t="e">
        <f t="shared" si="4"/>
        <v>#REF!</v>
      </c>
      <c r="T42" s="19" t="e">
        <f>SUMIFS(#REF!,#REF!,美团日报!$C42,#REF!,"饿了么")</f>
        <v>#REF!</v>
      </c>
      <c r="U42" s="22" t="e">
        <f t="shared" si="5"/>
        <v>#REF!</v>
      </c>
      <c r="V42" s="19" t="e">
        <f>SUMIFS(#REF!,#REF!,美团日报!$C42,#REF!,"饿了么")</f>
        <v>#REF!</v>
      </c>
      <c r="W42" s="24" t="s">
        <v>13</v>
      </c>
    </row>
    <row r="43" ht="14.4" spans="1:23">
      <c r="A43" s="16" t="s">
        <v>56</v>
      </c>
      <c r="B43" s="16" t="s">
        <v>573</v>
      </c>
      <c r="C43" s="16">
        <v>8661</v>
      </c>
      <c r="D43" s="16" t="s">
        <v>150</v>
      </c>
      <c r="E43" s="18">
        <f>_xlfn.IFNA(VLOOKUP(C:C,线上线下销售!B:D,3,0),0)</f>
        <v>10607.3592</v>
      </c>
      <c r="F43" s="18">
        <f>SUMIFS(线上订单!$E:$E,线上订单!$B:$B,美团日报!$C43,线上订单!$D:$D,"饿了么")</f>
        <v>2269.81821872189</v>
      </c>
      <c r="G43" s="19">
        <f t="shared" si="0"/>
        <v>0.213985231943676</v>
      </c>
      <c r="H43" s="18">
        <f>SUMIFS(线上订单!$F:$F,线上订单!$B:$B,美团日报!$C43,线上订单!$D:$D,"饿了么")</f>
        <v>64</v>
      </c>
      <c r="I43" s="18">
        <f>SUMIFS(线上订单!$F:$F,线上订单!$B:$B,美团日报!$C43,线上订单!$D:$D,"饿了么")</f>
        <v>64</v>
      </c>
      <c r="J43" s="21">
        <f t="shared" si="1"/>
        <v>35.4659096675295</v>
      </c>
      <c r="K43" s="22" t="e">
        <f t="shared" si="2"/>
        <v>#REF!</v>
      </c>
      <c r="L43" s="19" t="e">
        <f>SUMIFS(#REF!,#REF!,美团日报!$C43,#REF!,"饿了么")</f>
        <v>#REF!</v>
      </c>
      <c r="M43" s="23"/>
      <c r="N43" s="23"/>
      <c r="O43" s="22" t="e">
        <f t="shared" si="3"/>
        <v>#REF!</v>
      </c>
      <c r="P43" s="19" t="e">
        <f>SUMIFS(#REF!,#REF!,美团日报!$C43,#REF!,"饿了么")</f>
        <v>#REF!</v>
      </c>
      <c r="Q43" s="23"/>
      <c r="R43" s="23"/>
      <c r="S43" s="22" t="e">
        <f t="shared" si="4"/>
        <v>#REF!</v>
      </c>
      <c r="T43" s="19" t="e">
        <f>SUMIFS(#REF!,#REF!,美团日报!$C43,#REF!,"饿了么")</f>
        <v>#REF!</v>
      </c>
      <c r="U43" s="22" t="e">
        <f t="shared" si="5"/>
        <v>#REF!</v>
      </c>
      <c r="V43" s="19" t="e">
        <f>SUMIFS(#REF!,#REF!,美团日报!$C43,#REF!,"饿了么")</f>
        <v>#REF!</v>
      </c>
      <c r="W43" s="24" t="s">
        <v>13</v>
      </c>
    </row>
    <row r="44" ht="14.4" spans="1:23">
      <c r="A44" s="16" t="s">
        <v>63</v>
      </c>
      <c r="B44" s="16" t="s">
        <v>86</v>
      </c>
      <c r="C44" s="16">
        <v>8665</v>
      </c>
      <c r="D44" s="16" t="s">
        <v>153</v>
      </c>
      <c r="E44" s="18">
        <f>_xlfn.IFNA(VLOOKUP(C:C,线上线下销售!B:D,3,0),0)</f>
        <v>6267.4401</v>
      </c>
      <c r="F44" s="18">
        <f>SUMIFS(线上订单!$E:$E,线上订单!$B:$B,美团日报!$C44,线上订单!$D:$D,"饿了么")</f>
        <v>982.58407079638</v>
      </c>
      <c r="G44" s="19">
        <f t="shared" si="0"/>
        <v>0.156775981121284</v>
      </c>
      <c r="H44" s="18">
        <f>SUMIFS(线上订单!$F:$F,线上订单!$B:$B,美团日报!$C44,线上订单!$D:$D,"饿了么")</f>
        <v>31</v>
      </c>
      <c r="I44" s="18">
        <f>SUMIFS(线上订单!$F:$F,线上订单!$B:$B,美团日报!$C44,线上订单!$D:$D,"饿了么")</f>
        <v>31</v>
      </c>
      <c r="J44" s="21">
        <f t="shared" si="1"/>
        <v>31.6962603482703</v>
      </c>
      <c r="K44" s="22" t="e">
        <f t="shared" si="2"/>
        <v>#REF!</v>
      </c>
      <c r="L44" s="19" t="e">
        <f>SUMIFS(#REF!,#REF!,美团日报!$C44,#REF!,"饿了么")</f>
        <v>#REF!</v>
      </c>
      <c r="M44" s="23"/>
      <c r="N44" s="23"/>
      <c r="O44" s="22" t="e">
        <f t="shared" si="3"/>
        <v>#REF!</v>
      </c>
      <c r="P44" s="19" t="e">
        <f>SUMIFS(#REF!,#REF!,美团日报!$C44,#REF!,"饿了么")</f>
        <v>#REF!</v>
      </c>
      <c r="Q44" s="23"/>
      <c r="R44" s="23"/>
      <c r="S44" s="22" t="e">
        <f t="shared" si="4"/>
        <v>#REF!</v>
      </c>
      <c r="T44" s="19" t="e">
        <f>SUMIFS(#REF!,#REF!,美团日报!$C44,#REF!,"饿了么")</f>
        <v>#REF!</v>
      </c>
      <c r="U44" s="22" t="e">
        <f t="shared" si="5"/>
        <v>#REF!</v>
      </c>
      <c r="V44" s="19" t="e">
        <f>SUMIFS(#REF!,#REF!,美团日报!$C44,#REF!,"饿了么")</f>
        <v>#REF!</v>
      </c>
      <c r="W44" s="24" t="s">
        <v>13</v>
      </c>
    </row>
    <row r="45" ht="14.4" spans="1:23">
      <c r="A45" s="16" t="s">
        <v>63</v>
      </c>
      <c r="B45" s="16" t="s">
        <v>99</v>
      </c>
      <c r="C45" s="16">
        <v>8642</v>
      </c>
      <c r="D45" s="16" t="s">
        <v>155</v>
      </c>
      <c r="E45" s="18">
        <f>_xlfn.IFNA(VLOOKUP(C:C,线上线下销售!B:D,3,0),0)</f>
        <v>7054.7823</v>
      </c>
      <c r="F45" s="18">
        <f>SUMIFS(线上订单!$E:$E,线上订单!$B:$B,美团日报!$C45,线上订单!$D:$D,"饿了么")</f>
        <v>204.49557522124</v>
      </c>
      <c r="G45" s="19">
        <f t="shared" si="0"/>
        <v>0.0289868016510219</v>
      </c>
      <c r="H45" s="18">
        <f>SUMIFS(线上订单!$F:$F,线上订单!$B:$B,美团日报!$C45,线上订单!$D:$D,"饿了么")</f>
        <v>6</v>
      </c>
      <c r="I45" s="18">
        <f>SUMIFS(线上订单!$F:$F,线上订单!$B:$B,美团日报!$C45,线上订单!$D:$D,"饿了么")</f>
        <v>6</v>
      </c>
      <c r="J45" s="21">
        <f t="shared" si="1"/>
        <v>34.0825958702067</v>
      </c>
      <c r="K45" s="22" t="e">
        <f t="shared" si="2"/>
        <v>#REF!</v>
      </c>
      <c r="L45" s="19" t="e">
        <f>SUMIFS(#REF!,#REF!,美团日报!$C45,#REF!,"饿了么")</f>
        <v>#REF!</v>
      </c>
      <c r="M45" s="23"/>
      <c r="N45" s="23"/>
      <c r="O45" s="22" t="e">
        <f t="shared" si="3"/>
        <v>#REF!</v>
      </c>
      <c r="P45" s="19" t="e">
        <f>SUMIFS(#REF!,#REF!,美团日报!$C45,#REF!,"饿了么")</f>
        <v>#REF!</v>
      </c>
      <c r="Q45" s="23"/>
      <c r="R45" s="23"/>
      <c r="S45" s="22" t="e">
        <f t="shared" si="4"/>
        <v>#REF!</v>
      </c>
      <c r="T45" s="19" t="e">
        <f>SUMIFS(#REF!,#REF!,美团日报!$C45,#REF!,"饿了么")</f>
        <v>#REF!</v>
      </c>
      <c r="U45" s="22" t="e">
        <f t="shared" si="5"/>
        <v>#REF!</v>
      </c>
      <c r="V45" s="19" t="e">
        <f>SUMIFS(#REF!,#REF!,美团日报!$C45,#REF!,"饿了么")</f>
        <v>#REF!</v>
      </c>
      <c r="W45" s="24" t="s">
        <v>13</v>
      </c>
    </row>
    <row r="46" ht="14.4" spans="1:23">
      <c r="A46" s="16" t="s">
        <v>56</v>
      </c>
      <c r="B46" s="16" t="s">
        <v>70</v>
      </c>
      <c r="C46" s="16">
        <v>8644</v>
      </c>
      <c r="D46" s="16" t="s">
        <v>157</v>
      </c>
      <c r="E46" s="18">
        <f>_xlfn.IFNA(VLOOKUP(C:C,线上线下销售!B:D,3,0),0)</f>
        <v>5018.9736</v>
      </c>
      <c r="F46" s="18">
        <f>SUMIFS(线上订单!$E:$E,线上订单!$B:$B,美团日报!$C46,线上订单!$D:$D,"饿了么")</f>
        <v>453.52212389381</v>
      </c>
      <c r="G46" s="19">
        <f t="shared" si="0"/>
        <v>0.0903615280809228</v>
      </c>
      <c r="H46" s="18">
        <f>SUMIFS(线上订单!$F:$F,线上订单!$B:$B,美团日报!$C46,线上订单!$D:$D,"饿了么")</f>
        <v>12</v>
      </c>
      <c r="I46" s="18">
        <f>SUMIFS(线上订单!$F:$F,线上订单!$B:$B,美团日报!$C46,线上订单!$D:$D,"饿了么")</f>
        <v>12</v>
      </c>
      <c r="J46" s="21">
        <f t="shared" si="1"/>
        <v>37.7935103244842</v>
      </c>
      <c r="K46" s="22" t="e">
        <f t="shared" si="2"/>
        <v>#REF!</v>
      </c>
      <c r="L46" s="19" t="e">
        <f>SUMIFS(#REF!,#REF!,美团日报!$C46,#REF!,"饿了么")</f>
        <v>#REF!</v>
      </c>
      <c r="M46" s="23"/>
      <c r="N46" s="23"/>
      <c r="O46" s="22" t="e">
        <f t="shared" si="3"/>
        <v>#REF!</v>
      </c>
      <c r="P46" s="19" t="e">
        <f>SUMIFS(#REF!,#REF!,美团日报!$C46,#REF!,"饿了么")</f>
        <v>#REF!</v>
      </c>
      <c r="Q46" s="23"/>
      <c r="R46" s="23"/>
      <c r="S46" s="22" t="e">
        <f t="shared" si="4"/>
        <v>#REF!</v>
      </c>
      <c r="T46" s="19" t="e">
        <f>SUMIFS(#REF!,#REF!,美团日报!$C46,#REF!,"饿了么")</f>
        <v>#REF!</v>
      </c>
      <c r="U46" s="22" t="e">
        <f t="shared" si="5"/>
        <v>#REF!</v>
      </c>
      <c r="V46" s="19" t="e">
        <f>SUMIFS(#REF!,#REF!,美团日报!$C46,#REF!,"饿了么")</f>
        <v>#REF!</v>
      </c>
      <c r="W46" s="24" t="s">
        <v>13</v>
      </c>
    </row>
    <row r="47" ht="14.4" spans="1:23">
      <c r="A47" s="16" t="s">
        <v>56</v>
      </c>
      <c r="B47" s="16" t="s">
        <v>118</v>
      </c>
      <c r="C47" s="16">
        <v>8671</v>
      </c>
      <c r="D47" s="16" t="s">
        <v>159</v>
      </c>
      <c r="E47" s="18">
        <f>_xlfn.IFNA(VLOOKUP(C:C,线上线下销售!B:D,3,0),0)</f>
        <v>8623.7971</v>
      </c>
      <c r="F47" s="18">
        <f>SUMIFS(线上订单!$E:$E,线上订单!$B:$B,美团日报!$C47,线上订单!$D:$D,"饿了么")</f>
        <v>1718.99561581548</v>
      </c>
      <c r="G47" s="19">
        <f t="shared" si="0"/>
        <v>0.199331639634179</v>
      </c>
      <c r="H47" s="18">
        <f>SUMIFS(线上订单!$F:$F,线上订单!$B:$B,美团日报!$C47,线上订单!$D:$D,"饿了么")</f>
        <v>45</v>
      </c>
      <c r="I47" s="18">
        <f>SUMIFS(线上订单!$F:$F,线上订单!$B:$B,美团日报!$C47,线上订单!$D:$D,"饿了么")</f>
        <v>45</v>
      </c>
      <c r="J47" s="21">
        <f t="shared" si="1"/>
        <v>38.1999025736773</v>
      </c>
      <c r="K47" s="22" t="e">
        <f t="shared" si="2"/>
        <v>#REF!</v>
      </c>
      <c r="L47" s="19" t="e">
        <f>SUMIFS(#REF!,#REF!,美团日报!$C47,#REF!,"饿了么")</f>
        <v>#REF!</v>
      </c>
      <c r="M47" s="23"/>
      <c r="N47" s="23"/>
      <c r="O47" s="22" t="e">
        <f t="shared" si="3"/>
        <v>#REF!</v>
      </c>
      <c r="P47" s="19" t="e">
        <f>SUMIFS(#REF!,#REF!,美团日报!$C47,#REF!,"饿了么")</f>
        <v>#REF!</v>
      </c>
      <c r="Q47" s="23"/>
      <c r="R47" s="23"/>
      <c r="S47" s="22" t="e">
        <f t="shared" si="4"/>
        <v>#REF!</v>
      </c>
      <c r="T47" s="19" t="e">
        <f>SUMIFS(#REF!,#REF!,美团日报!$C47,#REF!,"饿了么")</f>
        <v>#REF!</v>
      </c>
      <c r="U47" s="22" t="e">
        <f t="shared" si="5"/>
        <v>#REF!</v>
      </c>
      <c r="V47" s="19" t="e">
        <f>SUMIFS(#REF!,#REF!,美团日报!$C47,#REF!,"饿了么")</f>
        <v>#REF!</v>
      </c>
      <c r="W47" s="24" t="s">
        <v>13</v>
      </c>
    </row>
    <row r="48" ht="14.4" spans="1:23">
      <c r="A48" s="16" t="s">
        <v>43</v>
      </c>
      <c r="B48" s="16" t="s">
        <v>575</v>
      </c>
      <c r="C48" s="16">
        <v>8657</v>
      </c>
      <c r="D48" s="16" t="s">
        <v>162</v>
      </c>
      <c r="E48" s="18">
        <f>_xlfn.IFNA(VLOOKUP(C:C,线上线下销售!B:D,3,0),0)</f>
        <v>7426.7198</v>
      </c>
      <c r="F48" s="18">
        <f>SUMIFS(线上订单!$E:$E,线上订单!$B:$B,美团日报!$C48,线上订单!$D:$D,"饿了么")</f>
        <v>292.58001136635</v>
      </c>
      <c r="G48" s="19">
        <f t="shared" si="0"/>
        <v>0.0393955904148087</v>
      </c>
      <c r="H48" s="18">
        <f>SUMIFS(线上订单!$F:$F,线上订单!$B:$B,美团日报!$C48,线上订单!$D:$D,"饿了么")</f>
        <v>9</v>
      </c>
      <c r="I48" s="18">
        <f>SUMIFS(线上订单!$F:$F,线上订单!$B:$B,美团日报!$C48,线上订单!$D:$D,"饿了么")</f>
        <v>9</v>
      </c>
      <c r="J48" s="21">
        <f t="shared" si="1"/>
        <v>32.5088901518167</v>
      </c>
      <c r="K48" s="22" t="e">
        <f t="shared" si="2"/>
        <v>#REF!</v>
      </c>
      <c r="L48" s="19" t="e">
        <f>SUMIFS(#REF!,#REF!,美团日报!$C48,#REF!,"饿了么")</f>
        <v>#REF!</v>
      </c>
      <c r="M48" s="23"/>
      <c r="N48" s="23"/>
      <c r="O48" s="22" t="e">
        <f t="shared" si="3"/>
        <v>#REF!</v>
      </c>
      <c r="P48" s="19" t="e">
        <f>SUMIFS(#REF!,#REF!,美团日报!$C48,#REF!,"饿了么")</f>
        <v>#REF!</v>
      </c>
      <c r="Q48" s="23"/>
      <c r="R48" s="23"/>
      <c r="S48" s="22" t="e">
        <f t="shared" si="4"/>
        <v>#REF!</v>
      </c>
      <c r="T48" s="19" t="e">
        <f>SUMIFS(#REF!,#REF!,美团日报!$C48,#REF!,"饿了么")</f>
        <v>#REF!</v>
      </c>
      <c r="U48" s="22" t="e">
        <f t="shared" si="5"/>
        <v>#REF!</v>
      </c>
      <c r="V48" s="19" t="e">
        <f>SUMIFS(#REF!,#REF!,美团日报!$C48,#REF!,"饿了么")</f>
        <v>#REF!</v>
      </c>
      <c r="W48" s="24" t="s">
        <v>13</v>
      </c>
    </row>
    <row r="49" ht="14.4" spans="1:23">
      <c r="A49" s="16" t="s">
        <v>43</v>
      </c>
      <c r="B49" s="16" t="s">
        <v>143</v>
      </c>
      <c r="C49" s="16">
        <v>8660</v>
      </c>
      <c r="D49" s="16" t="s">
        <v>164</v>
      </c>
      <c r="E49" s="18">
        <f>_xlfn.IFNA(VLOOKUP(C:C,线上线下销售!B:D,3,0),0)</f>
        <v>0</v>
      </c>
      <c r="F49" s="18">
        <f>SUMIFS(线上订单!$E:$E,线上订单!$B:$B,美团日报!$C49,线上订单!$D:$D,"饿了么")</f>
        <v>0</v>
      </c>
      <c r="G49" s="19">
        <f t="shared" si="0"/>
        <v>0</v>
      </c>
      <c r="H49" s="18">
        <f>SUMIFS(线上订单!$F:$F,线上订单!$B:$B,美团日报!$C49,线上订单!$D:$D,"饿了么")</f>
        <v>0</v>
      </c>
      <c r="I49" s="18">
        <f>SUMIFS(线上订单!$F:$F,线上订单!$B:$B,美团日报!$C49,线上订单!$D:$D,"饿了么")</f>
        <v>0</v>
      </c>
      <c r="J49" s="21">
        <f t="shared" si="1"/>
        <v>0</v>
      </c>
      <c r="K49" s="22" t="e">
        <f t="shared" si="2"/>
        <v>#REF!</v>
      </c>
      <c r="L49" s="19" t="e">
        <f>SUMIFS(#REF!,#REF!,美团日报!$C49,#REF!,"饿了么")</f>
        <v>#REF!</v>
      </c>
      <c r="M49" s="23"/>
      <c r="N49" s="23"/>
      <c r="O49" s="22" t="e">
        <f t="shared" si="3"/>
        <v>#REF!</v>
      </c>
      <c r="P49" s="19" t="e">
        <f>SUMIFS(#REF!,#REF!,美团日报!$C49,#REF!,"饿了么")</f>
        <v>#REF!</v>
      </c>
      <c r="Q49" s="23"/>
      <c r="R49" s="23"/>
      <c r="S49" s="22" t="e">
        <f t="shared" si="4"/>
        <v>#REF!</v>
      </c>
      <c r="T49" s="19" t="e">
        <f>SUMIFS(#REF!,#REF!,美团日报!$C49,#REF!,"饿了么")</f>
        <v>#REF!</v>
      </c>
      <c r="U49" s="22" t="e">
        <f t="shared" si="5"/>
        <v>#REF!</v>
      </c>
      <c r="V49" s="19" t="e">
        <f>SUMIFS(#REF!,#REF!,美团日报!$C49,#REF!,"饿了么")</f>
        <v>#REF!</v>
      </c>
      <c r="W49" s="24" t="s">
        <v>13</v>
      </c>
    </row>
    <row r="50" ht="14.4" spans="1:23">
      <c r="A50" s="16" t="s">
        <v>48</v>
      </c>
      <c r="B50" s="16" t="s">
        <v>83</v>
      </c>
      <c r="C50" s="16">
        <v>8668</v>
      </c>
      <c r="D50" s="16" t="s">
        <v>166</v>
      </c>
      <c r="E50" s="18">
        <f>_xlfn.IFNA(VLOOKUP(C:C,线上线下销售!B:D,3,0),0)</f>
        <v>4905.8484</v>
      </c>
      <c r="F50" s="18">
        <f>SUMIFS(线上订单!$E:$E,线上订单!$B:$B,美团日报!$C50,线上订单!$D:$D,"饿了么")</f>
        <v>796.9263051068</v>
      </c>
      <c r="G50" s="19">
        <f t="shared" si="0"/>
        <v>0.162444136085983</v>
      </c>
      <c r="H50" s="18">
        <f>SUMIFS(线上订单!$F:$F,线上订单!$B:$B,美团日报!$C50,线上订单!$D:$D,"饿了么")</f>
        <v>21</v>
      </c>
      <c r="I50" s="18">
        <f>SUMIFS(线上订单!$F:$F,线上订单!$B:$B,美团日报!$C50,线上订单!$D:$D,"饿了么")</f>
        <v>21</v>
      </c>
      <c r="J50" s="21">
        <f t="shared" si="1"/>
        <v>37.9488716717524</v>
      </c>
      <c r="K50" s="22" t="e">
        <f t="shared" si="2"/>
        <v>#REF!</v>
      </c>
      <c r="L50" s="19" t="e">
        <f>SUMIFS(#REF!,#REF!,美团日报!$C50,#REF!,"饿了么")</f>
        <v>#REF!</v>
      </c>
      <c r="M50" s="23"/>
      <c r="N50" s="23"/>
      <c r="O50" s="22" t="e">
        <f t="shared" si="3"/>
        <v>#REF!</v>
      </c>
      <c r="P50" s="19" t="e">
        <f>SUMIFS(#REF!,#REF!,美团日报!$C50,#REF!,"饿了么")</f>
        <v>#REF!</v>
      </c>
      <c r="Q50" s="23"/>
      <c r="R50" s="23"/>
      <c r="S50" s="22" t="e">
        <f t="shared" si="4"/>
        <v>#REF!</v>
      </c>
      <c r="T50" s="19" t="e">
        <f>SUMIFS(#REF!,#REF!,美团日报!$C50,#REF!,"饿了么")</f>
        <v>#REF!</v>
      </c>
      <c r="U50" s="22" t="e">
        <f t="shared" si="5"/>
        <v>#REF!</v>
      </c>
      <c r="V50" s="19" t="e">
        <f>SUMIFS(#REF!,#REF!,美团日报!$C50,#REF!,"饿了么")</f>
        <v>#REF!</v>
      </c>
      <c r="W50" s="24" t="s">
        <v>13</v>
      </c>
    </row>
    <row r="51" ht="14.4" spans="1:23">
      <c r="A51" s="16" t="s">
        <v>63</v>
      </c>
      <c r="B51" s="16" t="s">
        <v>168</v>
      </c>
      <c r="C51" s="16">
        <v>8680</v>
      </c>
      <c r="D51" s="16" t="s">
        <v>169</v>
      </c>
      <c r="E51" s="18">
        <f>_xlfn.IFNA(VLOOKUP(C:C,线上线下销售!B:D,3,0),0)</f>
        <v>6415.0378</v>
      </c>
      <c r="F51" s="18">
        <f>SUMIFS(线上订单!$E:$E,线上订单!$B:$B,美团日报!$C51,线上订单!$D:$D,"饿了么")</f>
        <v>332.89380530971</v>
      </c>
      <c r="G51" s="19">
        <f t="shared" si="0"/>
        <v>0.0518927270092953</v>
      </c>
      <c r="H51" s="18">
        <f>SUMIFS(线上订单!$F:$F,线上订单!$B:$B,美团日报!$C51,线上订单!$D:$D,"饿了么")</f>
        <v>9</v>
      </c>
      <c r="I51" s="18">
        <f>SUMIFS(线上订单!$F:$F,线上订单!$B:$B,美团日报!$C51,线上订单!$D:$D,"饿了么")</f>
        <v>9</v>
      </c>
      <c r="J51" s="21">
        <f t="shared" si="1"/>
        <v>36.9882005899678</v>
      </c>
      <c r="K51" s="22" t="e">
        <f t="shared" si="2"/>
        <v>#REF!</v>
      </c>
      <c r="L51" s="19" t="e">
        <f>SUMIFS(#REF!,#REF!,美团日报!$C51,#REF!,"饿了么")</f>
        <v>#REF!</v>
      </c>
      <c r="M51" s="23"/>
      <c r="N51" s="23"/>
      <c r="O51" s="22" t="e">
        <f t="shared" si="3"/>
        <v>#REF!</v>
      </c>
      <c r="P51" s="19" t="e">
        <f>SUMIFS(#REF!,#REF!,美团日报!$C51,#REF!,"饿了么")</f>
        <v>#REF!</v>
      </c>
      <c r="Q51" s="23"/>
      <c r="R51" s="23"/>
      <c r="S51" s="22" t="e">
        <f t="shared" si="4"/>
        <v>#REF!</v>
      </c>
      <c r="T51" s="19" t="e">
        <f>SUMIFS(#REF!,#REF!,美团日报!$C51,#REF!,"饿了么")</f>
        <v>#REF!</v>
      </c>
      <c r="U51" s="22" t="e">
        <f t="shared" si="5"/>
        <v>#REF!</v>
      </c>
      <c r="V51" s="19" t="e">
        <f>SUMIFS(#REF!,#REF!,美团日报!$C51,#REF!,"饿了么")</f>
        <v>#REF!</v>
      </c>
      <c r="W51" s="24" t="s">
        <v>13</v>
      </c>
    </row>
    <row r="52" ht="14.4" spans="1:23">
      <c r="A52" s="16" t="s">
        <v>56</v>
      </c>
      <c r="B52" s="16" t="s">
        <v>52</v>
      </c>
      <c r="C52" s="16">
        <v>8681</v>
      </c>
      <c r="D52" s="16" t="s">
        <v>171</v>
      </c>
      <c r="E52" s="18">
        <f>_xlfn.IFNA(VLOOKUP(C:C,线上线下销售!B:D,3,0),0)</f>
        <v>10859.0732</v>
      </c>
      <c r="F52" s="18">
        <f>SUMIFS(线上订单!$E:$E,线上订单!$B:$B,美团日报!$C52,线上订单!$D:$D,"饿了么")</f>
        <v>693.92587480706</v>
      </c>
      <c r="G52" s="19">
        <f t="shared" si="0"/>
        <v>0.0639028637183383</v>
      </c>
      <c r="H52" s="18">
        <f>SUMIFS(线上订单!$F:$F,线上订单!$B:$B,美团日报!$C52,线上订单!$D:$D,"饿了么")</f>
        <v>28</v>
      </c>
      <c r="I52" s="18">
        <f>SUMIFS(线上订单!$F:$F,线上订单!$B:$B,美团日报!$C52,线上订单!$D:$D,"饿了么")</f>
        <v>28</v>
      </c>
      <c r="J52" s="21">
        <f t="shared" si="1"/>
        <v>24.783066957395</v>
      </c>
      <c r="K52" s="22" t="e">
        <f t="shared" si="2"/>
        <v>#REF!</v>
      </c>
      <c r="L52" s="19" t="e">
        <f>SUMIFS(#REF!,#REF!,美团日报!$C52,#REF!,"饿了么")</f>
        <v>#REF!</v>
      </c>
      <c r="M52" s="23"/>
      <c r="N52" s="23"/>
      <c r="O52" s="22" t="e">
        <f t="shared" si="3"/>
        <v>#REF!</v>
      </c>
      <c r="P52" s="19" t="e">
        <f>SUMIFS(#REF!,#REF!,美团日报!$C52,#REF!,"饿了么")</f>
        <v>#REF!</v>
      </c>
      <c r="Q52" s="23"/>
      <c r="R52" s="23"/>
      <c r="S52" s="22" t="e">
        <f t="shared" si="4"/>
        <v>#REF!</v>
      </c>
      <c r="T52" s="19" t="e">
        <f>SUMIFS(#REF!,#REF!,美团日报!$C52,#REF!,"饿了么")</f>
        <v>#REF!</v>
      </c>
      <c r="U52" s="22" t="e">
        <f t="shared" si="5"/>
        <v>#REF!</v>
      </c>
      <c r="V52" s="19" t="e">
        <f>SUMIFS(#REF!,#REF!,美团日报!$C52,#REF!,"饿了么")</f>
        <v>#REF!</v>
      </c>
      <c r="W52" s="24" t="s">
        <v>13</v>
      </c>
    </row>
    <row r="53" ht="14.4" spans="1:23">
      <c r="A53" s="16" t="s">
        <v>56</v>
      </c>
      <c r="B53" s="16" t="s">
        <v>73</v>
      </c>
      <c r="C53" s="16">
        <v>8663</v>
      </c>
      <c r="D53" s="16" t="s">
        <v>173</v>
      </c>
      <c r="E53" s="18">
        <f>_xlfn.IFNA(VLOOKUP(C:C,线上线下销售!B:D,3,0),0)</f>
        <v>0</v>
      </c>
      <c r="F53" s="18">
        <f>SUMIFS(线上订单!$E:$E,线上订单!$B:$B,美团日报!$C53,线上订单!$D:$D,"饿了么")</f>
        <v>0</v>
      </c>
      <c r="G53" s="19">
        <f t="shared" si="0"/>
        <v>0</v>
      </c>
      <c r="H53" s="18">
        <f>SUMIFS(线上订单!$F:$F,线上订单!$B:$B,美团日报!$C53,线上订单!$D:$D,"饿了么")</f>
        <v>0</v>
      </c>
      <c r="I53" s="18">
        <f>SUMIFS(线上订单!$F:$F,线上订单!$B:$B,美团日报!$C53,线上订单!$D:$D,"饿了么")</f>
        <v>0</v>
      </c>
      <c r="J53" s="21">
        <f t="shared" si="1"/>
        <v>0</v>
      </c>
      <c r="K53" s="22" t="e">
        <f t="shared" si="2"/>
        <v>#REF!</v>
      </c>
      <c r="L53" s="19" t="e">
        <f>SUMIFS(#REF!,#REF!,美团日报!$C53,#REF!,"饿了么")</f>
        <v>#REF!</v>
      </c>
      <c r="M53" s="23"/>
      <c r="N53" s="23"/>
      <c r="O53" s="22" t="e">
        <f t="shared" si="3"/>
        <v>#REF!</v>
      </c>
      <c r="P53" s="19" t="e">
        <f>SUMIFS(#REF!,#REF!,美团日报!$C53,#REF!,"饿了么")</f>
        <v>#REF!</v>
      </c>
      <c r="Q53" s="23"/>
      <c r="R53" s="23"/>
      <c r="S53" s="22" t="e">
        <f t="shared" si="4"/>
        <v>#REF!</v>
      </c>
      <c r="T53" s="19" t="e">
        <f>SUMIFS(#REF!,#REF!,美团日报!$C53,#REF!,"饿了么")</f>
        <v>#REF!</v>
      </c>
      <c r="U53" s="22" t="e">
        <f t="shared" si="5"/>
        <v>#REF!</v>
      </c>
      <c r="V53" s="19" t="e">
        <f>SUMIFS(#REF!,#REF!,美团日报!$C53,#REF!,"饿了么")</f>
        <v>#REF!</v>
      </c>
      <c r="W53" s="24" t="s">
        <v>13</v>
      </c>
    </row>
    <row r="54" ht="14.4" spans="1:23">
      <c r="A54" s="16" t="s">
        <v>63</v>
      </c>
      <c r="B54" s="16" t="s">
        <v>168</v>
      </c>
      <c r="C54" s="16">
        <v>8664</v>
      </c>
      <c r="D54" s="16" t="s">
        <v>175</v>
      </c>
      <c r="E54" s="18">
        <f>_xlfn.IFNA(VLOOKUP(C:C,线上线下销售!B:D,3,0),0)</f>
        <v>13719.6431</v>
      </c>
      <c r="F54" s="18">
        <f>SUMIFS(线上订单!$E:$E,线上订单!$B:$B,美团日报!$C54,线上订单!$D:$D,"饿了么")</f>
        <v>182.54867256637</v>
      </c>
      <c r="G54" s="19">
        <f t="shared" si="0"/>
        <v>0.0133056429555642</v>
      </c>
      <c r="H54" s="18">
        <f>SUMIFS(线上订单!$F:$F,线上订单!$B:$B,美团日报!$C54,线上订单!$D:$D,"饿了么")</f>
        <v>4</v>
      </c>
      <c r="I54" s="18">
        <f>SUMIFS(线上订单!$F:$F,线上订单!$B:$B,美团日报!$C54,线上订单!$D:$D,"饿了么")</f>
        <v>4</v>
      </c>
      <c r="J54" s="21">
        <f t="shared" si="1"/>
        <v>45.6371681415925</v>
      </c>
      <c r="K54" s="22" t="e">
        <f t="shared" si="2"/>
        <v>#REF!</v>
      </c>
      <c r="L54" s="19" t="e">
        <f>SUMIFS(#REF!,#REF!,美团日报!$C54,#REF!,"饿了么")</f>
        <v>#REF!</v>
      </c>
      <c r="M54" s="23"/>
      <c r="N54" s="23"/>
      <c r="O54" s="22" t="e">
        <f t="shared" si="3"/>
        <v>#REF!</v>
      </c>
      <c r="P54" s="19" t="e">
        <f>SUMIFS(#REF!,#REF!,美团日报!$C54,#REF!,"饿了么")</f>
        <v>#REF!</v>
      </c>
      <c r="Q54" s="23"/>
      <c r="R54" s="23"/>
      <c r="S54" s="22" t="e">
        <f t="shared" si="4"/>
        <v>#REF!</v>
      </c>
      <c r="T54" s="19" t="e">
        <f>SUMIFS(#REF!,#REF!,美团日报!$C54,#REF!,"饿了么")</f>
        <v>#REF!</v>
      </c>
      <c r="U54" s="22" t="e">
        <f t="shared" si="5"/>
        <v>#REF!</v>
      </c>
      <c r="V54" s="19" t="e">
        <f>SUMIFS(#REF!,#REF!,美团日报!$C54,#REF!,"饿了么")</f>
        <v>#REF!</v>
      </c>
      <c r="W54" s="24" t="s">
        <v>13</v>
      </c>
    </row>
    <row r="55" ht="14.4" spans="1:23">
      <c r="A55" s="16" t="s">
        <v>56</v>
      </c>
      <c r="B55" s="16" t="s">
        <v>118</v>
      </c>
      <c r="C55" s="16">
        <v>8652</v>
      </c>
      <c r="D55" s="16" t="s">
        <v>177</v>
      </c>
      <c r="E55" s="18">
        <f>_xlfn.IFNA(VLOOKUP(C:C,线上线下销售!B:D,3,0),0)</f>
        <v>0</v>
      </c>
      <c r="F55" s="18">
        <f>SUMIFS(线上订单!$E:$E,线上订单!$B:$B,美团日报!$C55,线上订单!$D:$D,"饿了么")</f>
        <v>0</v>
      </c>
      <c r="G55" s="19">
        <f t="shared" si="0"/>
        <v>0</v>
      </c>
      <c r="H55" s="18">
        <f>SUMIFS(线上订单!$F:$F,线上订单!$B:$B,美团日报!$C55,线上订单!$D:$D,"饿了么")</f>
        <v>0</v>
      </c>
      <c r="I55" s="18">
        <f>SUMIFS(线上订单!$F:$F,线上订单!$B:$B,美团日报!$C55,线上订单!$D:$D,"饿了么")</f>
        <v>0</v>
      </c>
      <c r="J55" s="21">
        <f t="shared" si="1"/>
        <v>0</v>
      </c>
      <c r="K55" s="22" t="e">
        <f t="shared" si="2"/>
        <v>#REF!</v>
      </c>
      <c r="L55" s="19" t="e">
        <f>SUMIFS(#REF!,#REF!,美团日报!$C55,#REF!,"饿了么")</f>
        <v>#REF!</v>
      </c>
      <c r="M55" s="23"/>
      <c r="N55" s="23"/>
      <c r="O55" s="22" t="e">
        <f t="shared" si="3"/>
        <v>#REF!</v>
      </c>
      <c r="P55" s="19" t="e">
        <f>SUMIFS(#REF!,#REF!,美团日报!$C55,#REF!,"饿了么")</f>
        <v>#REF!</v>
      </c>
      <c r="Q55" s="23"/>
      <c r="R55" s="23"/>
      <c r="S55" s="22" t="e">
        <f t="shared" si="4"/>
        <v>#REF!</v>
      </c>
      <c r="T55" s="19" t="e">
        <f>SUMIFS(#REF!,#REF!,美团日报!$C55,#REF!,"饿了么")</f>
        <v>#REF!</v>
      </c>
      <c r="U55" s="22" t="e">
        <f t="shared" si="5"/>
        <v>#REF!</v>
      </c>
      <c r="V55" s="19" t="e">
        <f>SUMIFS(#REF!,#REF!,美团日报!$C55,#REF!,"饿了么")</f>
        <v>#REF!</v>
      </c>
      <c r="W55" s="24" t="s">
        <v>13</v>
      </c>
    </row>
    <row r="56" ht="14.4" spans="1:23">
      <c r="A56" s="16" t="s">
        <v>43</v>
      </c>
      <c r="B56" s="16" t="s">
        <v>143</v>
      </c>
      <c r="C56" s="16">
        <v>8632</v>
      </c>
      <c r="D56" s="16" t="s">
        <v>179</v>
      </c>
      <c r="E56" s="18">
        <f>_xlfn.IFNA(VLOOKUP(C:C,线上线下销售!B:D,3,0),0)</f>
        <v>8313.4658</v>
      </c>
      <c r="F56" s="18">
        <f>SUMIFS(线上订单!$E:$E,线上订单!$B:$B,美团日报!$C56,线上订单!$D:$D,"饿了么")</f>
        <v>1205.87608995681</v>
      </c>
      <c r="G56" s="19">
        <f t="shared" si="0"/>
        <v>0.145050947338571</v>
      </c>
      <c r="H56" s="18">
        <f>SUMIFS(线上订单!$F:$F,线上订单!$B:$B,美团日报!$C56,线上订单!$D:$D,"饿了么")</f>
        <v>34</v>
      </c>
      <c r="I56" s="18">
        <f>SUMIFS(线上订单!$F:$F,线上订单!$B:$B,美团日报!$C56,线上订单!$D:$D,"饿了么")</f>
        <v>34</v>
      </c>
      <c r="J56" s="21">
        <f t="shared" si="1"/>
        <v>35.4669438222591</v>
      </c>
      <c r="K56" s="22" t="e">
        <f t="shared" si="2"/>
        <v>#REF!</v>
      </c>
      <c r="L56" s="19" t="e">
        <f>SUMIFS(#REF!,#REF!,美团日报!$C56,#REF!,"饿了么")</f>
        <v>#REF!</v>
      </c>
      <c r="M56" s="23"/>
      <c r="N56" s="23"/>
      <c r="O56" s="22" t="e">
        <f t="shared" si="3"/>
        <v>#REF!</v>
      </c>
      <c r="P56" s="19" t="e">
        <f>SUMIFS(#REF!,#REF!,美团日报!$C56,#REF!,"饿了么")</f>
        <v>#REF!</v>
      </c>
      <c r="Q56" s="23"/>
      <c r="R56" s="23"/>
      <c r="S56" s="22" t="e">
        <f t="shared" si="4"/>
        <v>#REF!</v>
      </c>
      <c r="T56" s="19" t="e">
        <f>SUMIFS(#REF!,#REF!,美团日报!$C56,#REF!,"饿了么")</f>
        <v>#REF!</v>
      </c>
      <c r="U56" s="22" t="e">
        <f t="shared" si="5"/>
        <v>#REF!</v>
      </c>
      <c r="V56" s="19" t="e">
        <f>SUMIFS(#REF!,#REF!,美团日报!$C56,#REF!,"饿了么")</f>
        <v>#REF!</v>
      </c>
      <c r="W56" s="24" t="s">
        <v>13</v>
      </c>
    </row>
    <row r="57" ht="14.4" spans="1:23">
      <c r="A57" s="16" t="s">
        <v>43</v>
      </c>
      <c r="B57" s="16" t="s">
        <v>161</v>
      </c>
      <c r="C57" s="16">
        <v>8678</v>
      </c>
      <c r="D57" s="16" t="s">
        <v>181</v>
      </c>
      <c r="E57" s="18">
        <f>_xlfn.IFNA(VLOOKUP(C:C,线上线下销售!B:D,3,0),0)</f>
        <v>6175.2973</v>
      </c>
      <c r="F57" s="18">
        <f>SUMIFS(线上订单!$E:$E,线上订单!$B:$B,美团日报!$C57,线上订单!$D:$D,"饿了么")</f>
        <v>1242.40884955742</v>
      </c>
      <c r="G57" s="19">
        <f t="shared" si="0"/>
        <v>0.201190127244144</v>
      </c>
      <c r="H57" s="18">
        <f>SUMIFS(线上订单!$F:$F,线上订单!$B:$B,美团日报!$C57,线上订单!$D:$D,"饿了么")</f>
        <v>30</v>
      </c>
      <c r="I57" s="18">
        <f>SUMIFS(线上订单!$F:$F,线上订单!$B:$B,美团日报!$C57,线上订单!$D:$D,"饿了么")</f>
        <v>30</v>
      </c>
      <c r="J57" s="21">
        <f t="shared" si="1"/>
        <v>41.4136283185807</v>
      </c>
      <c r="K57" s="22" t="e">
        <f t="shared" si="2"/>
        <v>#REF!</v>
      </c>
      <c r="L57" s="19" t="e">
        <f>SUMIFS(#REF!,#REF!,美团日报!$C57,#REF!,"饿了么")</f>
        <v>#REF!</v>
      </c>
      <c r="M57" s="23"/>
      <c r="N57" s="23"/>
      <c r="O57" s="22" t="e">
        <f t="shared" si="3"/>
        <v>#REF!</v>
      </c>
      <c r="P57" s="19" t="e">
        <f>SUMIFS(#REF!,#REF!,美团日报!$C57,#REF!,"饿了么")</f>
        <v>#REF!</v>
      </c>
      <c r="Q57" s="23"/>
      <c r="R57" s="23"/>
      <c r="S57" s="22" t="e">
        <f t="shared" si="4"/>
        <v>#REF!</v>
      </c>
      <c r="T57" s="19" t="e">
        <f>SUMIFS(#REF!,#REF!,美团日报!$C57,#REF!,"饿了么")</f>
        <v>#REF!</v>
      </c>
      <c r="U57" s="22" t="e">
        <f t="shared" si="5"/>
        <v>#REF!</v>
      </c>
      <c r="V57" s="19" t="e">
        <f>SUMIFS(#REF!,#REF!,美团日报!$C57,#REF!,"饿了么")</f>
        <v>#REF!</v>
      </c>
      <c r="W57" s="24" t="s">
        <v>13</v>
      </c>
    </row>
    <row r="58" ht="14.4" spans="1:23">
      <c r="A58" s="16" t="s">
        <v>48</v>
      </c>
      <c r="B58" s="16" t="s">
        <v>64</v>
      </c>
      <c r="C58" s="16">
        <v>8684</v>
      </c>
      <c r="D58" s="16" t="s">
        <v>183</v>
      </c>
      <c r="E58" s="18">
        <f>_xlfn.IFNA(VLOOKUP(C:C,线上线下销售!B:D,3,0),0)</f>
        <v>8032.1862</v>
      </c>
      <c r="F58" s="18">
        <f>SUMIFS(线上订单!$E:$E,线上订单!$B:$B,美团日报!$C58,线上订单!$D:$D,"饿了么")</f>
        <v>1847.42794511648</v>
      </c>
      <c r="G58" s="19">
        <f t="shared" si="0"/>
        <v>0.230003127307542</v>
      </c>
      <c r="H58" s="18">
        <f>SUMIFS(线上订单!$F:$F,线上订单!$B:$B,美团日报!$C58,线上订单!$D:$D,"饿了么")</f>
        <v>63</v>
      </c>
      <c r="I58" s="18">
        <f>SUMIFS(线上订单!$F:$F,线上订单!$B:$B,美团日报!$C58,线上订单!$D:$D,"饿了么")</f>
        <v>63</v>
      </c>
      <c r="J58" s="21">
        <f t="shared" si="1"/>
        <v>29.324253097087</v>
      </c>
      <c r="K58" s="22" t="e">
        <f t="shared" si="2"/>
        <v>#REF!</v>
      </c>
      <c r="L58" s="19" t="e">
        <f>SUMIFS(#REF!,#REF!,美团日报!$C58,#REF!,"饿了么")</f>
        <v>#REF!</v>
      </c>
      <c r="M58" s="23"/>
      <c r="N58" s="23"/>
      <c r="O58" s="22" t="e">
        <f t="shared" si="3"/>
        <v>#REF!</v>
      </c>
      <c r="P58" s="19" t="e">
        <f>SUMIFS(#REF!,#REF!,美团日报!$C58,#REF!,"饿了么")</f>
        <v>#REF!</v>
      </c>
      <c r="Q58" s="23"/>
      <c r="R58" s="23"/>
      <c r="S58" s="22" t="e">
        <f t="shared" si="4"/>
        <v>#REF!</v>
      </c>
      <c r="T58" s="19" t="e">
        <f>SUMIFS(#REF!,#REF!,美团日报!$C58,#REF!,"饿了么")</f>
        <v>#REF!</v>
      </c>
      <c r="U58" s="22" t="e">
        <f t="shared" si="5"/>
        <v>#REF!</v>
      </c>
      <c r="V58" s="19" t="e">
        <f>SUMIFS(#REF!,#REF!,美团日报!$C58,#REF!,"饿了么")</f>
        <v>#REF!</v>
      </c>
      <c r="W58" s="24" t="s">
        <v>13</v>
      </c>
    </row>
    <row r="59" ht="14.4" spans="1:23">
      <c r="A59" s="16" t="s">
        <v>63</v>
      </c>
      <c r="B59" s="16" t="s">
        <v>168</v>
      </c>
      <c r="C59" s="16">
        <v>8687</v>
      </c>
      <c r="D59" s="16" t="s">
        <v>185</v>
      </c>
      <c r="E59" s="18">
        <f>_xlfn.IFNA(VLOOKUP(C:C,线上线下销售!B:D,3,0),0)</f>
        <v>7746.6434</v>
      </c>
      <c r="F59" s="18">
        <f>SUMIFS(线上订单!$E:$E,线上订单!$B:$B,美团日报!$C59,线上订单!$D:$D,"饿了么")</f>
        <v>589.26548672561</v>
      </c>
      <c r="G59" s="19">
        <f t="shared" si="0"/>
        <v>0.0760672017929223</v>
      </c>
      <c r="H59" s="18">
        <f>SUMIFS(线上订单!$F:$F,线上订单!$B:$B,美团日报!$C59,线上订单!$D:$D,"饿了么")</f>
        <v>15</v>
      </c>
      <c r="I59" s="18">
        <f>SUMIFS(线上订单!$F:$F,线上订单!$B:$B,美团日报!$C59,线上订单!$D:$D,"饿了么")</f>
        <v>15</v>
      </c>
      <c r="J59" s="21">
        <f t="shared" si="1"/>
        <v>39.2843657817073</v>
      </c>
      <c r="K59" s="22" t="e">
        <f t="shared" si="2"/>
        <v>#REF!</v>
      </c>
      <c r="L59" s="19" t="e">
        <f>SUMIFS(#REF!,#REF!,美团日报!$C59,#REF!,"饿了么")</f>
        <v>#REF!</v>
      </c>
      <c r="M59" s="23"/>
      <c r="N59" s="23"/>
      <c r="O59" s="22" t="e">
        <f t="shared" si="3"/>
        <v>#REF!</v>
      </c>
      <c r="P59" s="19" t="e">
        <f>SUMIFS(#REF!,#REF!,美团日报!$C59,#REF!,"饿了么")</f>
        <v>#REF!</v>
      </c>
      <c r="Q59" s="23"/>
      <c r="R59" s="23"/>
      <c r="S59" s="22" t="e">
        <f t="shared" si="4"/>
        <v>#REF!</v>
      </c>
      <c r="T59" s="19" t="e">
        <f>SUMIFS(#REF!,#REF!,美团日报!$C59,#REF!,"饿了么")</f>
        <v>#REF!</v>
      </c>
      <c r="U59" s="22" t="e">
        <f t="shared" si="5"/>
        <v>#REF!</v>
      </c>
      <c r="V59" s="19" t="e">
        <f>SUMIFS(#REF!,#REF!,美团日报!$C59,#REF!,"饿了么")</f>
        <v>#REF!</v>
      </c>
      <c r="W59" s="24" t="s">
        <v>13</v>
      </c>
    </row>
    <row r="60" ht="14.4" spans="1:23">
      <c r="A60" s="16" t="s">
        <v>48</v>
      </c>
      <c r="B60" s="16" t="s">
        <v>111</v>
      </c>
      <c r="C60" s="16">
        <v>8692</v>
      </c>
      <c r="D60" s="16" t="s">
        <v>187</v>
      </c>
      <c r="E60" s="18">
        <f>_xlfn.IFNA(VLOOKUP(C:C,线上线下销售!B:D,3,0),0)</f>
        <v>11005.8161</v>
      </c>
      <c r="F60" s="18">
        <f>SUMIFS(线上订单!$E:$E,线上订单!$B:$B,美团日报!$C60,线上订单!$D:$D,"饿了么")</f>
        <v>525.78058780543</v>
      </c>
      <c r="G60" s="19">
        <f t="shared" si="0"/>
        <v>0.0477729759454576</v>
      </c>
      <c r="H60" s="18">
        <f>SUMIFS(线上订单!$F:$F,线上订单!$B:$B,美团日报!$C60,线上订单!$D:$D,"饿了么")</f>
        <v>16</v>
      </c>
      <c r="I60" s="18">
        <f>SUMIFS(线上订单!$F:$F,线上订单!$B:$B,美团日报!$C60,线上订单!$D:$D,"饿了么")</f>
        <v>16</v>
      </c>
      <c r="J60" s="21">
        <f t="shared" si="1"/>
        <v>32.8612867378394</v>
      </c>
      <c r="K60" s="22" t="e">
        <f t="shared" si="2"/>
        <v>#REF!</v>
      </c>
      <c r="L60" s="19" t="e">
        <f>SUMIFS(#REF!,#REF!,美团日报!$C60,#REF!,"饿了么")</f>
        <v>#REF!</v>
      </c>
      <c r="M60" s="23"/>
      <c r="N60" s="23"/>
      <c r="O60" s="22" t="e">
        <f t="shared" si="3"/>
        <v>#REF!</v>
      </c>
      <c r="P60" s="19" t="e">
        <f>SUMIFS(#REF!,#REF!,美团日报!$C60,#REF!,"饿了么")</f>
        <v>#REF!</v>
      </c>
      <c r="Q60" s="23"/>
      <c r="R60" s="23"/>
      <c r="S60" s="22" t="e">
        <f t="shared" si="4"/>
        <v>#REF!</v>
      </c>
      <c r="T60" s="19" t="e">
        <f>SUMIFS(#REF!,#REF!,美团日报!$C60,#REF!,"饿了么")</f>
        <v>#REF!</v>
      </c>
      <c r="U60" s="22" t="e">
        <f t="shared" si="5"/>
        <v>#REF!</v>
      </c>
      <c r="V60" s="19" t="e">
        <f>SUMIFS(#REF!,#REF!,美团日报!$C60,#REF!,"饿了么")</f>
        <v>#REF!</v>
      </c>
      <c r="W60" s="24" t="s">
        <v>13</v>
      </c>
    </row>
    <row r="61" ht="14.4" spans="1:23">
      <c r="A61" s="16" t="s">
        <v>56</v>
      </c>
      <c r="B61" s="16" t="s">
        <v>73</v>
      </c>
      <c r="C61" s="16">
        <v>8670</v>
      </c>
      <c r="D61" s="16" t="s">
        <v>189</v>
      </c>
      <c r="E61" s="18">
        <f>_xlfn.IFNA(VLOOKUP(C:C,线上线下销售!B:D,3,0),0)</f>
        <v>0</v>
      </c>
      <c r="F61" s="18">
        <f>SUMIFS(线上订单!$E:$E,线上订单!$B:$B,美团日报!$C61,线上订单!$D:$D,"饿了么")</f>
        <v>0</v>
      </c>
      <c r="G61" s="19">
        <f t="shared" si="0"/>
        <v>0</v>
      </c>
      <c r="H61" s="18">
        <f>SUMIFS(线上订单!$F:$F,线上订单!$B:$B,美团日报!$C61,线上订单!$D:$D,"饿了么")</f>
        <v>0</v>
      </c>
      <c r="I61" s="18">
        <f>SUMIFS(线上订单!$F:$F,线上订单!$B:$B,美团日报!$C61,线上订单!$D:$D,"饿了么")</f>
        <v>0</v>
      </c>
      <c r="J61" s="21">
        <f t="shared" si="1"/>
        <v>0</v>
      </c>
      <c r="K61" s="22" t="e">
        <f t="shared" si="2"/>
        <v>#REF!</v>
      </c>
      <c r="L61" s="19" t="e">
        <f>SUMIFS(#REF!,#REF!,美团日报!$C61,#REF!,"饿了么")</f>
        <v>#REF!</v>
      </c>
      <c r="M61" s="23"/>
      <c r="N61" s="23"/>
      <c r="O61" s="22" t="e">
        <f t="shared" si="3"/>
        <v>#REF!</v>
      </c>
      <c r="P61" s="19" t="e">
        <f>SUMIFS(#REF!,#REF!,美团日报!$C61,#REF!,"饿了么")</f>
        <v>#REF!</v>
      </c>
      <c r="Q61" s="23"/>
      <c r="R61" s="23"/>
      <c r="S61" s="22" t="e">
        <f t="shared" si="4"/>
        <v>#REF!</v>
      </c>
      <c r="T61" s="19" t="e">
        <f>SUMIFS(#REF!,#REF!,美团日报!$C61,#REF!,"饿了么")</f>
        <v>#REF!</v>
      </c>
      <c r="U61" s="22" t="e">
        <f t="shared" si="5"/>
        <v>#REF!</v>
      </c>
      <c r="V61" s="19" t="e">
        <f>SUMIFS(#REF!,#REF!,美团日报!$C61,#REF!,"饿了么")</f>
        <v>#REF!</v>
      </c>
      <c r="W61" s="24" t="s">
        <v>13</v>
      </c>
    </row>
    <row r="62" ht="14.4" spans="1:23">
      <c r="A62" s="16" t="s">
        <v>63</v>
      </c>
      <c r="B62" s="16" t="s">
        <v>86</v>
      </c>
      <c r="C62" s="16">
        <v>8682</v>
      </c>
      <c r="D62" s="16" t="s">
        <v>191</v>
      </c>
      <c r="E62" s="18">
        <f>_xlfn.IFNA(VLOOKUP(C:C,线上线下销售!B:D,3,0),0)</f>
        <v>6403.0207</v>
      </c>
      <c r="F62" s="18">
        <f>SUMIFS(线上订单!$E:$E,线上订单!$B:$B,美团日报!$C62,线上订单!$D:$D,"饿了么")</f>
        <v>271.93805309735</v>
      </c>
      <c r="G62" s="19">
        <f t="shared" si="0"/>
        <v>0.0424702754900277</v>
      </c>
      <c r="H62" s="18">
        <f>SUMIFS(线上订单!$F:$F,线上订单!$B:$B,美团日报!$C62,线上订单!$D:$D,"饿了么")</f>
        <v>7</v>
      </c>
      <c r="I62" s="18">
        <f>SUMIFS(线上订单!$F:$F,线上订单!$B:$B,美团日报!$C62,线上订单!$D:$D,"饿了么")</f>
        <v>7</v>
      </c>
      <c r="J62" s="21">
        <f t="shared" si="1"/>
        <v>38.8482932996214</v>
      </c>
      <c r="K62" s="22" t="e">
        <f t="shared" si="2"/>
        <v>#REF!</v>
      </c>
      <c r="L62" s="19" t="e">
        <f>SUMIFS(#REF!,#REF!,美团日报!$C62,#REF!,"饿了么")</f>
        <v>#REF!</v>
      </c>
      <c r="M62" s="23"/>
      <c r="N62" s="23"/>
      <c r="O62" s="22" t="e">
        <f t="shared" si="3"/>
        <v>#REF!</v>
      </c>
      <c r="P62" s="19" t="e">
        <f>SUMIFS(#REF!,#REF!,美团日报!$C62,#REF!,"饿了么")</f>
        <v>#REF!</v>
      </c>
      <c r="Q62" s="23"/>
      <c r="R62" s="23"/>
      <c r="S62" s="22" t="e">
        <f t="shared" si="4"/>
        <v>#REF!</v>
      </c>
      <c r="T62" s="19" t="e">
        <f>SUMIFS(#REF!,#REF!,美团日报!$C62,#REF!,"饿了么")</f>
        <v>#REF!</v>
      </c>
      <c r="U62" s="22" t="e">
        <f t="shared" si="5"/>
        <v>#REF!</v>
      </c>
      <c r="V62" s="19" t="e">
        <f>SUMIFS(#REF!,#REF!,美团日报!$C62,#REF!,"饿了么")</f>
        <v>#REF!</v>
      </c>
      <c r="W62" s="24" t="s">
        <v>13</v>
      </c>
    </row>
    <row r="63" ht="14.4" spans="1:23">
      <c r="A63" s="16" t="s">
        <v>43</v>
      </c>
      <c r="B63" s="16" t="s">
        <v>575</v>
      </c>
      <c r="C63" s="16">
        <v>8686</v>
      </c>
      <c r="D63" s="16" t="s">
        <v>193</v>
      </c>
      <c r="E63" s="18">
        <f>_xlfn.IFNA(VLOOKUP(C:C,线上线下销售!B:D,3,0),0)</f>
        <v>4748.7726</v>
      </c>
      <c r="F63" s="18">
        <f>SUMIFS(线上订单!$E:$E,线上订单!$B:$B,美团日报!$C63,线上订单!$D:$D,"饿了么")</f>
        <v>309.01664366324</v>
      </c>
      <c r="G63" s="19">
        <f t="shared" si="0"/>
        <v>0.0650729503584231</v>
      </c>
      <c r="H63" s="18">
        <f>SUMIFS(线上订单!$F:$F,线上订单!$B:$B,美团日报!$C63,线上订单!$D:$D,"饿了么")</f>
        <v>10</v>
      </c>
      <c r="I63" s="18">
        <f>SUMIFS(线上订单!$F:$F,线上订单!$B:$B,美团日报!$C63,线上订单!$D:$D,"饿了么")</f>
        <v>10</v>
      </c>
      <c r="J63" s="21">
        <f t="shared" si="1"/>
        <v>30.901664366324</v>
      </c>
      <c r="K63" s="22" t="e">
        <f t="shared" si="2"/>
        <v>#REF!</v>
      </c>
      <c r="L63" s="19" t="e">
        <f>SUMIFS(#REF!,#REF!,美团日报!$C63,#REF!,"饿了么")</f>
        <v>#REF!</v>
      </c>
      <c r="M63" s="23"/>
      <c r="N63" s="23"/>
      <c r="O63" s="22" t="e">
        <f t="shared" si="3"/>
        <v>#REF!</v>
      </c>
      <c r="P63" s="19" t="e">
        <f>SUMIFS(#REF!,#REF!,美团日报!$C63,#REF!,"饿了么")</f>
        <v>#REF!</v>
      </c>
      <c r="Q63" s="23"/>
      <c r="R63" s="23"/>
      <c r="S63" s="22" t="e">
        <f t="shared" si="4"/>
        <v>#REF!</v>
      </c>
      <c r="T63" s="19" t="e">
        <f>SUMIFS(#REF!,#REF!,美团日报!$C63,#REF!,"饿了么")</f>
        <v>#REF!</v>
      </c>
      <c r="U63" s="22" t="e">
        <f t="shared" si="5"/>
        <v>#REF!</v>
      </c>
      <c r="V63" s="19" t="e">
        <f>SUMIFS(#REF!,#REF!,美团日报!$C63,#REF!,"饿了么")</f>
        <v>#REF!</v>
      </c>
      <c r="W63" s="24" t="s">
        <v>13</v>
      </c>
    </row>
    <row r="64" ht="14.4" spans="1:23">
      <c r="A64" s="16" t="s">
        <v>63</v>
      </c>
      <c r="B64" s="16" t="s">
        <v>152</v>
      </c>
      <c r="C64" s="16">
        <v>8694</v>
      </c>
      <c r="D64" s="16" t="s">
        <v>195</v>
      </c>
      <c r="E64" s="18">
        <f>_xlfn.IFNA(VLOOKUP(C:C,线上线下销售!B:D,3,0),0)</f>
        <v>7822.9249</v>
      </c>
      <c r="F64" s="18">
        <f>SUMIFS(线上订单!$E:$E,线上订单!$B:$B,美团日报!$C64,线上订单!$D:$D,"饿了么")</f>
        <v>1360.54095964914</v>
      </c>
      <c r="G64" s="19">
        <f t="shared" si="0"/>
        <v>0.173917169989596</v>
      </c>
      <c r="H64" s="18">
        <f>SUMIFS(线上订单!$F:$F,线上订单!$B:$B,美团日报!$C64,线上订单!$D:$D,"饿了么")</f>
        <v>38</v>
      </c>
      <c r="I64" s="18">
        <f>SUMIFS(线上订单!$F:$F,线上订单!$B:$B,美团日报!$C64,线上订单!$D:$D,"饿了么")</f>
        <v>38</v>
      </c>
      <c r="J64" s="21">
        <f t="shared" si="1"/>
        <v>35.8037094644511</v>
      </c>
      <c r="K64" s="22" t="e">
        <f t="shared" si="2"/>
        <v>#REF!</v>
      </c>
      <c r="L64" s="19" t="e">
        <f>SUMIFS(#REF!,#REF!,美团日报!$C64,#REF!,"饿了么")</f>
        <v>#REF!</v>
      </c>
      <c r="M64" s="23"/>
      <c r="N64" s="23"/>
      <c r="O64" s="22" t="e">
        <f t="shared" si="3"/>
        <v>#REF!</v>
      </c>
      <c r="P64" s="19" t="e">
        <f>SUMIFS(#REF!,#REF!,美团日报!$C64,#REF!,"饿了么")</f>
        <v>#REF!</v>
      </c>
      <c r="Q64" s="23"/>
      <c r="R64" s="23"/>
      <c r="S64" s="22" t="e">
        <f t="shared" si="4"/>
        <v>#REF!</v>
      </c>
      <c r="T64" s="19" t="e">
        <f>SUMIFS(#REF!,#REF!,美团日报!$C64,#REF!,"饿了么")</f>
        <v>#REF!</v>
      </c>
      <c r="U64" s="22" t="e">
        <f t="shared" si="5"/>
        <v>#REF!</v>
      </c>
      <c r="V64" s="19" t="e">
        <f>SUMIFS(#REF!,#REF!,美团日报!$C64,#REF!,"饿了么")</f>
        <v>#REF!</v>
      </c>
      <c r="W64" s="24" t="s">
        <v>13</v>
      </c>
    </row>
    <row r="65" ht="14.4" spans="1:23">
      <c r="A65" s="16" t="s">
        <v>43</v>
      </c>
      <c r="B65" s="16" t="s">
        <v>143</v>
      </c>
      <c r="C65" s="16">
        <v>8646</v>
      </c>
      <c r="D65" s="16" t="s">
        <v>197</v>
      </c>
      <c r="E65" s="18">
        <f>_xlfn.IFNA(VLOOKUP(C:C,线上线下销售!B:D,3,0),0)</f>
        <v>8105.9535</v>
      </c>
      <c r="F65" s="18">
        <f>SUMIFS(线上订单!$E:$E,线上订单!$B:$B,美团日报!$C65,线上订单!$D:$D,"饿了么")</f>
        <v>77.77876106195</v>
      </c>
      <c r="G65" s="19">
        <f t="shared" si="0"/>
        <v>0.00959526366169631</v>
      </c>
      <c r="H65" s="18">
        <f>SUMIFS(线上订单!$F:$F,线上订单!$B:$B,美团日报!$C65,线上订单!$D:$D,"饿了么")</f>
        <v>3</v>
      </c>
      <c r="I65" s="18">
        <f>SUMIFS(线上订单!$F:$F,线上订单!$B:$B,美团日报!$C65,线上订单!$D:$D,"饿了么")</f>
        <v>3</v>
      </c>
      <c r="J65" s="21">
        <f t="shared" si="1"/>
        <v>25.9262536873167</v>
      </c>
      <c r="K65" s="22" t="e">
        <f t="shared" si="2"/>
        <v>#REF!</v>
      </c>
      <c r="L65" s="19" t="e">
        <f>SUMIFS(#REF!,#REF!,美团日报!$C65,#REF!,"饿了么")</f>
        <v>#REF!</v>
      </c>
      <c r="M65" s="23"/>
      <c r="N65" s="23"/>
      <c r="O65" s="22" t="e">
        <f t="shared" si="3"/>
        <v>#REF!</v>
      </c>
      <c r="P65" s="19" t="e">
        <f>SUMIFS(#REF!,#REF!,美团日报!$C65,#REF!,"饿了么")</f>
        <v>#REF!</v>
      </c>
      <c r="Q65" s="23"/>
      <c r="R65" s="23"/>
      <c r="S65" s="22" t="e">
        <f t="shared" si="4"/>
        <v>#REF!</v>
      </c>
      <c r="T65" s="19" t="e">
        <f>SUMIFS(#REF!,#REF!,美团日报!$C65,#REF!,"饿了么")</f>
        <v>#REF!</v>
      </c>
      <c r="U65" s="22" t="e">
        <f t="shared" si="5"/>
        <v>#REF!</v>
      </c>
      <c r="V65" s="19" t="e">
        <f>SUMIFS(#REF!,#REF!,美团日报!$C65,#REF!,"饿了么")</f>
        <v>#REF!</v>
      </c>
      <c r="W65" s="24" t="s">
        <v>13</v>
      </c>
    </row>
    <row r="66" ht="14.4" spans="1:23">
      <c r="A66" s="16" t="s">
        <v>56</v>
      </c>
      <c r="B66" s="16" t="s">
        <v>52</v>
      </c>
      <c r="C66" s="16">
        <v>8691</v>
      </c>
      <c r="D66" s="16" t="s">
        <v>199</v>
      </c>
      <c r="E66" s="18">
        <f>_xlfn.IFNA(VLOOKUP(C:C,线上线下销售!B:D,3,0),0)</f>
        <v>7912.9107</v>
      </c>
      <c r="F66" s="18">
        <f>SUMIFS(线上订单!$E:$E,线上订单!$B:$B,美团日报!$C66,线上订单!$D:$D,"饿了么")</f>
        <v>1025.41657871228</v>
      </c>
      <c r="G66" s="19">
        <f t="shared" si="0"/>
        <v>0.129587786035836</v>
      </c>
      <c r="H66" s="18">
        <f>SUMIFS(线上订单!$F:$F,线上订单!$B:$B,美团日报!$C66,线上订单!$D:$D,"饿了么")</f>
        <v>28</v>
      </c>
      <c r="I66" s="18">
        <f>SUMIFS(线上订单!$F:$F,线上订单!$B:$B,美团日报!$C66,线上订单!$D:$D,"饿了么")</f>
        <v>28</v>
      </c>
      <c r="J66" s="21">
        <f t="shared" si="1"/>
        <v>36.6220206682957</v>
      </c>
      <c r="K66" s="22" t="e">
        <f t="shared" si="2"/>
        <v>#REF!</v>
      </c>
      <c r="L66" s="19" t="e">
        <f>SUMIFS(#REF!,#REF!,美团日报!$C66,#REF!,"饿了么")</f>
        <v>#REF!</v>
      </c>
      <c r="M66" s="23"/>
      <c r="N66" s="23"/>
      <c r="O66" s="22" t="e">
        <f t="shared" si="3"/>
        <v>#REF!</v>
      </c>
      <c r="P66" s="19" t="e">
        <f>SUMIFS(#REF!,#REF!,美团日报!$C66,#REF!,"饿了么")</f>
        <v>#REF!</v>
      </c>
      <c r="Q66" s="23"/>
      <c r="R66" s="23"/>
      <c r="S66" s="22" t="e">
        <f t="shared" si="4"/>
        <v>#REF!</v>
      </c>
      <c r="T66" s="19" t="e">
        <f>SUMIFS(#REF!,#REF!,美团日报!$C66,#REF!,"饿了么")</f>
        <v>#REF!</v>
      </c>
      <c r="U66" s="22" t="e">
        <f t="shared" si="5"/>
        <v>#REF!</v>
      </c>
      <c r="V66" s="19" t="e">
        <f>SUMIFS(#REF!,#REF!,美团日报!$C66,#REF!,"饿了么")</f>
        <v>#REF!</v>
      </c>
      <c r="W66" s="24" t="s">
        <v>13</v>
      </c>
    </row>
    <row r="67" ht="14.4" spans="1:23">
      <c r="A67" s="16" t="s">
        <v>56</v>
      </c>
      <c r="B67" s="16" t="s">
        <v>573</v>
      </c>
      <c r="C67" s="16">
        <v>8695</v>
      </c>
      <c r="D67" s="16" t="s">
        <v>201</v>
      </c>
      <c r="E67" s="18">
        <f>_xlfn.IFNA(VLOOKUP(C:C,线上线下销售!B:D,3,0),0)</f>
        <v>7163.393</v>
      </c>
      <c r="F67" s="18">
        <f>SUMIFS(线上订单!$E:$E,线上订单!$B:$B,美团日报!$C67,线上订单!$D:$D,"饿了么")</f>
        <v>916.50664122748</v>
      </c>
      <c r="G67" s="19">
        <f t="shared" ref="G67:G130" si="6">IFERROR(F67/E67,0)</f>
        <v>0.127943090826858</v>
      </c>
      <c r="H67" s="18">
        <f>SUMIFS(线上订单!$F:$F,线上订单!$B:$B,美团日报!$C67,线上订单!$D:$D,"饿了么")</f>
        <v>26</v>
      </c>
      <c r="I67" s="18">
        <f>SUMIFS(线上订单!$F:$F,线上订单!$B:$B,美团日报!$C67,线上订单!$D:$D,"饿了么")</f>
        <v>26</v>
      </c>
      <c r="J67" s="21">
        <f t="shared" ref="J67:J130" si="7">IFERROR(F67/I67,0)</f>
        <v>35.2502554318262</v>
      </c>
      <c r="K67" s="22" t="e">
        <f t="shared" ref="K67:K130" si="8">H67*L67</f>
        <v>#REF!</v>
      </c>
      <c r="L67" s="19" t="e">
        <f>SUMIFS(#REF!,#REF!,美团日报!$C67,#REF!,"饿了么")</f>
        <v>#REF!</v>
      </c>
      <c r="M67" s="23"/>
      <c r="N67" s="23"/>
      <c r="O67" s="22" t="e">
        <f t="shared" ref="O67:O130" si="9">H67*(1-P67)</f>
        <v>#REF!</v>
      </c>
      <c r="P67" s="19" t="e">
        <f>SUMIFS(#REF!,#REF!,美团日报!$C67,#REF!,"饿了么")</f>
        <v>#REF!</v>
      </c>
      <c r="Q67" s="23"/>
      <c r="R67" s="23"/>
      <c r="S67" s="22" t="e">
        <f t="shared" ref="S67:S130" si="10">H67*T67</f>
        <v>#REF!</v>
      </c>
      <c r="T67" s="19" t="e">
        <f>SUMIFS(#REF!,#REF!,美团日报!$C67,#REF!,"饿了么")</f>
        <v>#REF!</v>
      </c>
      <c r="U67" s="22" t="e">
        <f t="shared" ref="U67:U130" si="11">H67*V67</f>
        <v>#REF!</v>
      </c>
      <c r="V67" s="19" t="e">
        <f>SUMIFS(#REF!,#REF!,美团日报!$C67,#REF!,"饿了么")</f>
        <v>#REF!</v>
      </c>
      <c r="W67" s="24" t="s">
        <v>13</v>
      </c>
    </row>
    <row r="68" ht="14.4" spans="1:23">
      <c r="A68" s="16" t="s">
        <v>43</v>
      </c>
      <c r="B68" s="16" t="s">
        <v>575</v>
      </c>
      <c r="C68" s="16">
        <v>8707</v>
      </c>
      <c r="D68" s="16" t="s">
        <v>203</v>
      </c>
      <c r="E68" s="18">
        <f>_xlfn.IFNA(VLOOKUP(C:C,线上线下销售!B:D,3,0),0)</f>
        <v>7379.6535</v>
      </c>
      <c r="F68" s="18">
        <f>SUMIFS(线上订单!$E:$E,线上订单!$B:$B,美团日报!$C68,线上订单!$D:$D,"饿了么")</f>
        <v>755.67256637167</v>
      </c>
      <c r="G68" s="19">
        <f t="shared" si="6"/>
        <v>0.102399464469662</v>
      </c>
      <c r="H68" s="18">
        <f>SUMIFS(线上订单!$F:$F,线上订单!$B:$B,美团日报!$C68,线上订单!$D:$D,"饿了么")</f>
        <v>20</v>
      </c>
      <c r="I68" s="18">
        <f>SUMIFS(线上订单!$F:$F,线上订单!$B:$B,美团日报!$C68,线上订单!$D:$D,"饿了么")</f>
        <v>20</v>
      </c>
      <c r="J68" s="21">
        <f t="shared" si="7"/>
        <v>37.7836283185835</v>
      </c>
      <c r="K68" s="22" t="e">
        <f t="shared" si="8"/>
        <v>#REF!</v>
      </c>
      <c r="L68" s="19" t="e">
        <f>SUMIFS(#REF!,#REF!,美团日报!$C68,#REF!,"饿了么")</f>
        <v>#REF!</v>
      </c>
      <c r="M68" s="23"/>
      <c r="N68" s="23"/>
      <c r="O68" s="22" t="e">
        <f t="shared" si="9"/>
        <v>#REF!</v>
      </c>
      <c r="P68" s="19" t="e">
        <f>SUMIFS(#REF!,#REF!,美团日报!$C68,#REF!,"饿了么")</f>
        <v>#REF!</v>
      </c>
      <c r="Q68" s="23"/>
      <c r="R68" s="23"/>
      <c r="S68" s="22" t="e">
        <f t="shared" si="10"/>
        <v>#REF!</v>
      </c>
      <c r="T68" s="19" t="e">
        <f>SUMIFS(#REF!,#REF!,美团日报!$C68,#REF!,"饿了么")</f>
        <v>#REF!</v>
      </c>
      <c r="U68" s="22" t="e">
        <f t="shared" si="11"/>
        <v>#REF!</v>
      </c>
      <c r="V68" s="19" t="e">
        <f>SUMIFS(#REF!,#REF!,美团日报!$C68,#REF!,"饿了么")</f>
        <v>#REF!</v>
      </c>
      <c r="W68" s="24" t="s">
        <v>13</v>
      </c>
    </row>
    <row r="69" ht="14.4" spans="1:23">
      <c r="A69" s="16" t="s">
        <v>43</v>
      </c>
      <c r="B69" s="16" t="s">
        <v>38</v>
      </c>
      <c r="C69" s="16">
        <v>8685</v>
      </c>
      <c r="D69" s="16" t="s">
        <v>205</v>
      </c>
      <c r="E69" s="18">
        <f>_xlfn.IFNA(VLOOKUP(C:C,线上线下销售!B:D,3,0),0)</f>
        <v>8375.6268</v>
      </c>
      <c r="F69" s="18">
        <f>SUMIFS(线上订单!$E:$E,线上订单!$B:$B,美团日报!$C69,线上订单!$D:$D,"饿了么")</f>
        <v>1359.41965576032</v>
      </c>
      <c r="G69" s="19">
        <f t="shared" si="6"/>
        <v>0.162306617548948</v>
      </c>
      <c r="H69" s="18">
        <f>SUMIFS(线上订单!$F:$F,线上订单!$B:$B,美团日报!$C69,线上订单!$D:$D,"饿了么")</f>
        <v>39</v>
      </c>
      <c r="I69" s="18">
        <f>SUMIFS(线上订单!$F:$F,线上订单!$B:$B,美团日报!$C69,线上订单!$D:$D,"饿了么")</f>
        <v>39</v>
      </c>
      <c r="J69" s="21">
        <f t="shared" si="7"/>
        <v>34.8569142502646</v>
      </c>
      <c r="K69" s="22" t="e">
        <f t="shared" si="8"/>
        <v>#REF!</v>
      </c>
      <c r="L69" s="19" t="e">
        <f>SUMIFS(#REF!,#REF!,美团日报!$C69,#REF!,"饿了么")</f>
        <v>#REF!</v>
      </c>
      <c r="M69" s="23"/>
      <c r="N69" s="23"/>
      <c r="O69" s="22" t="e">
        <f t="shared" si="9"/>
        <v>#REF!</v>
      </c>
      <c r="P69" s="19" t="e">
        <f>SUMIFS(#REF!,#REF!,美团日报!$C69,#REF!,"饿了么")</f>
        <v>#REF!</v>
      </c>
      <c r="Q69" s="23"/>
      <c r="R69" s="23"/>
      <c r="S69" s="22" t="e">
        <f t="shared" si="10"/>
        <v>#REF!</v>
      </c>
      <c r="T69" s="19" t="e">
        <f>SUMIFS(#REF!,#REF!,美团日报!$C69,#REF!,"饿了么")</f>
        <v>#REF!</v>
      </c>
      <c r="U69" s="22" t="e">
        <f t="shared" si="11"/>
        <v>#REF!</v>
      </c>
      <c r="V69" s="19" t="e">
        <f>SUMIFS(#REF!,#REF!,美团日报!$C69,#REF!,"饿了么")</f>
        <v>#REF!</v>
      </c>
      <c r="W69" s="24" t="s">
        <v>13</v>
      </c>
    </row>
    <row r="70" ht="14.4" spans="1:23">
      <c r="A70" s="16" t="s">
        <v>48</v>
      </c>
      <c r="B70" s="16" t="s">
        <v>83</v>
      </c>
      <c r="C70" s="16">
        <v>8714</v>
      </c>
      <c r="D70" s="16" t="s">
        <v>207</v>
      </c>
      <c r="E70" s="18">
        <f>_xlfn.IFNA(VLOOKUP(C:C,线上线下销售!B:D,3,0),0)</f>
        <v>16540.2644</v>
      </c>
      <c r="F70" s="18">
        <f>SUMIFS(线上订单!$E:$E,线上订单!$B:$B,美团日报!$C70,线上订单!$D:$D,"饿了么")</f>
        <v>1519.1773646179</v>
      </c>
      <c r="G70" s="19">
        <f t="shared" si="6"/>
        <v>0.0918472237129353</v>
      </c>
      <c r="H70" s="18">
        <f>SUMIFS(线上订单!$F:$F,线上订单!$B:$B,美团日报!$C70,线上订单!$D:$D,"饿了么")</f>
        <v>37</v>
      </c>
      <c r="I70" s="18">
        <f>SUMIFS(线上订单!$F:$F,线上订单!$B:$B,美团日报!$C70,线上订单!$D:$D,"饿了么")</f>
        <v>37</v>
      </c>
      <c r="J70" s="21">
        <f t="shared" si="7"/>
        <v>41.0588476923757</v>
      </c>
      <c r="K70" s="22" t="e">
        <f t="shared" si="8"/>
        <v>#REF!</v>
      </c>
      <c r="L70" s="19" t="e">
        <f>SUMIFS(#REF!,#REF!,美团日报!$C70,#REF!,"饿了么")</f>
        <v>#REF!</v>
      </c>
      <c r="M70" s="23"/>
      <c r="N70" s="23"/>
      <c r="O70" s="22" t="e">
        <f t="shared" si="9"/>
        <v>#REF!</v>
      </c>
      <c r="P70" s="19" t="e">
        <f>SUMIFS(#REF!,#REF!,美团日报!$C70,#REF!,"饿了么")</f>
        <v>#REF!</v>
      </c>
      <c r="Q70" s="23"/>
      <c r="R70" s="23"/>
      <c r="S70" s="22" t="e">
        <f t="shared" si="10"/>
        <v>#REF!</v>
      </c>
      <c r="T70" s="19" t="e">
        <f>SUMIFS(#REF!,#REF!,美团日报!$C70,#REF!,"饿了么")</f>
        <v>#REF!</v>
      </c>
      <c r="U70" s="22" t="e">
        <f t="shared" si="11"/>
        <v>#REF!</v>
      </c>
      <c r="V70" s="19" t="e">
        <f>SUMIFS(#REF!,#REF!,美团日报!$C70,#REF!,"饿了么")</f>
        <v>#REF!</v>
      </c>
      <c r="W70" s="24" t="s">
        <v>13</v>
      </c>
    </row>
    <row r="71" ht="14.4" spans="1:23">
      <c r="A71" s="16" t="s">
        <v>48</v>
      </c>
      <c r="B71" s="16" t="s">
        <v>89</v>
      </c>
      <c r="C71" s="16">
        <v>8701</v>
      </c>
      <c r="D71" s="16" t="s">
        <v>209</v>
      </c>
      <c r="E71" s="18">
        <f>_xlfn.IFNA(VLOOKUP(C:C,线上线下销售!B:D,3,0),0)</f>
        <v>0</v>
      </c>
      <c r="F71" s="18">
        <f>SUMIFS(线上订单!$E:$E,线上订单!$B:$B,美团日报!$C71,线上订单!$D:$D,"饿了么")</f>
        <v>0</v>
      </c>
      <c r="G71" s="19">
        <f t="shared" si="6"/>
        <v>0</v>
      </c>
      <c r="H71" s="18">
        <f>SUMIFS(线上订单!$F:$F,线上订单!$B:$B,美团日报!$C71,线上订单!$D:$D,"饿了么")</f>
        <v>0</v>
      </c>
      <c r="I71" s="18">
        <f>SUMIFS(线上订单!$F:$F,线上订单!$B:$B,美团日报!$C71,线上订单!$D:$D,"饿了么")</f>
        <v>0</v>
      </c>
      <c r="J71" s="21">
        <f t="shared" si="7"/>
        <v>0</v>
      </c>
      <c r="K71" s="22" t="e">
        <f t="shared" si="8"/>
        <v>#REF!</v>
      </c>
      <c r="L71" s="19" t="e">
        <f>SUMIFS(#REF!,#REF!,美团日报!$C71,#REF!,"饿了么")</f>
        <v>#REF!</v>
      </c>
      <c r="M71" s="23"/>
      <c r="N71" s="23"/>
      <c r="O71" s="22" t="e">
        <f t="shared" si="9"/>
        <v>#REF!</v>
      </c>
      <c r="P71" s="19" t="e">
        <f>SUMIFS(#REF!,#REF!,美团日报!$C71,#REF!,"饿了么")</f>
        <v>#REF!</v>
      </c>
      <c r="Q71" s="23"/>
      <c r="R71" s="23"/>
      <c r="S71" s="22" t="e">
        <f t="shared" si="10"/>
        <v>#REF!</v>
      </c>
      <c r="T71" s="19" t="e">
        <f>SUMIFS(#REF!,#REF!,美团日报!$C71,#REF!,"饿了么")</f>
        <v>#REF!</v>
      </c>
      <c r="U71" s="22" t="e">
        <f t="shared" si="11"/>
        <v>#REF!</v>
      </c>
      <c r="V71" s="19" t="e">
        <f>SUMIFS(#REF!,#REF!,美团日报!$C71,#REF!,"饿了么")</f>
        <v>#REF!</v>
      </c>
      <c r="W71" s="24" t="s">
        <v>13</v>
      </c>
    </row>
    <row r="72" ht="14.4" spans="1:23">
      <c r="A72" s="16" t="s">
        <v>63</v>
      </c>
      <c r="B72" s="16" t="s">
        <v>574</v>
      </c>
      <c r="C72" s="16">
        <v>8713</v>
      </c>
      <c r="D72" s="16" t="s">
        <v>211</v>
      </c>
      <c r="E72" s="18">
        <f>_xlfn.IFNA(VLOOKUP(C:C,线上线下销售!B:D,3,0),0)</f>
        <v>4320.8855</v>
      </c>
      <c r="F72" s="18">
        <f>SUMIFS(线上订单!$E:$E,线上订单!$B:$B,美团日报!$C72,线上订单!$D:$D,"饿了么")</f>
        <v>80.87610619467</v>
      </c>
      <c r="G72" s="19">
        <f t="shared" si="6"/>
        <v>0.0187174842274043</v>
      </c>
      <c r="H72" s="18">
        <f>SUMIFS(线上订单!$F:$F,线上订单!$B:$B,美团日报!$C72,线上订单!$D:$D,"饿了么")</f>
        <v>3</v>
      </c>
      <c r="I72" s="18">
        <f>SUMIFS(线上订单!$F:$F,线上订单!$B:$B,美团日报!$C72,线上订单!$D:$D,"饿了么")</f>
        <v>3</v>
      </c>
      <c r="J72" s="21">
        <f t="shared" si="7"/>
        <v>26.95870206489</v>
      </c>
      <c r="K72" s="22" t="e">
        <f t="shared" si="8"/>
        <v>#REF!</v>
      </c>
      <c r="L72" s="19" t="e">
        <f>SUMIFS(#REF!,#REF!,美团日报!$C72,#REF!,"饿了么")</f>
        <v>#REF!</v>
      </c>
      <c r="M72" s="23"/>
      <c r="N72" s="23"/>
      <c r="O72" s="22" t="e">
        <f t="shared" si="9"/>
        <v>#REF!</v>
      </c>
      <c r="P72" s="19" t="e">
        <f>SUMIFS(#REF!,#REF!,美团日报!$C72,#REF!,"饿了么")</f>
        <v>#REF!</v>
      </c>
      <c r="Q72" s="23"/>
      <c r="R72" s="23"/>
      <c r="S72" s="22" t="e">
        <f t="shared" si="10"/>
        <v>#REF!</v>
      </c>
      <c r="T72" s="19" t="e">
        <f>SUMIFS(#REF!,#REF!,美团日报!$C72,#REF!,"饿了么")</f>
        <v>#REF!</v>
      </c>
      <c r="U72" s="22" t="e">
        <f t="shared" si="11"/>
        <v>#REF!</v>
      </c>
      <c r="V72" s="19" t="e">
        <f>SUMIFS(#REF!,#REF!,美团日报!$C72,#REF!,"饿了么")</f>
        <v>#REF!</v>
      </c>
      <c r="W72" s="24" t="s">
        <v>13</v>
      </c>
    </row>
    <row r="73" ht="14.4" spans="1:23">
      <c r="A73" s="16" t="s">
        <v>56</v>
      </c>
      <c r="B73" s="16" t="s">
        <v>57</v>
      </c>
      <c r="C73" s="16">
        <v>8700</v>
      </c>
      <c r="D73" s="16" t="s">
        <v>213</v>
      </c>
      <c r="E73" s="18">
        <f>_xlfn.IFNA(VLOOKUP(C:C,线上线下销售!B:D,3,0),0)</f>
        <v>7394.6707</v>
      </c>
      <c r="F73" s="18">
        <f>SUMIFS(线上订单!$E:$E,线上订单!$B:$B,美团日报!$C73,线上订单!$D:$D,"饿了么")</f>
        <v>225.50442477877</v>
      </c>
      <c r="G73" s="19">
        <f t="shared" si="6"/>
        <v>0.0304955330571745</v>
      </c>
      <c r="H73" s="18">
        <f>SUMIFS(线上订单!$F:$F,线上订单!$B:$B,美团日报!$C73,线上订单!$D:$D,"饿了么")</f>
        <v>7</v>
      </c>
      <c r="I73" s="18">
        <f>SUMIFS(线上订单!$F:$F,线上订单!$B:$B,美团日报!$C73,线上订单!$D:$D,"饿了么")</f>
        <v>7</v>
      </c>
      <c r="J73" s="21">
        <f t="shared" si="7"/>
        <v>32.2149178255386</v>
      </c>
      <c r="K73" s="22" t="e">
        <f t="shared" si="8"/>
        <v>#REF!</v>
      </c>
      <c r="L73" s="19" t="e">
        <f>SUMIFS(#REF!,#REF!,美团日报!$C73,#REF!,"饿了么")</f>
        <v>#REF!</v>
      </c>
      <c r="M73" s="23"/>
      <c r="N73" s="23"/>
      <c r="O73" s="22" t="e">
        <f t="shared" si="9"/>
        <v>#REF!</v>
      </c>
      <c r="P73" s="19" t="e">
        <f>SUMIFS(#REF!,#REF!,美团日报!$C73,#REF!,"饿了么")</f>
        <v>#REF!</v>
      </c>
      <c r="Q73" s="23"/>
      <c r="R73" s="23"/>
      <c r="S73" s="22" t="e">
        <f t="shared" si="10"/>
        <v>#REF!</v>
      </c>
      <c r="T73" s="19" t="e">
        <f>SUMIFS(#REF!,#REF!,美团日报!$C73,#REF!,"饿了么")</f>
        <v>#REF!</v>
      </c>
      <c r="U73" s="22" t="e">
        <f t="shared" si="11"/>
        <v>#REF!</v>
      </c>
      <c r="V73" s="19" t="e">
        <f>SUMIFS(#REF!,#REF!,美团日报!$C73,#REF!,"饿了么")</f>
        <v>#REF!</v>
      </c>
      <c r="W73" s="24" t="s">
        <v>13</v>
      </c>
    </row>
    <row r="74" ht="14.4" spans="1:23">
      <c r="A74" s="16" t="s">
        <v>43</v>
      </c>
      <c r="B74" s="16" t="s">
        <v>301</v>
      </c>
      <c r="C74" s="16">
        <v>8693</v>
      </c>
      <c r="D74" s="16" t="s">
        <v>215</v>
      </c>
      <c r="E74" s="18">
        <f>_xlfn.IFNA(VLOOKUP(C:C,线上线下销售!B:D,3,0),0)</f>
        <v>4141.2441</v>
      </c>
      <c r="F74" s="18">
        <f>SUMIFS(线上订单!$E:$E,线上订单!$B:$B,美团日报!$C74,线上订单!$D:$D,"饿了么")</f>
        <v>450.28318584069</v>
      </c>
      <c r="G74" s="19">
        <f t="shared" si="6"/>
        <v>0.108731379983298</v>
      </c>
      <c r="H74" s="18">
        <f>SUMIFS(线上订单!$F:$F,线上订单!$B:$B,美团日报!$C74,线上订单!$D:$D,"饿了么")</f>
        <v>12</v>
      </c>
      <c r="I74" s="18">
        <f>SUMIFS(线上订单!$F:$F,线上订单!$B:$B,美团日报!$C74,线上订单!$D:$D,"饿了么")</f>
        <v>12</v>
      </c>
      <c r="J74" s="21">
        <f t="shared" si="7"/>
        <v>37.5235988200575</v>
      </c>
      <c r="K74" s="22" t="e">
        <f t="shared" si="8"/>
        <v>#REF!</v>
      </c>
      <c r="L74" s="19" t="e">
        <f>SUMIFS(#REF!,#REF!,美团日报!$C74,#REF!,"饿了么")</f>
        <v>#REF!</v>
      </c>
      <c r="M74" s="23"/>
      <c r="N74" s="23"/>
      <c r="O74" s="22" t="e">
        <f t="shared" si="9"/>
        <v>#REF!</v>
      </c>
      <c r="P74" s="19" t="e">
        <f>SUMIFS(#REF!,#REF!,美团日报!$C74,#REF!,"饿了么")</f>
        <v>#REF!</v>
      </c>
      <c r="Q74" s="23"/>
      <c r="R74" s="23"/>
      <c r="S74" s="22" t="e">
        <f t="shared" si="10"/>
        <v>#REF!</v>
      </c>
      <c r="T74" s="19" t="e">
        <f>SUMIFS(#REF!,#REF!,美团日报!$C74,#REF!,"饿了么")</f>
        <v>#REF!</v>
      </c>
      <c r="U74" s="22" t="e">
        <f t="shared" si="11"/>
        <v>#REF!</v>
      </c>
      <c r="V74" s="19" t="e">
        <f>SUMIFS(#REF!,#REF!,美团日报!$C74,#REF!,"饿了么")</f>
        <v>#REF!</v>
      </c>
      <c r="W74" s="24" t="s">
        <v>13</v>
      </c>
    </row>
    <row r="75" ht="14.4" spans="1:23">
      <c r="A75" s="16" t="s">
        <v>56</v>
      </c>
      <c r="B75" s="16" t="s">
        <v>118</v>
      </c>
      <c r="C75" s="16">
        <v>8709</v>
      </c>
      <c r="D75" s="16" t="s">
        <v>217</v>
      </c>
      <c r="E75" s="18">
        <f>_xlfn.IFNA(VLOOKUP(C:C,线上线下销售!B:D,3,0),0)</f>
        <v>7086.9007</v>
      </c>
      <c r="F75" s="18">
        <f>SUMIFS(线上订单!$E:$E,线上订单!$B:$B,美团日报!$C75,线上订单!$D:$D,"饿了么")</f>
        <v>507.77015507017</v>
      </c>
      <c r="G75" s="19">
        <f t="shared" si="6"/>
        <v>0.0716491138460808</v>
      </c>
      <c r="H75" s="18">
        <f>SUMIFS(线上订单!$F:$F,线上订单!$B:$B,美团日报!$C75,线上订单!$D:$D,"饿了么")</f>
        <v>8</v>
      </c>
      <c r="I75" s="18">
        <f>SUMIFS(线上订单!$F:$F,线上订单!$B:$B,美团日报!$C75,线上订单!$D:$D,"饿了么")</f>
        <v>8</v>
      </c>
      <c r="J75" s="21">
        <f t="shared" si="7"/>
        <v>63.4712693837713</v>
      </c>
      <c r="K75" s="22" t="e">
        <f t="shared" si="8"/>
        <v>#REF!</v>
      </c>
      <c r="L75" s="19" t="e">
        <f>SUMIFS(#REF!,#REF!,美团日报!$C75,#REF!,"饿了么")</f>
        <v>#REF!</v>
      </c>
      <c r="M75" s="23"/>
      <c r="N75" s="23"/>
      <c r="O75" s="22" t="e">
        <f t="shared" si="9"/>
        <v>#REF!</v>
      </c>
      <c r="P75" s="19" t="e">
        <f>SUMIFS(#REF!,#REF!,美团日报!$C75,#REF!,"饿了么")</f>
        <v>#REF!</v>
      </c>
      <c r="Q75" s="23"/>
      <c r="R75" s="23"/>
      <c r="S75" s="22" t="e">
        <f t="shared" si="10"/>
        <v>#REF!</v>
      </c>
      <c r="T75" s="19" t="e">
        <f>SUMIFS(#REF!,#REF!,美团日报!$C75,#REF!,"饿了么")</f>
        <v>#REF!</v>
      </c>
      <c r="U75" s="22" t="e">
        <f t="shared" si="11"/>
        <v>#REF!</v>
      </c>
      <c r="V75" s="19" t="e">
        <f>SUMIFS(#REF!,#REF!,美团日报!$C75,#REF!,"饿了么")</f>
        <v>#REF!</v>
      </c>
      <c r="W75" s="24" t="s">
        <v>13</v>
      </c>
    </row>
    <row r="76" ht="14.4" spans="1:23">
      <c r="A76" s="16" t="s">
        <v>48</v>
      </c>
      <c r="B76" s="16" t="s">
        <v>83</v>
      </c>
      <c r="C76" s="16">
        <v>8677</v>
      </c>
      <c r="D76" s="16" t="s">
        <v>219</v>
      </c>
      <c r="E76" s="18">
        <f>_xlfn.IFNA(VLOOKUP(C:C,线上线下销售!B:D,3,0),0)</f>
        <v>7157.3854</v>
      </c>
      <c r="F76" s="18">
        <f>SUMIFS(线上订单!$E:$E,线上订单!$B:$B,美团日报!$C76,线上订单!$D:$D,"饿了么")</f>
        <v>829.61922546068</v>
      </c>
      <c r="G76" s="19">
        <f t="shared" si="6"/>
        <v>0.115910933825176</v>
      </c>
      <c r="H76" s="18">
        <f>SUMIFS(线上订单!$F:$F,线上订单!$B:$B,美团日报!$C76,线上订单!$D:$D,"饿了么")</f>
        <v>25</v>
      </c>
      <c r="I76" s="18">
        <f>SUMIFS(线上订单!$F:$F,线上订单!$B:$B,美团日报!$C76,线上订单!$D:$D,"饿了么")</f>
        <v>25</v>
      </c>
      <c r="J76" s="21">
        <f t="shared" si="7"/>
        <v>33.1847690184272</v>
      </c>
      <c r="K76" s="22" t="e">
        <f t="shared" si="8"/>
        <v>#REF!</v>
      </c>
      <c r="L76" s="19" t="e">
        <f>SUMIFS(#REF!,#REF!,美团日报!$C76,#REF!,"饿了么")</f>
        <v>#REF!</v>
      </c>
      <c r="M76" s="23"/>
      <c r="N76" s="23"/>
      <c r="O76" s="22" t="e">
        <f t="shared" si="9"/>
        <v>#REF!</v>
      </c>
      <c r="P76" s="19" t="e">
        <f>SUMIFS(#REF!,#REF!,美团日报!$C76,#REF!,"饿了么")</f>
        <v>#REF!</v>
      </c>
      <c r="Q76" s="23"/>
      <c r="R76" s="23"/>
      <c r="S76" s="22" t="e">
        <f t="shared" si="10"/>
        <v>#REF!</v>
      </c>
      <c r="T76" s="19" t="e">
        <f>SUMIFS(#REF!,#REF!,美团日报!$C76,#REF!,"饿了么")</f>
        <v>#REF!</v>
      </c>
      <c r="U76" s="22" t="e">
        <f t="shared" si="11"/>
        <v>#REF!</v>
      </c>
      <c r="V76" s="19" t="e">
        <f>SUMIFS(#REF!,#REF!,美团日报!$C76,#REF!,"饿了么")</f>
        <v>#REF!</v>
      </c>
      <c r="W76" s="24" t="s">
        <v>13</v>
      </c>
    </row>
    <row r="77" ht="14.4" spans="1:23">
      <c r="A77" s="16" t="s">
        <v>48</v>
      </c>
      <c r="B77" s="16" t="s">
        <v>83</v>
      </c>
      <c r="C77" s="16">
        <v>8704</v>
      </c>
      <c r="D77" s="16" t="s">
        <v>221</v>
      </c>
      <c r="E77" s="18">
        <f>_xlfn.IFNA(VLOOKUP(C:C,线上线下销售!B:D,3,0),0)</f>
        <v>6066.3782</v>
      </c>
      <c r="F77" s="18">
        <f>SUMIFS(线上订单!$E:$E,线上订单!$B:$B,美团日报!$C77,线上订单!$D:$D,"饿了么")</f>
        <v>675.57887472597</v>
      </c>
      <c r="G77" s="19">
        <f t="shared" si="6"/>
        <v>0.111364450493042</v>
      </c>
      <c r="H77" s="18">
        <f>SUMIFS(线上订单!$F:$F,线上订单!$B:$B,美团日报!$C77,线上订单!$D:$D,"饿了么")</f>
        <v>19</v>
      </c>
      <c r="I77" s="18">
        <f>SUMIFS(线上订单!$F:$F,线上订单!$B:$B,美团日报!$C77,线上订单!$D:$D,"饿了么")</f>
        <v>19</v>
      </c>
      <c r="J77" s="21">
        <f t="shared" si="7"/>
        <v>35.5567828803142</v>
      </c>
      <c r="K77" s="22" t="e">
        <f t="shared" si="8"/>
        <v>#REF!</v>
      </c>
      <c r="L77" s="19" t="e">
        <f>SUMIFS(#REF!,#REF!,美团日报!$C77,#REF!,"饿了么")</f>
        <v>#REF!</v>
      </c>
      <c r="M77" s="23"/>
      <c r="N77" s="23"/>
      <c r="O77" s="22" t="e">
        <f t="shared" si="9"/>
        <v>#REF!</v>
      </c>
      <c r="P77" s="19" t="e">
        <f>SUMIFS(#REF!,#REF!,美团日报!$C77,#REF!,"饿了么")</f>
        <v>#REF!</v>
      </c>
      <c r="Q77" s="23"/>
      <c r="R77" s="23"/>
      <c r="S77" s="22" t="e">
        <f t="shared" si="10"/>
        <v>#REF!</v>
      </c>
      <c r="T77" s="19" t="e">
        <f>SUMIFS(#REF!,#REF!,美团日报!$C77,#REF!,"饿了么")</f>
        <v>#REF!</v>
      </c>
      <c r="U77" s="22" t="e">
        <f t="shared" si="11"/>
        <v>#REF!</v>
      </c>
      <c r="V77" s="19" t="e">
        <f>SUMIFS(#REF!,#REF!,美团日报!$C77,#REF!,"饿了么")</f>
        <v>#REF!</v>
      </c>
      <c r="W77" s="24" t="s">
        <v>13</v>
      </c>
    </row>
    <row r="78" ht="14.4" spans="1:23">
      <c r="A78" s="16" t="s">
        <v>43</v>
      </c>
      <c r="B78" s="16" t="s">
        <v>131</v>
      </c>
      <c r="C78" s="16">
        <v>8740</v>
      </c>
      <c r="D78" s="16" t="s">
        <v>223</v>
      </c>
      <c r="E78" s="18">
        <f>_xlfn.IFNA(VLOOKUP(C:C,线上线下销售!B:D,3,0),0)</f>
        <v>8226.2309</v>
      </c>
      <c r="F78" s="18">
        <f>SUMIFS(线上订单!$E:$E,线上订单!$B:$B,美团日报!$C78,线上订单!$D:$D,"饿了么")</f>
        <v>582.93342534707</v>
      </c>
      <c r="G78" s="19">
        <f t="shared" si="6"/>
        <v>0.0708627599241191</v>
      </c>
      <c r="H78" s="18">
        <f>SUMIFS(线上订单!$F:$F,线上订单!$B:$B,美团日报!$C78,线上订单!$D:$D,"饿了么")</f>
        <v>14</v>
      </c>
      <c r="I78" s="18">
        <f>SUMIFS(线上订单!$F:$F,线上订单!$B:$B,美团日报!$C78,线上订单!$D:$D,"饿了么")</f>
        <v>14</v>
      </c>
      <c r="J78" s="21">
        <f t="shared" si="7"/>
        <v>41.638101810505</v>
      </c>
      <c r="K78" s="22" t="e">
        <f t="shared" si="8"/>
        <v>#REF!</v>
      </c>
      <c r="L78" s="19" t="e">
        <f>SUMIFS(#REF!,#REF!,美团日报!$C78,#REF!,"饿了么")</f>
        <v>#REF!</v>
      </c>
      <c r="M78" s="23"/>
      <c r="N78" s="23"/>
      <c r="O78" s="22" t="e">
        <f t="shared" si="9"/>
        <v>#REF!</v>
      </c>
      <c r="P78" s="19" t="e">
        <f>SUMIFS(#REF!,#REF!,美团日报!$C78,#REF!,"饿了么")</f>
        <v>#REF!</v>
      </c>
      <c r="Q78" s="23"/>
      <c r="R78" s="23"/>
      <c r="S78" s="22" t="e">
        <f t="shared" si="10"/>
        <v>#REF!</v>
      </c>
      <c r="T78" s="19" t="e">
        <f>SUMIFS(#REF!,#REF!,美团日报!$C78,#REF!,"饿了么")</f>
        <v>#REF!</v>
      </c>
      <c r="U78" s="22" t="e">
        <f t="shared" si="11"/>
        <v>#REF!</v>
      </c>
      <c r="V78" s="19" t="e">
        <f>SUMIFS(#REF!,#REF!,美团日报!$C78,#REF!,"饿了么")</f>
        <v>#REF!</v>
      </c>
      <c r="W78" s="24" t="s">
        <v>13</v>
      </c>
    </row>
    <row r="79" ht="14.4" spans="1:23">
      <c r="A79" s="16" t="s">
        <v>48</v>
      </c>
      <c r="B79" s="16" t="s">
        <v>49</v>
      </c>
      <c r="C79" s="16">
        <v>8659</v>
      </c>
      <c r="D79" s="16" t="s">
        <v>225</v>
      </c>
      <c r="E79" s="18">
        <f>_xlfn.IFNA(VLOOKUP(C:C,线上线下销售!B:D,3,0),0)</f>
        <v>5515.2495</v>
      </c>
      <c r="F79" s="18">
        <f>SUMIFS(线上订单!$E:$E,线上订单!$B:$B,美团日报!$C79,线上订单!$D:$D,"饿了么")</f>
        <v>361.44783632381</v>
      </c>
      <c r="G79" s="19">
        <f t="shared" si="6"/>
        <v>0.0655360807020263</v>
      </c>
      <c r="H79" s="18">
        <f>SUMIFS(线上订单!$F:$F,线上订单!$B:$B,美团日报!$C79,线上订单!$D:$D,"饿了么")</f>
        <v>11</v>
      </c>
      <c r="I79" s="18">
        <f>SUMIFS(线上订单!$F:$F,线上订单!$B:$B,美团日报!$C79,线上订单!$D:$D,"饿了么")</f>
        <v>11</v>
      </c>
      <c r="J79" s="21">
        <f t="shared" si="7"/>
        <v>32.8588942112555</v>
      </c>
      <c r="K79" s="22" t="e">
        <f t="shared" si="8"/>
        <v>#REF!</v>
      </c>
      <c r="L79" s="19" t="e">
        <f>SUMIFS(#REF!,#REF!,美团日报!$C79,#REF!,"饿了么")</f>
        <v>#REF!</v>
      </c>
      <c r="M79" s="23"/>
      <c r="N79" s="23"/>
      <c r="O79" s="22" t="e">
        <f t="shared" si="9"/>
        <v>#REF!</v>
      </c>
      <c r="P79" s="19" t="e">
        <f>SUMIFS(#REF!,#REF!,美团日报!$C79,#REF!,"饿了么")</f>
        <v>#REF!</v>
      </c>
      <c r="Q79" s="23"/>
      <c r="R79" s="23"/>
      <c r="S79" s="22" t="e">
        <f t="shared" si="10"/>
        <v>#REF!</v>
      </c>
      <c r="T79" s="19" t="e">
        <f>SUMIFS(#REF!,#REF!,美团日报!$C79,#REF!,"饿了么")</f>
        <v>#REF!</v>
      </c>
      <c r="U79" s="22" t="e">
        <f t="shared" si="11"/>
        <v>#REF!</v>
      </c>
      <c r="V79" s="19" t="e">
        <f>SUMIFS(#REF!,#REF!,美团日报!$C79,#REF!,"饿了么")</f>
        <v>#REF!</v>
      </c>
      <c r="W79" s="24" t="s">
        <v>13</v>
      </c>
    </row>
    <row r="80" ht="14.4" spans="1:23">
      <c r="A80" s="16" t="s">
        <v>56</v>
      </c>
      <c r="B80" s="16" t="s">
        <v>57</v>
      </c>
      <c r="C80" s="16">
        <v>8697</v>
      </c>
      <c r="D80" s="16" t="s">
        <v>227</v>
      </c>
      <c r="E80" s="18">
        <f>_xlfn.IFNA(VLOOKUP(C:C,线上线下销售!B:D,3,0),0)</f>
        <v>7516.7383</v>
      </c>
      <c r="F80" s="18">
        <f>SUMIFS(线上订单!$E:$E,线上订单!$B:$B,美团日报!$C80,线上订单!$D:$D,"饿了么")</f>
        <v>1236.11959080949</v>
      </c>
      <c r="G80" s="19">
        <f t="shared" si="6"/>
        <v>0.164448932698574</v>
      </c>
      <c r="H80" s="18">
        <f>SUMIFS(线上订单!$F:$F,线上订单!$B:$B,美团日报!$C80,线上订单!$D:$D,"饿了么")</f>
        <v>36</v>
      </c>
      <c r="I80" s="18">
        <f>SUMIFS(线上订单!$F:$F,线上订单!$B:$B,美团日报!$C80,线上订单!$D:$D,"饿了么")</f>
        <v>36</v>
      </c>
      <c r="J80" s="21">
        <f t="shared" si="7"/>
        <v>34.3366553002636</v>
      </c>
      <c r="K80" s="22" t="e">
        <f t="shared" si="8"/>
        <v>#REF!</v>
      </c>
      <c r="L80" s="19" t="e">
        <f>SUMIFS(#REF!,#REF!,美团日报!$C80,#REF!,"饿了么")</f>
        <v>#REF!</v>
      </c>
      <c r="M80" s="23"/>
      <c r="N80" s="23"/>
      <c r="O80" s="22" t="e">
        <f t="shared" si="9"/>
        <v>#REF!</v>
      </c>
      <c r="P80" s="19" t="e">
        <f>SUMIFS(#REF!,#REF!,美团日报!$C80,#REF!,"饿了么")</f>
        <v>#REF!</v>
      </c>
      <c r="Q80" s="23"/>
      <c r="R80" s="23"/>
      <c r="S80" s="22" t="e">
        <f t="shared" si="10"/>
        <v>#REF!</v>
      </c>
      <c r="T80" s="19" t="e">
        <f>SUMIFS(#REF!,#REF!,美团日报!$C80,#REF!,"饿了么")</f>
        <v>#REF!</v>
      </c>
      <c r="U80" s="22" t="e">
        <f t="shared" si="11"/>
        <v>#REF!</v>
      </c>
      <c r="V80" s="19" t="e">
        <f>SUMIFS(#REF!,#REF!,美团日报!$C80,#REF!,"饿了么")</f>
        <v>#REF!</v>
      </c>
      <c r="W80" s="24" t="s">
        <v>13</v>
      </c>
    </row>
    <row r="81" ht="14.4" spans="1:23">
      <c r="A81" s="16" t="s">
        <v>43</v>
      </c>
      <c r="B81" s="16" t="s">
        <v>301</v>
      </c>
      <c r="C81" s="16">
        <v>8710</v>
      </c>
      <c r="D81" s="16" t="s">
        <v>229</v>
      </c>
      <c r="E81" s="18">
        <f>_xlfn.IFNA(VLOOKUP(C:C,线上线下销售!B:D,3,0),0)</f>
        <v>5498.149</v>
      </c>
      <c r="F81" s="18">
        <f>SUMIFS(线上订单!$E:$E,线上订单!$B:$B,美团日报!$C81,线上订单!$D:$D,"饿了么")</f>
        <v>442.50442477877</v>
      </c>
      <c r="G81" s="19">
        <f t="shared" si="6"/>
        <v>0.0804824359577687</v>
      </c>
      <c r="H81" s="18">
        <f>SUMIFS(线上订单!$F:$F,线上订单!$B:$B,美团日报!$C81,线上订单!$D:$D,"饿了么")</f>
        <v>11</v>
      </c>
      <c r="I81" s="18">
        <f>SUMIFS(线上订单!$F:$F,线上订单!$B:$B,美团日报!$C81,线上订单!$D:$D,"饿了么")</f>
        <v>11</v>
      </c>
      <c r="J81" s="21">
        <f t="shared" si="7"/>
        <v>40.2276749798882</v>
      </c>
      <c r="K81" s="22" t="e">
        <f t="shared" si="8"/>
        <v>#REF!</v>
      </c>
      <c r="L81" s="19" t="e">
        <f>SUMIFS(#REF!,#REF!,美团日报!$C81,#REF!,"饿了么")</f>
        <v>#REF!</v>
      </c>
      <c r="M81" s="23"/>
      <c r="N81" s="23"/>
      <c r="O81" s="22" t="e">
        <f t="shared" si="9"/>
        <v>#REF!</v>
      </c>
      <c r="P81" s="19" t="e">
        <f>SUMIFS(#REF!,#REF!,美团日报!$C81,#REF!,"饿了么")</f>
        <v>#REF!</v>
      </c>
      <c r="Q81" s="23"/>
      <c r="R81" s="23"/>
      <c r="S81" s="22" t="e">
        <f t="shared" si="10"/>
        <v>#REF!</v>
      </c>
      <c r="T81" s="19" t="e">
        <f>SUMIFS(#REF!,#REF!,美团日报!$C81,#REF!,"饿了么")</f>
        <v>#REF!</v>
      </c>
      <c r="U81" s="22" t="e">
        <f t="shared" si="11"/>
        <v>#REF!</v>
      </c>
      <c r="V81" s="19" t="e">
        <f>SUMIFS(#REF!,#REF!,美团日报!$C81,#REF!,"饿了么")</f>
        <v>#REF!</v>
      </c>
      <c r="W81" s="24" t="s">
        <v>13</v>
      </c>
    </row>
    <row r="82" ht="14.4" spans="1:23">
      <c r="A82" s="16" t="s">
        <v>56</v>
      </c>
      <c r="B82" s="16" t="s">
        <v>73</v>
      </c>
      <c r="C82" s="16">
        <v>8683</v>
      </c>
      <c r="D82" s="16" t="s">
        <v>231</v>
      </c>
      <c r="E82" s="18">
        <f>_xlfn.IFNA(VLOOKUP(C:C,线上线下销售!B:D,3,0),0)</f>
        <v>0</v>
      </c>
      <c r="F82" s="18">
        <f>SUMIFS(线上订单!$E:$E,线上订单!$B:$B,美团日报!$C82,线上订单!$D:$D,"饿了么")</f>
        <v>0</v>
      </c>
      <c r="G82" s="19">
        <f t="shared" si="6"/>
        <v>0</v>
      </c>
      <c r="H82" s="18">
        <f>SUMIFS(线上订单!$F:$F,线上订单!$B:$B,美团日报!$C82,线上订单!$D:$D,"饿了么")</f>
        <v>0</v>
      </c>
      <c r="I82" s="18">
        <f>SUMIFS(线上订单!$F:$F,线上订单!$B:$B,美团日报!$C82,线上订单!$D:$D,"饿了么")</f>
        <v>0</v>
      </c>
      <c r="J82" s="21">
        <f t="shared" si="7"/>
        <v>0</v>
      </c>
      <c r="K82" s="22" t="e">
        <f t="shared" si="8"/>
        <v>#REF!</v>
      </c>
      <c r="L82" s="19" t="e">
        <f>SUMIFS(#REF!,#REF!,美团日报!$C82,#REF!,"饿了么")</f>
        <v>#REF!</v>
      </c>
      <c r="M82" s="23"/>
      <c r="N82" s="23"/>
      <c r="O82" s="22" t="e">
        <f t="shared" si="9"/>
        <v>#REF!</v>
      </c>
      <c r="P82" s="19" t="e">
        <f>SUMIFS(#REF!,#REF!,美团日报!$C82,#REF!,"饿了么")</f>
        <v>#REF!</v>
      </c>
      <c r="Q82" s="23"/>
      <c r="R82" s="23"/>
      <c r="S82" s="22" t="e">
        <f t="shared" si="10"/>
        <v>#REF!</v>
      </c>
      <c r="T82" s="19" t="e">
        <f>SUMIFS(#REF!,#REF!,美团日报!$C82,#REF!,"饿了么")</f>
        <v>#REF!</v>
      </c>
      <c r="U82" s="22" t="e">
        <f t="shared" si="11"/>
        <v>#REF!</v>
      </c>
      <c r="V82" s="19" t="e">
        <f>SUMIFS(#REF!,#REF!,美团日报!$C82,#REF!,"饿了么")</f>
        <v>#REF!</v>
      </c>
      <c r="W82" s="24" t="s">
        <v>13</v>
      </c>
    </row>
    <row r="83" ht="14.4" spans="1:23">
      <c r="A83" s="16" t="s">
        <v>43</v>
      </c>
      <c r="B83" s="16" t="s">
        <v>131</v>
      </c>
      <c r="C83" s="16">
        <v>8711</v>
      </c>
      <c r="D83" s="16" t="s">
        <v>233</v>
      </c>
      <c r="E83" s="18">
        <f>_xlfn.IFNA(VLOOKUP(C:C,线上线下销售!B:D,3,0),0)</f>
        <v>7312.6012</v>
      </c>
      <c r="F83" s="18">
        <f>SUMIFS(线上订单!$E:$E,线上订单!$B:$B,美团日报!$C83,线上订单!$D:$D,"饿了么")</f>
        <v>444.87310221643</v>
      </c>
      <c r="G83" s="19">
        <f t="shared" si="6"/>
        <v>0.0608365053760118</v>
      </c>
      <c r="H83" s="18">
        <f>SUMIFS(线上订单!$F:$F,线上订单!$B:$B,美团日报!$C83,线上订单!$D:$D,"饿了么")</f>
        <v>12</v>
      </c>
      <c r="I83" s="18">
        <f>SUMIFS(线上订单!$F:$F,线上订单!$B:$B,美团日报!$C83,线上订单!$D:$D,"饿了么")</f>
        <v>12</v>
      </c>
      <c r="J83" s="21">
        <f t="shared" si="7"/>
        <v>37.0727585180358</v>
      </c>
      <c r="K83" s="22" t="e">
        <f t="shared" si="8"/>
        <v>#REF!</v>
      </c>
      <c r="L83" s="19" t="e">
        <f>SUMIFS(#REF!,#REF!,美团日报!$C83,#REF!,"饿了么")</f>
        <v>#REF!</v>
      </c>
      <c r="M83" s="23"/>
      <c r="N83" s="23"/>
      <c r="O83" s="22" t="e">
        <f t="shared" si="9"/>
        <v>#REF!</v>
      </c>
      <c r="P83" s="19" t="e">
        <f>SUMIFS(#REF!,#REF!,美团日报!$C83,#REF!,"饿了么")</f>
        <v>#REF!</v>
      </c>
      <c r="Q83" s="23"/>
      <c r="R83" s="23"/>
      <c r="S83" s="22" t="e">
        <f t="shared" si="10"/>
        <v>#REF!</v>
      </c>
      <c r="T83" s="19" t="e">
        <f>SUMIFS(#REF!,#REF!,美团日报!$C83,#REF!,"饿了么")</f>
        <v>#REF!</v>
      </c>
      <c r="U83" s="22" t="e">
        <f t="shared" si="11"/>
        <v>#REF!</v>
      </c>
      <c r="V83" s="19" t="e">
        <f>SUMIFS(#REF!,#REF!,美团日报!$C83,#REF!,"饿了么")</f>
        <v>#REF!</v>
      </c>
      <c r="W83" s="24" t="s">
        <v>13</v>
      </c>
    </row>
    <row r="84" ht="14.4" spans="1:23">
      <c r="A84" s="16" t="s">
        <v>63</v>
      </c>
      <c r="B84" s="16" t="s">
        <v>99</v>
      </c>
      <c r="C84" s="16">
        <v>8718</v>
      </c>
      <c r="D84" s="16" t="s">
        <v>235</v>
      </c>
      <c r="E84" s="18">
        <f>_xlfn.IFNA(VLOOKUP(C:C,线上线下销售!B:D,3,0),0)</f>
        <v>0</v>
      </c>
      <c r="F84" s="18">
        <f>SUMIFS(线上订单!$E:$E,线上订单!$B:$B,美团日报!$C84,线上订单!$D:$D,"饿了么")</f>
        <v>0</v>
      </c>
      <c r="G84" s="19">
        <f t="shared" si="6"/>
        <v>0</v>
      </c>
      <c r="H84" s="18">
        <f>SUMIFS(线上订单!$F:$F,线上订单!$B:$B,美团日报!$C84,线上订单!$D:$D,"饿了么")</f>
        <v>0</v>
      </c>
      <c r="I84" s="18">
        <f>SUMIFS(线上订单!$F:$F,线上订单!$B:$B,美团日报!$C84,线上订单!$D:$D,"饿了么")</f>
        <v>0</v>
      </c>
      <c r="J84" s="21">
        <f t="shared" si="7"/>
        <v>0</v>
      </c>
      <c r="K84" s="22" t="e">
        <f t="shared" si="8"/>
        <v>#REF!</v>
      </c>
      <c r="L84" s="19" t="e">
        <f>SUMIFS(#REF!,#REF!,美团日报!$C84,#REF!,"饿了么")</f>
        <v>#REF!</v>
      </c>
      <c r="M84" s="23"/>
      <c r="N84" s="23"/>
      <c r="O84" s="22" t="e">
        <f t="shared" si="9"/>
        <v>#REF!</v>
      </c>
      <c r="P84" s="19" t="e">
        <f>SUMIFS(#REF!,#REF!,美团日报!$C84,#REF!,"饿了么")</f>
        <v>#REF!</v>
      </c>
      <c r="Q84" s="23"/>
      <c r="R84" s="23"/>
      <c r="S84" s="22" t="e">
        <f t="shared" si="10"/>
        <v>#REF!</v>
      </c>
      <c r="T84" s="19" t="e">
        <f>SUMIFS(#REF!,#REF!,美团日报!$C84,#REF!,"饿了么")</f>
        <v>#REF!</v>
      </c>
      <c r="U84" s="22" t="e">
        <f t="shared" si="11"/>
        <v>#REF!</v>
      </c>
      <c r="V84" s="19" t="e">
        <f>SUMIFS(#REF!,#REF!,美团日报!$C84,#REF!,"饿了么")</f>
        <v>#REF!</v>
      </c>
      <c r="W84" s="24" t="s">
        <v>13</v>
      </c>
    </row>
    <row r="85" ht="14.4" spans="1:23">
      <c r="A85" s="16" t="s">
        <v>63</v>
      </c>
      <c r="B85" s="16" t="s">
        <v>574</v>
      </c>
      <c r="C85" s="16">
        <v>8690</v>
      </c>
      <c r="D85" s="16" t="s">
        <v>237</v>
      </c>
      <c r="E85" s="18">
        <f>_xlfn.IFNA(VLOOKUP(C:C,线上线下销售!B:D,3,0),0)</f>
        <v>6031.1086</v>
      </c>
      <c r="F85" s="18">
        <f>SUMIFS(线上订单!$E:$E,线上订单!$B:$B,美团日报!$C85,线上订单!$D:$D,"饿了么")</f>
        <v>1013.38605179832</v>
      </c>
      <c r="G85" s="19">
        <f t="shared" si="6"/>
        <v>0.168026497118344</v>
      </c>
      <c r="H85" s="18">
        <f>SUMIFS(线上订单!$F:$F,线上订单!$B:$B,美团日报!$C85,线上订单!$D:$D,"饿了么")</f>
        <v>24</v>
      </c>
      <c r="I85" s="18">
        <f>SUMIFS(线上订单!$F:$F,线上订单!$B:$B,美团日报!$C85,线上订单!$D:$D,"饿了么")</f>
        <v>24</v>
      </c>
      <c r="J85" s="21">
        <f t="shared" si="7"/>
        <v>42.22441882493</v>
      </c>
      <c r="K85" s="22" t="e">
        <f t="shared" si="8"/>
        <v>#REF!</v>
      </c>
      <c r="L85" s="19" t="e">
        <f>SUMIFS(#REF!,#REF!,美团日报!$C85,#REF!,"饿了么")</f>
        <v>#REF!</v>
      </c>
      <c r="M85" s="23"/>
      <c r="N85" s="23"/>
      <c r="O85" s="22" t="e">
        <f t="shared" si="9"/>
        <v>#REF!</v>
      </c>
      <c r="P85" s="19" t="e">
        <f>SUMIFS(#REF!,#REF!,美团日报!$C85,#REF!,"饿了么")</f>
        <v>#REF!</v>
      </c>
      <c r="Q85" s="23"/>
      <c r="R85" s="23"/>
      <c r="S85" s="22" t="e">
        <f t="shared" si="10"/>
        <v>#REF!</v>
      </c>
      <c r="T85" s="19" t="e">
        <f>SUMIFS(#REF!,#REF!,美团日报!$C85,#REF!,"饿了么")</f>
        <v>#REF!</v>
      </c>
      <c r="U85" s="22" t="e">
        <f t="shared" si="11"/>
        <v>#REF!</v>
      </c>
      <c r="V85" s="19" t="e">
        <f>SUMIFS(#REF!,#REF!,美团日报!$C85,#REF!,"饿了么")</f>
        <v>#REF!</v>
      </c>
      <c r="W85" s="24" t="s">
        <v>13</v>
      </c>
    </row>
    <row r="86" ht="14.4" spans="1:23">
      <c r="A86" s="16" t="s">
        <v>48</v>
      </c>
      <c r="B86" s="16" t="s">
        <v>89</v>
      </c>
      <c r="C86" s="16">
        <v>8719</v>
      </c>
      <c r="D86" s="16" t="s">
        <v>239</v>
      </c>
      <c r="E86" s="18">
        <f>_xlfn.IFNA(VLOOKUP(C:C,线上线下销售!B:D,3,0),0)</f>
        <v>4779.7659</v>
      </c>
      <c r="F86" s="18">
        <f>SUMIFS(线上订单!$E:$E,线上订单!$B:$B,美团日报!$C86,线上订单!$D:$D,"饿了么")</f>
        <v>105.48591377769</v>
      </c>
      <c r="G86" s="19">
        <f t="shared" si="6"/>
        <v>0.0220692636385581</v>
      </c>
      <c r="H86" s="18">
        <f>SUMIFS(线上订单!$F:$F,线上订单!$B:$B,美团日报!$C86,线上订单!$D:$D,"饿了么")</f>
        <v>5</v>
      </c>
      <c r="I86" s="18">
        <f>SUMIFS(线上订单!$F:$F,线上订单!$B:$B,美团日报!$C86,线上订单!$D:$D,"饿了么")</f>
        <v>5</v>
      </c>
      <c r="J86" s="21">
        <f t="shared" si="7"/>
        <v>21.097182755538</v>
      </c>
      <c r="K86" s="22" t="e">
        <f t="shared" si="8"/>
        <v>#REF!</v>
      </c>
      <c r="L86" s="19" t="e">
        <f>SUMIFS(#REF!,#REF!,美团日报!$C86,#REF!,"饿了么")</f>
        <v>#REF!</v>
      </c>
      <c r="M86" s="23"/>
      <c r="N86" s="23"/>
      <c r="O86" s="22" t="e">
        <f t="shared" si="9"/>
        <v>#REF!</v>
      </c>
      <c r="P86" s="19" t="e">
        <f>SUMIFS(#REF!,#REF!,美团日报!$C86,#REF!,"饿了么")</f>
        <v>#REF!</v>
      </c>
      <c r="Q86" s="23"/>
      <c r="R86" s="23"/>
      <c r="S86" s="22" t="e">
        <f t="shared" si="10"/>
        <v>#REF!</v>
      </c>
      <c r="T86" s="19" t="e">
        <f>SUMIFS(#REF!,#REF!,美团日报!$C86,#REF!,"饿了么")</f>
        <v>#REF!</v>
      </c>
      <c r="U86" s="22" t="e">
        <f t="shared" si="11"/>
        <v>#REF!</v>
      </c>
      <c r="V86" s="19" t="e">
        <f>SUMIFS(#REF!,#REF!,美团日报!$C86,#REF!,"饿了么")</f>
        <v>#REF!</v>
      </c>
      <c r="W86" s="24" t="s">
        <v>13</v>
      </c>
    </row>
    <row r="87" ht="14.4" spans="1:23">
      <c r="A87" s="16" t="s">
        <v>63</v>
      </c>
      <c r="B87" s="16" t="s">
        <v>574</v>
      </c>
      <c r="C87" s="16">
        <v>8723</v>
      </c>
      <c r="D87" s="16" t="s">
        <v>241</v>
      </c>
      <c r="E87" s="18">
        <f>_xlfn.IFNA(VLOOKUP(C:C,线上线下销售!B:D,3,0),0)</f>
        <v>10718.1217</v>
      </c>
      <c r="F87" s="18">
        <f>SUMIFS(线上订单!$E:$E,线上订单!$B:$B,美团日报!$C87,线上订单!$D:$D,"饿了么")</f>
        <v>456.36453681897</v>
      </c>
      <c r="G87" s="19">
        <f t="shared" si="6"/>
        <v>0.0425787791548374</v>
      </c>
      <c r="H87" s="18">
        <f>SUMIFS(线上订单!$F:$F,线上订单!$B:$B,美团日报!$C87,线上订单!$D:$D,"饿了么")</f>
        <v>12</v>
      </c>
      <c r="I87" s="18">
        <f>SUMIFS(线上订单!$F:$F,线上订单!$B:$B,美团日报!$C87,线上订单!$D:$D,"饿了么")</f>
        <v>12</v>
      </c>
      <c r="J87" s="21">
        <f t="shared" si="7"/>
        <v>38.0303780682475</v>
      </c>
      <c r="K87" s="22" t="e">
        <f t="shared" si="8"/>
        <v>#REF!</v>
      </c>
      <c r="L87" s="19" t="e">
        <f>SUMIFS(#REF!,#REF!,美团日报!$C87,#REF!,"饿了么")</f>
        <v>#REF!</v>
      </c>
      <c r="M87" s="23"/>
      <c r="N87" s="23"/>
      <c r="O87" s="22" t="e">
        <f t="shared" si="9"/>
        <v>#REF!</v>
      </c>
      <c r="P87" s="19" t="e">
        <f>SUMIFS(#REF!,#REF!,美团日报!$C87,#REF!,"饿了么")</f>
        <v>#REF!</v>
      </c>
      <c r="Q87" s="23"/>
      <c r="R87" s="23"/>
      <c r="S87" s="22" t="e">
        <f t="shared" si="10"/>
        <v>#REF!</v>
      </c>
      <c r="T87" s="19" t="e">
        <f>SUMIFS(#REF!,#REF!,美团日报!$C87,#REF!,"饿了么")</f>
        <v>#REF!</v>
      </c>
      <c r="U87" s="22" t="e">
        <f t="shared" si="11"/>
        <v>#REF!</v>
      </c>
      <c r="V87" s="19" t="e">
        <f>SUMIFS(#REF!,#REF!,美团日报!$C87,#REF!,"饿了么")</f>
        <v>#REF!</v>
      </c>
      <c r="W87" s="24" t="s">
        <v>13</v>
      </c>
    </row>
    <row r="88" ht="14.4" spans="1:23">
      <c r="A88" s="16" t="s">
        <v>48</v>
      </c>
      <c r="B88" s="16" t="s">
        <v>83</v>
      </c>
      <c r="C88" s="16">
        <v>8725</v>
      </c>
      <c r="D88" s="16" t="s">
        <v>243</v>
      </c>
      <c r="E88" s="18">
        <f>_xlfn.IFNA(VLOOKUP(C:C,线上线下销售!B:D,3,0),0)</f>
        <v>4422.7003</v>
      </c>
      <c r="F88" s="18">
        <f>SUMIFS(线上订单!$E:$E,线上订单!$B:$B,美团日报!$C88,线上订单!$D:$D,"饿了么")</f>
        <v>361.22562312248</v>
      </c>
      <c r="G88" s="19">
        <f t="shared" si="6"/>
        <v>0.0816753563705142</v>
      </c>
      <c r="H88" s="18">
        <f>SUMIFS(线上订单!$F:$F,线上订单!$B:$B,美团日报!$C88,线上订单!$D:$D,"饿了么")</f>
        <v>11</v>
      </c>
      <c r="I88" s="18">
        <f>SUMIFS(线上订单!$F:$F,线上订单!$B:$B,美团日报!$C88,线上订单!$D:$D,"饿了么")</f>
        <v>11</v>
      </c>
      <c r="J88" s="21">
        <f t="shared" si="7"/>
        <v>32.8386930111345</v>
      </c>
      <c r="K88" s="22" t="e">
        <f t="shared" si="8"/>
        <v>#REF!</v>
      </c>
      <c r="L88" s="19" t="e">
        <f>SUMIFS(#REF!,#REF!,美团日报!$C88,#REF!,"饿了么")</f>
        <v>#REF!</v>
      </c>
      <c r="M88" s="23"/>
      <c r="N88" s="23"/>
      <c r="O88" s="22" t="e">
        <f t="shared" si="9"/>
        <v>#REF!</v>
      </c>
      <c r="P88" s="19" t="e">
        <f>SUMIFS(#REF!,#REF!,美团日报!$C88,#REF!,"饿了么")</f>
        <v>#REF!</v>
      </c>
      <c r="Q88" s="23"/>
      <c r="R88" s="23"/>
      <c r="S88" s="22" t="e">
        <f t="shared" si="10"/>
        <v>#REF!</v>
      </c>
      <c r="T88" s="19" t="e">
        <f>SUMIFS(#REF!,#REF!,美团日报!$C88,#REF!,"饿了么")</f>
        <v>#REF!</v>
      </c>
      <c r="U88" s="22" t="e">
        <f t="shared" si="11"/>
        <v>#REF!</v>
      </c>
      <c r="V88" s="19" t="e">
        <f>SUMIFS(#REF!,#REF!,美团日报!$C88,#REF!,"饿了么")</f>
        <v>#REF!</v>
      </c>
      <c r="W88" s="24" t="s">
        <v>13</v>
      </c>
    </row>
    <row r="89" ht="14.4" spans="1:23">
      <c r="A89" s="16" t="s">
        <v>63</v>
      </c>
      <c r="B89" s="16" t="s">
        <v>99</v>
      </c>
      <c r="C89" s="16">
        <v>8726</v>
      </c>
      <c r="D89" s="16" t="s">
        <v>245</v>
      </c>
      <c r="E89" s="18">
        <f>_xlfn.IFNA(VLOOKUP(C:C,线上线下销售!B:D,3,0),0)</f>
        <v>7684.8455</v>
      </c>
      <c r="F89" s="18">
        <f>SUMIFS(线上订单!$E:$E,线上订单!$B:$B,美团日报!$C89,线上订单!$D:$D,"饿了么")</f>
        <v>911.28318584076</v>
      </c>
      <c r="G89" s="19">
        <f t="shared" si="6"/>
        <v>0.118581848631929</v>
      </c>
      <c r="H89" s="18">
        <f>SUMIFS(线上订单!$F:$F,线上订单!$B:$B,美团日报!$C89,线上订单!$D:$D,"饿了么")</f>
        <v>25</v>
      </c>
      <c r="I89" s="18">
        <f>SUMIFS(线上订单!$F:$F,线上订单!$B:$B,美团日报!$C89,线上订单!$D:$D,"饿了么")</f>
        <v>25</v>
      </c>
      <c r="J89" s="21">
        <f t="shared" si="7"/>
        <v>36.4513274336304</v>
      </c>
      <c r="K89" s="22" t="e">
        <f t="shared" si="8"/>
        <v>#REF!</v>
      </c>
      <c r="L89" s="19" t="e">
        <f>SUMIFS(#REF!,#REF!,美团日报!$C89,#REF!,"饿了么")</f>
        <v>#REF!</v>
      </c>
      <c r="M89" s="23"/>
      <c r="N89" s="23"/>
      <c r="O89" s="22" t="e">
        <f t="shared" si="9"/>
        <v>#REF!</v>
      </c>
      <c r="P89" s="19" t="e">
        <f>SUMIFS(#REF!,#REF!,美团日报!$C89,#REF!,"饿了么")</f>
        <v>#REF!</v>
      </c>
      <c r="Q89" s="23"/>
      <c r="R89" s="23"/>
      <c r="S89" s="22" t="e">
        <f t="shared" si="10"/>
        <v>#REF!</v>
      </c>
      <c r="T89" s="19" t="e">
        <f>SUMIFS(#REF!,#REF!,美团日报!$C89,#REF!,"饿了么")</f>
        <v>#REF!</v>
      </c>
      <c r="U89" s="22" t="e">
        <f t="shared" si="11"/>
        <v>#REF!</v>
      </c>
      <c r="V89" s="19" t="e">
        <f>SUMIFS(#REF!,#REF!,美团日报!$C89,#REF!,"饿了么")</f>
        <v>#REF!</v>
      </c>
      <c r="W89" s="24" t="s">
        <v>13</v>
      </c>
    </row>
    <row r="90" ht="14.4" spans="1:23">
      <c r="A90" s="16" t="s">
        <v>63</v>
      </c>
      <c r="B90" s="16" t="s">
        <v>168</v>
      </c>
      <c r="C90" s="16">
        <v>8716</v>
      </c>
      <c r="D90" s="16" t="s">
        <v>247</v>
      </c>
      <c r="E90" s="18">
        <f>_xlfn.IFNA(VLOOKUP(C:C,线上线下销售!B:D,3,0),0)</f>
        <v>16394.6485</v>
      </c>
      <c r="F90" s="18">
        <f>SUMIFS(线上订单!$E:$E,线上订单!$B:$B,美团日报!$C90,线上订单!$D:$D,"饿了么")</f>
        <v>1366.75481042459</v>
      </c>
      <c r="G90" s="19">
        <f t="shared" si="6"/>
        <v>0.0833659111645236</v>
      </c>
      <c r="H90" s="18">
        <f>SUMIFS(线上订单!$F:$F,线上订单!$B:$B,美团日报!$C90,线上订单!$D:$D,"饿了么")</f>
        <v>46</v>
      </c>
      <c r="I90" s="18">
        <f>SUMIFS(线上订单!$F:$F,线上订单!$B:$B,美团日报!$C90,线上订单!$D:$D,"饿了么")</f>
        <v>46</v>
      </c>
      <c r="J90" s="21">
        <f t="shared" si="7"/>
        <v>29.7120610961867</v>
      </c>
      <c r="K90" s="22" t="e">
        <f t="shared" si="8"/>
        <v>#REF!</v>
      </c>
      <c r="L90" s="19" t="e">
        <f>SUMIFS(#REF!,#REF!,美团日报!$C90,#REF!,"饿了么")</f>
        <v>#REF!</v>
      </c>
      <c r="M90" s="23"/>
      <c r="N90" s="23"/>
      <c r="O90" s="22" t="e">
        <f t="shared" si="9"/>
        <v>#REF!</v>
      </c>
      <c r="P90" s="19" t="e">
        <f>SUMIFS(#REF!,#REF!,美团日报!$C90,#REF!,"饿了么")</f>
        <v>#REF!</v>
      </c>
      <c r="Q90" s="23"/>
      <c r="R90" s="23"/>
      <c r="S90" s="22" t="e">
        <f t="shared" si="10"/>
        <v>#REF!</v>
      </c>
      <c r="T90" s="19" t="e">
        <f>SUMIFS(#REF!,#REF!,美团日报!$C90,#REF!,"饿了么")</f>
        <v>#REF!</v>
      </c>
      <c r="U90" s="22" t="e">
        <f t="shared" si="11"/>
        <v>#REF!</v>
      </c>
      <c r="V90" s="19" t="e">
        <f>SUMIFS(#REF!,#REF!,美团日报!$C90,#REF!,"饿了么")</f>
        <v>#REF!</v>
      </c>
      <c r="W90" s="24" t="s">
        <v>13</v>
      </c>
    </row>
    <row r="91" ht="14.4" spans="1:23">
      <c r="A91" s="16" t="s">
        <v>56</v>
      </c>
      <c r="B91" s="16" t="s">
        <v>70</v>
      </c>
      <c r="C91" s="16">
        <v>8728</v>
      </c>
      <c r="D91" s="16" t="s">
        <v>249</v>
      </c>
      <c r="E91" s="18">
        <f>_xlfn.IFNA(VLOOKUP(C:C,线上线下销售!B:D,3,0),0)</f>
        <v>0</v>
      </c>
      <c r="F91" s="18">
        <f>SUMIFS(线上订单!$E:$E,线上订单!$B:$B,美团日报!$C91,线上订单!$D:$D,"饿了么")</f>
        <v>0</v>
      </c>
      <c r="G91" s="19">
        <f t="shared" si="6"/>
        <v>0</v>
      </c>
      <c r="H91" s="18">
        <f>SUMIFS(线上订单!$F:$F,线上订单!$B:$B,美团日报!$C91,线上订单!$D:$D,"饿了么")</f>
        <v>0</v>
      </c>
      <c r="I91" s="18">
        <f>SUMIFS(线上订单!$F:$F,线上订单!$B:$B,美团日报!$C91,线上订单!$D:$D,"饿了么")</f>
        <v>0</v>
      </c>
      <c r="J91" s="21">
        <f t="shared" si="7"/>
        <v>0</v>
      </c>
      <c r="K91" s="22" t="e">
        <f t="shared" si="8"/>
        <v>#REF!</v>
      </c>
      <c r="L91" s="19" t="e">
        <f>SUMIFS(#REF!,#REF!,美团日报!$C91,#REF!,"饿了么")</f>
        <v>#REF!</v>
      </c>
      <c r="M91" s="23"/>
      <c r="N91" s="23"/>
      <c r="O91" s="22" t="e">
        <f t="shared" si="9"/>
        <v>#REF!</v>
      </c>
      <c r="P91" s="19" t="e">
        <f>SUMIFS(#REF!,#REF!,美团日报!$C91,#REF!,"饿了么")</f>
        <v>#REF!</v>
      </c>
      <c r="Q91" s="23"/>
      <c r="R91" s="23"/>
      <c r="S91" s="22" t="e">
        <f t="shared" si="10"/>
        <v>#REF!</v>
      </c>
      <c r="T91" s="19" t="e">
        <f>SUMIFS(#REF!,#REF!,美团日报!$C91,#REF!,"饿了么")</f>
        <v>#REF!</v>
      </c>
      <c r="U91" s="22" t="e">
        <f t="shared" si="11"/>
        <v>#REF!</v>
      </c>
      <c r="V91" s="19" t="e">
        <f>SUMIFS(#REF!,#REF!,美团日报!$C91,#REF!,"饿了么")</f>
        <v>#REF!</v>
      </c>
      <c r="W91" s="24" t="s">
        <v>13</v>
      </c>
    </row>
    <row r="92" ht="14.4" spans="1:23">
      <c r="A92" s="16" t="s">
        <v>48</v>
      </c>
      <c r="B92" s="16" t="s">
        <v>111</v>
      </c>
      <c r="C92" s="16">
        <v>8724</v>
      </c>
      <c r="D92" s="16" t="s">
        <v>251</v>
      </c>
      <c r="E92" s="18">
        <f>_xlfn.IFNA(VLOOKUP(C:C,线上线下销售!B:D,3,0),0)</f>
        <v>8032.605</v>
      </c>
      <c r="F92" s="18">
        <f>SUMIFS(线上订单!$E:$E,线上订单!$B:$B,美团日报!$C92,线上订单!$D:$D,"饿了么")</f>
        <v>88.47787610616</v>
      </c>
      <c r="G92" s="19">
        <f t="shared" si="6"/>
        <v>0.0110148421472436</v>
      </c>
      <c r="H92" s="18">
        <f>SUMIFS(线上订单!$F:$F,线上订单!$B:$B,美团日报!$C92,线上订单!$D:$D,"饿了么")</f>
        <v>3</v>
      </c>
      <c r="I92" s="18">
        <f>SUMIFS(线上订单!$F:$F,线上订单!$B:$B,美团日报!$C92,线上订单!$D:$D,"饿了么")</f>
        <v>3</v>
      </c>
      <c r="J92" s="21">
        <f t="shared" si="7"/>
        <v>29.49262536872</v>
      </c>
      <c r="K92" s="22" t="e">
        <f t="shared" si="8"/>
        <v>#REF!</v>
      </c>
      <c r="L92" s="19" t="e">
        <f>SUMIFS(#REF!,#REF!,美团日报!$C92,#REF!,"饿了么")</f>
        <v>#REF!</v>
      </c>
      <c r="M92" s="23"/>
      <c r="N92" s="23"/>
      <c r="O92" s="22" t="e">
        <f t="shared" si="9"/>
        <v>#REF!</v>
      </c>
      <c r="P92" s="19" t="e">
        <f>SUMIFS(#REF!,#REF!,美团日报!$C92,#REF!,"饿了么")</f>
        <v>#REF!</v>
      </c>
      <c r="Q92" s="23"/>
      <c r="R92" s="23"/>
      <c r="S92" s="22" t="e">
        <f t="shared" si="10"/>
        <v>#REF!</v>
      </c>
      <c r="T92" s="19" t="e">
        <f>SUMIFS(#REF!,#REF!,美团日报!$C92,#REF!,"饿了么")</f>
        <v>#REF!</v>
      </c>
      <c r="U92" s="22" t="e">
        <f t="shared" si="11"/>
        <v>#REF!</v>
      </c>
      <c r="V92" s="19" t="e">
        <f>SUMIFS(#REF!,#REF!,美团日报!$C92,#REF!,"饿了么")</f>
        <v>#REF!</v>
      </c>
      <c r="W92" s="24" t="s">
        <v>13</v>
      </c>
    </row>
    <row r="93" ht="14.4" spans="1:23">
      <c r="A93" s="16" t="s">
        <v>43</v>
      </c>
      <c r="B93" s="16" t="s">
        <v>161</v>
      </c>
      <c r="C93" s="16">
        <v>8729</v>
      </c>
      <c r="D93" s="16" t="s">
        <v>253</v>
      </c>
      <c r="E93" s="18">
        <f>_xlfn.IFNA(VLOOKUP(C:C,线上线下销售!B:D,3,0),0)</f>
        <v>8116.9096</v>
      </c>
      <c r="F93" s="18">
        <f>SUMIFS(线上订单!$E:$E,线上订单!$B:$B,美团日报!$C93,线上订单!$D:$D,"饿了么")</f>
        <v>1228.49135341398</v>
      </c>
      <c r="G93" s="19">
        <f t="shared" si="6"/>
        <v>0.151349640929102</v>
      </c>
      <c r="H93" s="18">
        <f>SUMIFS(线上订单!$F:$F,线上订单!$B:$B,美团日报!$C93,线上订单!$D:$D,"饿了么")</f>
        <v>33</v>
      </c>
      <c r="I93" s="18">
        <f>SUMIFS(线上订单!$F:$F,线上订单!$B:$B,美团日报!$C93,线上订单!$D:$D,"饿了么")</f>
        <v>33</v>
      </c>
      <c r="J93" s="21">
        <f t="shared" si="7"/>
        <v>37.2270107095145</v>
      </c>
      <c r="K93" s="22" t="e">
        <f t="shared" si="8"/>
        <v>#REF!</v>
      </c>
      <c r="L93" s="19" t="e">
        <f>SUMIFS(#REF!,#REF!,美团日报!$C93,#REF!,"饿了么")</f>
        <v>#REF!</v>
      </c>
      <c r="M93" s="23"/>
      <c r="N93" s="23"/>
      <c r="O93" s="22" t="e">
        <f t="shared" si="9"/>
        <v>#REF!</v>
      </c>
      <c r="P93" s="19" t="e">
        <f>SUMIFS(#REF!,#REF!,美团日报!$C93,#REF!,"饿了么")</f>
        <v>#REF!</v>
      </c>
      <c r="Q93" s="23"/>
      <c r="R93" s="23"/>
      <c r="S93" s="22" t="e">
        <f t="shared" si="10"/>
        <v>#REF!</v>
      </c>
      <c r="T93" s="19" t="e">
        <f>SUMIFS(#REF!,#REF!,美团日报!$C93,#REF!,"饿了么")</f>
        <v>#REF!</v>
      </c>
      <c r="U93" s="22" t="e">
        <f t="shared" si="11"/>
        <v>#REF!</v>
      </c>
      <c r="V93" s="19" t="e">
        <f>SUMIFS(#REF!,#REF!,美团日报!$C93,#REF!,"饿了么")</f>
        <v>#REF!</v>
      </c>
      <c r="W93" s="24" t="s">
        <v>13</v>
      </c>
    </row>
    <row r="94" ht="14.4" spans="1:23">
      <c r="A94" s="16" t="s">
        <v>43</v>
      </c>
      <c r="B94" s="16" t="s">
        <v>575</v>
      </c>
      <c r="C94" s="16">
        <v>8727</v>
      </c>
      <c r="D94" s="16" t="s">
        <v>255</v>
      </c>
      <c r="E94" s="18">
        <f>_xlfn.IFNA(VLOOKUP(C:C,线上线下销售!B:D,3,0),0)</f>
        <v>0</v>
      </c>
      <c r="F94" s="18">
        <f>SUMIFS(线上订单!$E:$E,线上订单!$B:$B,美团日报!$C94,线上订单!$D:$D,"饿了么")</f>
        <v>0</v>
      </c>
      <c r="G94" s="19">
        <f t="shared" si="6"/>
        <v>0</v>
      </c>
      <c r="H94" s="18">
        <f>SUMIFS(线上订单!$F:$F,线上订单!$B:$B,美团日报!$C94,线上订单!$D:$D,"饿了么")</f>
        <v>0</v>
      </c>
      <c r="I94" s="18">
        <f>SUMIFS(线上订单!$F:$F,线上订单!$B:$B,美团日报!$C94,线上订单!$D:$D,"饿了么")</f>
        <v>0</v>
      </c>
      <c r="J94" s="21">
        <f t="shared" si="7"/>
        <v>0</v>
      </c>
      <c r="K94" s="22" t="e">
        <f t="shared" si="8"/>
        <v>#REF!</v>
      </c>
      <c r="L94" s="19" t="e">
        <f>SUMIFS(#REF!,#REF!,美团日报!$C94,#REF!,"饿了么")</f>
        <v>#REF!</v>
      </c>
      <c r="M94" s="23"/>
      <c r="N94" s="23"/>
      <c r="O94" s="22" t="e">
        <f t="shared" si="9"/>
        <v>#REF!</v>
      </c>
      <c r="P94" s="19" t="e">
        <f>SUMIFS(#REF!,#REF!,美团日报!$C94,#REF!,"饿了么")</f>
        <v>#REF!</v>
      </c>
      <c r="Q94" s="23"/>
      <c r="R94" s="23"/>
      <c r="S94" s="22" t="e">
        <f t="shared" si="10"/>
        <v>#REF!</v>
      </c>
      <c r="T94" s="19" t="e">
        <f>SUMIFS(#REF!,#REF!,美团日报!$C94,#REF!,"饿了么")</f>
        <v>#REF!</v>
      </c>
      <c r="U94" s="22" t="e">
        <f t="shared" si="11"/>
        <v>#REF!</v>
      </c>
      <c r="V94" s="19" t="e">
        <f>SUMIFS(#REF!,#REF!,美团日报!$C94,#REF!,"饿了么")</f>
        <v>#REF!</v>
      </c>
      <c r="W94" s="24" t="s">
        <v>13</v>
      </c>
    </row>
    <row r="95" ht="14.4" spans="1:23">
      <c r="A95" s="16" t="s">
        <v>48</v>
      </c>
      <c r="B95" s="16" t="s">
        <v>89</v>
      </c>
      <c r="C95" s="16">
        <v>8722</v>
      </c>
      <c r="D95" s="16" t="s">
        <v>257</v>
      </c>
      <c r="E95" s="18">
        <f>_xlfn.IFNA(VLOOKUP(C:C,线上线下销售!B:D,3,0),0)</f>
        <v>10388.1367</v>
      </c>
      <c r="F95" s="18">
        <f>SUMIFS(线上订单!$E:$E,线上订单!$B:$B,美团日报!$C95,线上订单!$D:$D,"饿了么")</f>
        <v>260.63905983599</v>
      </c>
      <c r="G95" s="19">
        <f t="shared" si="6"/>
        <v>0.0250900683503703</v>
      </c>
      <c r="H95" s="18">
        <f>SUMIFS(线上订单!$F:$F,线上订单!$B:$B,美团日报!$C95,线上订单!$D:$D,"饿了么")</f>
        <v>7</v>
      </c>
      <c r="I95" s="18">
        <f>SUMIFS(线上订单!$F:$F,线上订单!$B:$B,美团日报!$C95,线上订单!$D:$D,"饿了么")</f>
        <v>7</v>
      </c>
      <c r="J95" s="21">
        <f t="shared" si="7"/>
        <v>37.2341514051414</v>
      </c>
      <c r="K95" s="22" t="e">
        <f t="shared" si="8"/>
        <v>#REF!</v>
      </c>
      <c r="L95" s="19" t="e">
        <f>SUMIFS(#REF!,#REF!,美团日报!$C95,#REF!,"饿了么")</f>
        <v>#REF!</v>
      </c>
      <c r="M95" s="23"/>
      <c r="N95" s="23"/>
      <c r="O95" s="22" t="e">
        <f t="shared" si="9"/>
        <v>#REF!</v>
      </c>
      <c r="P95" s="19" t="e">
        <f>SUMIFS(#REF!,#REF!,美团日报!$C95,#REF!,"饿了么")</f>
        <v>#REF!</v>
      </c>
      <c r="Q95" s="23"/>
      <c r="R95" s="23"/>
      <c r="S95" s="22" t="e">
        <f t="shared" si="10"/>
        <v>#REF!</v>
      </c>
      <c r="T95" s="19" t="e">
        <f>SUMIFS(#REF!,#REF!,美团日报!$C95,#REF!,"饿了么")</f>
        <v>#REF!</v>
      </c>
      <c r="U95" s="22" t="e">
        <f t="shared" si="11"/>
        <v>#REF!</v>
      </c>
      <c r="V95" s="19" t="e">
        <f>SUMIFS(#REF!,#REF!,美团日报!$C95,#REF!,"饿了么")</f>
        <v>#REF!</v>
      </c>
      <c r="W95" s="24" t="s">
        <v>13</v>
      </c>
    </row>
    <row r="96" ht="14.4" spans="1:23">
      <c r="A96" s="16" t="s">
        <v>43</v>
      </c>
      <c r="B96" s="16" t="s">
        <v>161</v>
      </c>
      <c r="C96" s="16">
        <v>8715</v>
      </c>
      <c r="D96" s="16" t="s">
        <v>259</v>
      </c>
      <c r="E96" s="18">
        <f>_xlfn.IFNA(VLOOKUP(C:C,线上线下销售!B:D,3,0),0)</f>
        <v>11398.6807</v>
      </c>
      <c r="F96" s="18">
        <f>SUMIFS(线上订单!$E:$E,线上订单!$B:$B,美团日报!$C96,线上订单!$D:$D,"饿了么")</f>
        <v>545.92904116261</v>
      </c>
      <c r="G96" s="19">
        <f t="shared" si="6"/>
        <v>0.0478940550692511</v>
      </c>
      <c r="H96" s="18">
        <f>SUMIFS(线上订单!$F:$F,线上订单!$B:$B,美团日报!$C96,线上订单!$D:$D,"饿了么")</f>
        <v>18</v>
      </c>
      <c r="I96" s="18">
        <f>SUMIFS(线上订单!$F:$F,线上订单!$B:$B,美团日报!$C96,线上订单!$D:$D,"饿了么")</f>
        <v>18</v>
      </c>
      <c r="J96" s="21">
        <f t="shared" si="7"/>
        <v>30.3293911757006</v>
      </c>
      <c r="K96" s="22" t="e">
        <f t="shared" si="8"/>
        <v>#REF!</v>
      </c>
      <c r="L96" s="19" t="e">
        <f>SUMIFS(#REF!,#REF!,美团日报!$C96,#REF!,"饿了么")</f>
        <v>#REF!</v>
      </c>
      <c r="M96" s="23"/>
      <c r="N96" s="23"/>
      <c r="O96" s="22" t="e">
        <f t="shared" si="9"/>
        <v>#REF!</v>
      </c>
      <c r="P96" s="19" t="e">
        <f>SUMIFS(#REF!,#REF!,美团日报!$C96,#REF!,"饿了么")</f>
        <v>#REF!</v>
      </c>
      <c r="Q96" s="23"/>
      <c r="R96" s="23"/>
      <c r="S96" s="22" t="e">
        <f t="shared" si="10"/>
        <v>#REF!</v>
      </c>
      <c r="T96" s="19" t="e">
        <f>SUMIFS(#REF!,#REF!,美团日报!$C96,#REF!,"饿了么")</f>
        <v>#REF!</v>
      </c>
      <c r="U96" s="22" t="e">
        <f t="shared" si="11"/>
        <v>#REF!</v>
      </c>
      <c r="V96" s="19" t="e">
        <f>SUMIFS(#REF!,#REF!,美团日报!$C96,#REF!,"饿了么")</f>
        <v>#REF!</v>
      </c>
      <c r="W96" s="24" t="s">
        <v>13</v>
      </c>
    </row>
    <row r="97" ht="14.4" spans="1:23">
      <c r="A97" s="16" t="s">
        <v>264</v>
      </c>
      <c r="B97" s="16" t="s">
        <v>350</v>
      </c>
      <c r="C97" s="16">
        <v>8720</v>
      </c>
      <c r="D97" s="16" t="s">
        <v>262</v>
      </c>
      <c r="E97" s="18">
        <f>_xlfn.IFNA(VLOOKUP(C:C,线上线下销售!B:D,3,0),0)</f>
        <v>9138.2401</v>
      </c>
      <c r="F97" s="18">
        <f>SUMIFS(线上订单!$E:$E,线上订单!$B:$B,美团日报!$C97,线上订单!$D:$D,"饿了么")</f>
        <v>1602.65665340586</v>
      </c>
      <c r="G97" s="19">
        <f t="shared" si="6"/>
        <v>0.175379136011743</v>
      </c>
      <c r="H97" s="18">
        <f>SUMIFS(线上订单!$F:$F,线上订单!$B:$B,美团日报!$C97,线上订单!$D:$D,"饿了么")</f>
        <v>40</v>
      </c>
      <c r="I97" s="18">
        <f>SUMIFS(线上订单!$F:$F,线上订单!$B:$B,美团日报!$C97,线上订单!$D:$D,"饿了么")</f>
        <v>40</v>
      </c>
      <c r="J97" s="21">
        <f t="shared" si="7"/>
        <v>40.0664163351465</v>
      </c>
      <c r="K97" s="22" t="e">
        <f t="shared" si="8"/>
        <v>#REF!</v>
      </c>
      <c r="L97" s="19" t="e">
        <f>SUMIFS(#REF!,#REF!,美团日报!$C97,#REF!,"饿了么")</f>
        <v>#REF!</v>
      </c>
      <c r="M97" s="23"/>
      <c r="N97" s="23"/>
      <c r="O97" s="22" t="e">
        <f t="shared" si="9"/>
        <v>#REF!</v>
      </c>
      <c r="P97" s="19" t="e">
        <f>SUMIFS(#REF!,#REF!,美团日报!$C97,#REF!,"饿了么")</f>
        <v>#REF!</v>
      </c>
      <c r="Q97" s="23"/>
      <c r="R97" s="23"/>
      <c r="S97" s="22" t="e">
        <f t="shared" si="10"/>
        <v>#REF!</v>
      </c>
      <c r="T97" s="19" t="e">
        <f>SUMIFS(#REF!,#REF!,美团日报!$C97,#REF!,"饿了么")</f>
        <v>#REF!</v>
      </c>
      <c r="U97" s="22" t="e">
        <f t="shared" si="11"/>
        <v>#REF!</v>
      </c>
      <c r="V97" s="19" t="e">
        <f>SUMIFS(#REF!,#REF!,美团日报!$C97,#REF!,"饿了么")</f>
        <v>#REF!</v>
      </c>
      <c r="W97" s="24" t="s">
        <v>13</v>
      </c>
    </row>
    <row r="98" ht="14.4" spans="1:23">
      <c r="A98" s="16" t="s">
        <v>48</v>
      </c>
      <c r="B98" s="16" t="s">
        <v>89</v>
      </c>
      <c r="C98" s="16">
        <v>8717</v>
      </c>
      <c r="D98" s="16" t="s">
        <v>265</v>
      </c>
      <c r="E98" s="18">
        <f>_xlfn.IFNA(VLOOKUP(C:C,线上线下销售!B:D,3,0),0)</f>
        <v>8215.2866</v>
      </c>
      <c r="F98" s="18">
        <f>SUMIFS(线上订单!$E:$E,线上订单!$B:$B,美团日报!$C98,线上订单!$D:$D,"饿了么")</f>
        <v>1057.5960867094</v>
      </c>
      <c r="G98" s="19">
        <f t="shared" si="6"/>
        <v>0.128735141961986</v>
      </c>
      <c r="H98" s="18">
        <f>SUMIFS(线上订单!$F:$F,线上订单!$B:$B,美团日报!$C98,线上订单!$D:$D,"饿了么")</f>
        <v>28</v>
      </c>
      <c r="I98" s="18">
        <f>SUMIFS(线上订单!$F:$F,线上订单!$B:$B,美团日报!$C98,线上订单!$D:$D,"饿了么")</f>
        <v>28</v>
      </c>
      <c r="J98" s="21">
        <f t="shared" si="7"/>
        <v>37.77128881105</v>
      </c>
      <c r="K98" s="22" t="e">
        <f t="shared" si="8"/>
        <v>#REF!</v>
      </c>
      <c r="L98" s="19" t="e">
        <f>SUMIFS(#REF!,#REF!,美团日报!$C98,#REF!,"饿了么")</f>
        <v>#REF!</v>
      </c>
      <c r="M98" s="23"/>
      <c r="N98" s="23"/>
      <c r="O98" s="22" t="e">
        <f t="shared" si="9"/>
        <v>#REF!</v>
      </c>
      <c r="P98" s="19" t="e">
        <f>SUMIFS(#REF!,#REF!,美团日报!$C98,#REF!,"饿了么")</f>
        <v>#REF!</v>
      </c>
      <c r="Q98" s="23"/>
      <c r="R98" s="23"/>
      <c r="S98" s="22" t="e">
        <f t="shared" si="10"/>
        <v>#REF!</v>
      </c>
      <c r="T98" s="19" t="e">
        <f>SUMIFS(#REF!,#REF!,美团日报!$C98,#REF!,"饿了么")</f>
        <v>#REF!</v>
      </c>
      <c r="U98" s="22" t="e">
        <f t="shared" si="11"/>
        <v>#REF!</v>
      </c>
      <c r="V98" s="19" t="e">
        <f>SUMIFS(#REF!,#REF!,美团日报!$C98,#REF!,"饿了么")</f>
        <v>#REF!</v>
      </c>
      <c r="W98" s="24" t="s">
        <v>13</v>
      </c>
    </row>
    <row r="99" ht="14.4" spans="1:23">
      <c r="A99" s="16" t="s">
        <v>43</v>
      </c>
      <c r="B99" s="16" t="s">
        <v>131</v>
      </c>
      <c r="C99" s="16">
        <v>8730</v>
      </c>
      <c r="D99" s="16" t="s">
        <v>267</v>
      </c>
      <c r="E99" s="18">
        <f>_xlfn.IFNA(VLOOKUP(C:C,线上线下销售!B:D,3,0),0)</f>
        <v>12851.1993</v>
      </c>
      <c r="F99" s="18">
        <f>SUMIFS(线上订单!$E:$E,线上订单!$B:$B,美团日报!$C99,线上订单!$D:$D,"饿了么")</f>
        <v>248.8854428838</v>
      </c>
      <c r="G99" s="19">
        <f t="shared" si="6"/>
        <v>0.0193667094466273</v>
      </c>
      <c r="H99" s="18">
        <f>SUMIFS(线上订单!$F:$F,线上订单!$B:$B,美团日报!$C99,线上订单!$D:$D,"饿了么")</f>
        <v>7</v>
      </c>
      <c r="I99" s="18">
        <f>SUMIFS(线上订单!$F:$F,线上订单!$B:$B,美团日报!$C99,线上订单!$D:$D,"饿了么")</f>
        <v>7</v>
      </c>
      <c r="J99" s="21">
        <f t="shared" si="7"/>
        <v>35.5550632691143</v>
      </c>
      <c r="K99" s="22" t="e">
        <f t="shared" si="8"/>
        <v>#REF!</v>
      </c>
      <c r="L99" s="19" t="e">
        <f>SUMIFS(#REF!,#REF!,美团日报!$C99,#REF!,"饿了么")</f>
        <v>#REF!</v>
      </c>
      <c r="M99" s="23"/>
      <c r="N99" s="23"/>
      <c r="O99" s="22" t="e">
        <f t="shared" si="9"/>
        <v>#REF!</v>
      </c>
      <c r="P99" s="19" t="e">
        <f>SUMIFS(#REF!,#REF!,美团日报!$C99,#REF!,"饿了么")</f>
        <v>#REF!</v>
      </c>
      <c r="Q99" s="23"/>
      <c r="R99" s="23"/>
      <c r="S99" s="22" t="e">
        <f t="shared" si="10"/>
        <v>#REF!</v>
      </c>
      <c r="T99" s="19" t="e">
        <f>SUMIFS(#REF!,#REF!,美团日报!$C99,#REF!,"饿了么")</f>
        <v>#REF!</v>
      </c>
      <c r="U99" s="22" t="e">
        <f t="shared" si="11"/>
        <v>#REF!</v>
      </c>
      <c r="V99" s="19" t="e">
        <f>SUMIFS(#REF!,#REF!,美团日报!$C99,#REF!,"饿了么")</f>
        <v>#REF!</v>
      </c>
      <c r="W99" s="24" t="s">
        <v>13</v>
      </c>
    </row>
    <row r="100" ht="14.4" spans="1:23">
      <c r="A100" s="16" t="s">
        <v>43</v>
      </c>
      <c r="B100" s="16" t="s">
        <v>301</v>
      </c>
      <c r="C100" s="16">
        <v>8698</v>
      </c>
      <c r="D100" s="16" t="s">
        <v>269</v>
      </c>
      <c r="E100" s="18">
        <f>_xlfn.IFNA(VLOOKUP(C:C,线上线下销售!B:D,3,0),0)</f>
        <v>9708.2172</v>
      </c>
      <c r="F100" s="18">
        <f>SUMIFS(线上订单!$E:$E,线上订单!$B:$B,美团日报!$C100,线上订单!$D:$D,"饿了么")</f>
        <v>691.68425753023</v>
      </c>
      <c r="G100" s="19">
        <f t="shared" si="6"/>
        <v>0.0712472994042851</v>
      </c>
      <c r="H100" s="18">
        <f>SUMIFS(线上订单!$F:$F,线上订单!$B:$B,美团日报!$C100,线上订单!$D:$D,"饿了么")</f>
        <v>19</v>
      </c>
      <c r="I100" s="18">
        <f>SUMIFS(线上订单!$F:$F,线上订单!$B:$B,美团日报!$C100,线上订单!$D:$D,"饿了么")</f>
        <v>19</v>
      </c>
      <c r="J100" s="21">
        <f t="shared" si="7"/>
        <v>36.4044346068542</v>
      </c>
      <c r="K100" s="22" t="e">
        <f t="shared" si="8"/>
        <v>#REF!</v>
      </c>
      <c r="L100" s="19" t="e">
        <f>SUMIFS(#REF!,#REF!,美团日报!$C100,#REF!,"饿了么")</f>
        <v>#REF!</v>
      </c>
      <c r="M100" s="23"/>
      <c r="N100" s="23"/>
      <c r="O100" s="22" t="e">
        <f t="shared" si="9"/>
        <v>#REF!</v>
      </c>
      <c r="P100" s="19" t="e">
        <f>SUMIFS(#REF!,#REF!,美团日报!$C100,#REF!,"饿了么")</f>
        <v>#REF!</v>
      </c>
      <c r="Q100" s="23"/>
      <c r="R100" s="23"/>
      <c r="S100" s="22" t="e">
        <f t="shared" si="10"/>
        <v>#REF!</v>
      </c>
      <c r="T100" s="19" t="e">
        <f>SUMIFS(#REF!,#REF!,美团日报!$C100,#REF!,"饿了么")</f>
        <v>#REF!</v>
      </c>
      <c r="U100" s="22" t="e">
        <f t="shared" si="11"/>
        <v>#REF!</v>
      </c>
      <c r="V100" s="19" t="e">
        <f>SUMIFS(#REF!,#REF!,美团日报!$C100,#REF!,"饿了么")</f>
        <v>#REF!</v>
      </c>
      <c r="W100" s="24" t="s">
        <v>13</v>
      </c>
    </row>
    <row r="101" ht="14.4" spans="1:23">
      <c r="A101" s="16" t="s">
        <v>43</v>
      </c>
      <c r="B101" s="16" t="s">
        <v>575</v>
      </c>
      <c r="C101" s="16">
        <v>8731</v>
      </c>
      <c r="D101" s="16" t="s">
        <v>271</v>
      </c>
      <c r="E101" s="18">
        <f>_xlfn.IFNA(VLOOKUP(C:C,线上线下销售!B:D,3,0),0)</f>
        <v>7623.9562</v>
      </c>
      <c r="F101" s="18">
        <f>SUMIFS(线上订单!$E:$E,线上订单!$B:$B,美团日报!$C101,线上订单!$D:$D,"饿了么")</f>
        <v>462.30640578055</v>
      </c>
      <c r="G101" s="19">
        <f t="shared" si="6"/>
        <v>0.0606386492331304</v>
      </c>
      <c r="H101" s="18">
        <f>SUMIFS(线上订单!$F:$F,线上订单!$B:$B,美团日报!$C101,线上订单!$D:$D,"饿了么")</f>
        <v>13</v>
      </c>
      <c r="I101" s="18">
        <f>SUMIFS(线上订单!$F:$F,线上订单!$B:$B,美团日报!$C101,线上订单!$D:$D,"饿了么")</f>
        <v>13</v>
      </c>
      <c r="J101" s="21">
        <f t="shared" si="7"/>
        <v>35.5620312138885</v>
      </c>
      <c r="K101" s="22" t="e">
        <f t="shared" si="8"/>
        <v>#REF!</v>
      </c>
      <c r="L101" s="19" t="e">
        <f>SUMIFS(#REF!,#REF!,美团日报!$C101,#REF!,"饿了么")</f>
        <v>#REF!</v>
      </c>
      <c r="M101" s="23"/>
      <c r="N101" s="23"/>
      <c r="O101" s="22" t="e">
        <f t="shared" si="9"/>
        <v>#REF!</v>
      </c>
      <c r="P101" s="19" t="e">
        <f>SUMIFS(#REF!,#REF!,美团日报!$C101,#REF!,"饿了么")</f>
        <v>#REF!</v>
      </c>
      <c r="Q101" s="23"/>
      <c r="R101" s="23"/>
      <c r="S101" s="22" t="e">
        <f t="shared" si="10"/>
        <v>#REF!</v>
      </c>
      <c r="T101" s="19" t="e">
        <f>SUMIFS(#REF!,#REF!,美团日报!$C101,#REF!,"饿了么")</f>
        <v>#REF!</v>
      </c>
      <c r="U101" s="22" t="e">
        <f t="shared" si="11"/>
        <v>#REF!</v>
      </c>
      <c r="V101" s="19" t="e">
        <f>SUMIFS(#REF!,#REF!,美团日报!$C101,#REF!,"饿了么")</f>
        <v>#REF!</v>
      </c>
      <c r="W101" s="24" t="s">
        <v>13</v>
      </c>
    </row>
    <row r="102" ht="14.4" spans="1:23">
      <c r="A102" s="16" t="s">
        <v>63</v>
      </c>
      <c r="B102" s="16" t="s">
        <v>574</v>
      </c>
      <c r="C102" s="16">
        <v>8737</v>
      </c>
      <c r="D102" s="16" t="s">
        <v>273</v>
      </c>
      <c r="E102" s="18">
        <f>_xlfn.IFNA(VLOOKUP(C:C,线上线下销售!B:D,3,0),0)</f>
        <v>12861.4771</v>
      </c>
      <c r="F102" s="18">
        <f>SUMIFS(线上订单!$E:$E,线上订单!$B:$B,美团日报!$C102,线上订单!$D:$D,"饿了么")</f>
        <v>137.16992774215</v>
      </c>
      <c r="G102" s="19">
        <f t="shared" si="6"/>
        <v>0.0106651768436574</v>
      </c>
      <c r="H102" s="18">
        <f>SUMIFS(线上订单!$F:$F,线上订单!$B:$B,美团日报!$C102,线上订单!$D:$D,"饿了么")</f>
        <v>4</v>
      </c>
      <c r="I102" s="18">
        <f>SUMIFS(线上订单!$F:$F,线上订单!$B:$B,美团日报!$C102,线上订单!$D:$D,"饿了么")</f>
        <v>4</v>
      </c>
      <c r="J102" s="21">
        <f t="shared" si="7"/>
        <v>34.2924819355375</v>
      </c>
      <c r="K102" s="22" t="e">
        <f t="shared" si="8"/>
        <v>#REF!</v>
      </c>
      <c r="L102" s="19" t="e">
        <f>SUMIFS(#REF!,#REF!,美团日报!$C102,#REF!,"饿了么")</f>
        <v>#REF!</v>
      </c>
      <c r="M102" s="23"/>
      <c r="N102" s="23"/>
      <c r="O102" s="22" t="e">
        <f t="shared" si="9"/>
        <v>#REF!</v>
      </c>
      <c r="P102" s="19" t="e">
        <f>SUMIFS(#REF!,#REF!,美团日报!$C102,#REF!,"饿了么")</f>
        <v>#REF!</v>
      </c>
      <c r="Q102" s="23"/>
      <c r="R102" s="23"/>
      <c r="S102" s="22" t="e">
        <f t="shared" si="10"/>
        <v>#REF!</v>
      </c>
      <c r="T102" s="19" t="e">
        <f>SUMIFS(#REF!,#REF!,美团日报!$C102,#REF!,"饿了么")</f>
        <v>#REF!</v>
      </c>
      <c r="U102" s="22" t="e">
        <f t="shared" si="11"/>
        <v>#REF!</v>
      </c>
      <c r="V102" s="19" t="e">
        <f>SUMIFS(#REF!,#REF!,美团日报!$C102,#REF!,"饿了么")</f>
        <v>#REF!</v>
      </c>
      <c r="W102" s="24" t="s">
        <v>13</v>
      </c>
    </row>
    <row r="103" ht="14.4" spans="1:23">
      <c r="A103" s="16" t="s">
        <v>48</v>
      </c>
      <c r="B103" s="16" t="s">
        <v>64</v>
      </c>
      <c r="C103" s="16">
        <v>8735</v>
      </c>
      <c r="D103" s="16" t="s">
        <v>275</v>
      </c>
      <c r="E103" s="18">
        <f>_xlfn.IFNA(VLOOKUP(C:C,线上线下销售!B:D,3,0),0)</f>
        <v>5171.4056</v>
      </c>
      <c r="F103" s="18">
        <f>SUMIFS(线上订单!$E:$E,线上订单!$B:$B,美团日报!$C103,线上订单!$D:$D,"饿了么")</f>
        <v>102.55752212389</v>
      </c>
      <c r="G103" s="19">
        <f t="shared" si="6"/>
        <v>0.0198316531435651</v>
      </c>
      <c r="H103" s="18">
        <f>SUMIFS(线上订单!$F:$F,线上订单!$B:$B,美团日报!$C103,线上订单!$D:$D,"饿了么")</f>
        <v>3</v>
      </c>
      <c r="I103" s="18">
        <f>SUMIFS(线上订单!$F:$F,线上订单!$B:$B,美团日报!$C103,线上订单!$D:$D,"饿了么")</f>
        <v>3</v>
      </c>
      <c r="J103" s="21">
        <f t="shared" si="7"/>
        <v>34.1858407079633</v>
      </c>
      <c r="K103" s="22" t="e">
        <f t="shared" si="8"/>
        <v>#REF!</v>
      </c>
      <c r="L103" s="19" t="e">
        <f>SUMIFS(#REF!,#REF!,美团日报!$C103,#REF!,"饿了么")</f>
        <v>#REF!</v>
      </c>
      <c r="M103" s="23"/>
      <c r="N103" s="23"/>
      <c r="O103" s="22" t="e">
        <f t="shared" si="9"/>
        <v>#REF!</v>
      </c>
      <c r="P103" s="19" t="e">
        <f>SUMIFS(#REF!,#REF!,美团日报!$C103,#REF!,"饿了么")</f>
        <v>#REF!</v>
      </c>
      <c r="Q103" s="23"/>
      <c r="R103" s="23"/>
      <c r="S103" s="22" t="e">
        <f t="shared" si="10"/>
        <v>#REF!</v>
      </c>
      <c r="T103" s="19" t="e">
        <f>SUMIFS(#REF!,#REF!,美团日报!$C103,#REF!,"饿了么")</f>
        <v>#REF!</v>
      </c>
      <c r="U103" s="22" t="e">
        <f t="shared" si="11"/>
        <v>#REF!</v>
      </c>
      <c r="V103" s="19" t="e">
        <f>SUMIFS(#REF!,#REF!,美团日报!$C103,#REF!,"饿了么")</f>
        <v>#REF!</v>
      </c>
      <c r="W103" s="24" t="s">
        <v>13</v>
      </c>
    </row>
    <row r="104" ht="14.4" spans="1:23">
      <c r="A104" s="16" t="s">
        <v>48</v>
      </c>
      <c r="B104" s="16" t="s">
        <v>49</v>
      </c>
      <c r="C104" s="16">
        <v>8705</v>
      </c>
      <c r="D104" s="16" t="s">
        <v>277</v>
      </c>
      <c r="E104" s="18">
        <f>_xlfn.IFNA(VLOOKUP(C:C,线上线下销售!B:D,3,0),0)</f>
        <v>11492.1719</v>
      </c>
      <c r="F104" s="18">
        <f>SUMIFS(线上订单!$E:$E,线上订单!$B:$B,美团日报!$C104,线上订单!$D:$D,"饿了么")</f>
        <v>881.06998457415</v>
      </c>
      <c r="G104" s="19">
        <f t="shared" si="6"/>
        <v>0.0766669688063185</v>
      </c>
      <c r="H104" s="18">
        <f>SUMIFS(线上订单!$F:$F,线上订单!$B:$B,美团日报!$C104,线上订单!$D:$D,"饿了么")</f>
        <v>21</v>
      </c>
      <c r="I104" s="18">
        <f>SUMIFS(线上订单!$F:$F,线上订单!$B:$B,美团日报!$C104,线上订单!$D:$D,"饿了么")</f>
        <v>21</v>
      </c>
      <c r="J104" s="21">
        <f t="shared" si="7"/>
        <v>41.95571355115</v>
      </c>
      <c r="K104" s="22" t="e">
        <f t="shared" si="8"/>
        <v>#REF!</v>
      </c>
      <c r="L104" s="19" t="e">
        <f>SUMIFS(#REF!,#REF!,美团日报!$C104,#REF!,"饿了么")</f>
        <v>#REF!</v>
      </c>
      <c r="M104" s="23"/>
      <c r="N104" s="23"/>
      <c r="O104" s="22" t="e">
        <f t="shared" si="9"/>
        <v>#REF!</v>
      </c>
      <c r="P104" s="19" t="e">
        <f>SUMIFS(#REF!,#REF!,美团日报!$C104,#REF!,"饿了么")</f>
        <v>#REF!</v>
      </c>
      <c r="Q104" s="23"/>
      <c r="R104" s="23"/>
      <c r="S104" s="22" t="e">
        <f t="shared" si="10"/>
        <v>#REF!</v>
      </c>
      <c r="T104" s="19" t="e">
        <f>SUMIFS(#REF!,#REF!,美团日报!$C104,#REF!,"饿了么")</f>
        <v>#REF!</v>
      </c>
      <c r="U104" s="22" t="e">
        <f t="shared" si="11"/>
        <v>#REF!</v>
      </c>
      <c r="V104" s="19" t="e">
        <f>SUMIFS(#REF!,#REF!,美团日报!$C104,#REF!,"饿了么")</f>
        <v>#REF!</v>
      </c>
      <c r="W104" s="24" t="s">
        <v>13</v>
      </c>
    </row>
    <row r="105" ht="14.4" spans="1:23">
      <c r="A105" s="16" t="s">
        <v>43</v>
      </c>
      <c r="B105" s="16" t="s">
        <v>143</v>
      </c>
      <c r="C105" s="16">
        <v>8734</v>
      </c>
      <c r="D105" s="16" t="s">
        <v>279</v>
      </c>
      <c r="E105" s="18">
        <f>_xlfn.IFNA(VLOOKUP(C:C,线上线下销售!B:D,3,0),0)</f>
        <v>0</v>
      </c>
      <c r="F105" s="18">
        <f>SUMIFS(线上订单!$E:$E,线上订单!$B:$B,美团日报!$C105,线上订单!$D:$D,"饿了么")</f>
        <v>0</v>
      </c>
      <c r="G105" s="19">
        <f t="shared" si="6"/>
        <v>0</v>
      </c>
      <c r="H105" s="18">
        <f>SUMIFS(线上订单!$F:$F,线上订单!$B:$B,美团日报!$C105,线上订单!$D:$D,"饿了么")</f>
        <v>0</v>
      </c>
      <c r="I105" s="18">
        <f>SUMIFS(线上订单!$F:$F,线上订单!$B:$B,美团日报!$C105,线上订单!$D:$D,"饿了么")</f>
        <v>0</v>
      </c>
      <c r="J105" s="21">
        <f t="shared" si="7"/>
        <v>0</v>
      </c>
      <c r="K105" s="22" t="e">
        <f t="shared" si="8"/>
        <v>#REF!</v>
      </c>
      <c r="L105" s="19" t="e">
        <f>SUMIFS(#REF!,#REF!,美团日报!$C105,#REF!,"饿了么")</f>
        <v>#REF!</v>
      </c>
      <c r="M105" s="23"/>
      <c r="N105" s="23"/>
      <c r="O105" s="22" t="e">
        <f t="shared" si="9"/>
        <v>#REF!</v>
      </c>
      <c r="P105" s="19" t="e">
        <f>SUMIFS(#REF!,#REF!,美团日报!$C105,#REF!,"饿了么")</f>
        <v>#REF!</v>
      </c>
      <c r="Q105" s="23"/>
      <c r="R105" s="23"/>
      <c r="S105" s="22" t="e">
        <f t="shared" si="10"/>
        <v>#REF!</v>
      </c>
      <c r="T105" s="19" t="e">
        <f>SUMIFS(#REF!,#REF!,美团日报!$C105,#REF!,"饿了么")</f>
        <v>#REF!</v>
      </c>
      <c r="U105" s="22" t="e">
        <f t="shared" si="11"/>
        <v>#REF!</v>
      </c>
      <c r="V105" s="19" t="e">
        <f>SUMIFS(#REF!,#REF!,美团日报!$C105,#REF!,"饿了么")</f>
        <v>#REF!</v>
      </c>
      <c r="W105" s="24" t="s">
        <v>13</v>
      </c>
    </row>
    <row r="106" ht="14.4" spans="1:23">
      <c r="A106" s="16" t="s">
        <v>56</v>
      </c>
      <c r="B106" s="16" t="s">
        <v>118</v>
      </c>
      <c r="C106" s="16">
        <v>8736</v>
      </c>
      <c r="D106" s="16" t="s">
        <v>282</v>
      </c>
      <c r="E106" s="18">
        <f>_xlfn.IFNA(VLOOKUP(C:C,线上线下销售!B:D,3,0),0)</f>
        <v>13865.2743</v>
      </c>
      <c r="F106" s="18">
        <f>SUMIFS(线上订单!$E:$E,线上订单!$B:$B,美团日报!$C106,线上订单!$D:$D,"饿了么")</f>
        <v>986.10946659084</v>
      </c>
      <c r="G106" s="19">
        <f t="shared" si="6"/>
        <v>0.0711208047713012</v>
      </c>
      <c r="H106" s="18">
        <f>SUMIFS(线上订单!$F:$F,线上订单!$B:$B,美团日报!$C106,线上订单!$D:$D,"饿了么")</f>
        <v>25</v>
      </c>
      <c r="I106" s="18">
        <f>SUMIFS(线上订单!$F:$F,线上订单!$B:$B,美团日报!$C106,线上订单!$D:$D,"饿了么")</f>
        <v>25</v>
      </c>
      <c r="J106" s="21">
        <f t="shared" si="7"/>
        <v>39.4443786636336</v>
      </c>
      <c r="K106" s="22" t="e">
        <f t="shared" si="8"/>
        <v>#REF!</v>
      </c>
      <c r="L106" s="19" t="e">
        <f>SUMIFS(#REF!,#REF!,美团日报!$C106,#REF!,"饿了么")</f>
        <v>#REF!</v>
      </c>
      <c r="M106" s="23"/>
      <c r="N106" s="23"/>
      <c r="O106" s="22" t="e">
        <f t="shared" si="9"/>
        <v>#REF!</v>
      </c>
      <c r="P106" s="19" t="e">
        <f>SUMIFS(#REF!,#REF!,美团日报!$C106,#REF!,"饿了么")</f>
        <v>#REF!</v>
      </c>
      <c r="Q106" s="23"/>
      <c r="R106" s="23"/>
      <c r="S106" s="22" t="e">
        <f t="shared" si="10"/>
        <v>#REF!</v>
      </c>
      <c r="T106" s="19" t="e">
        <f>SUMIFS(#REF!,#REF!,美团日报!$C106,#REF!,"饿了么")</f>
        <v>#REF!</v>
      </c>
      <c r="U106" s="22" t="e">
        <f t="shared" si="11"/>
        <v>#REF!</v>
      </c>
      <c r="V106" s="19" t="e">
        <f>SUMIFS(#REF!,#REF!,美团日报!$C106,#REF!,"饿了么")</f>
        <v>#REF!</v>
      </c>
      <c r="W106" s="24" t="s">
        <v>13</v>
      </c>
    </row>
    <row r="107" ht="14.4" spans="1:23">
      <c r="A107" s="16" t="s">
        <v>48</v>
      </c>
      <c r="B107" s="16" t="s">
        <v>64</v>
      </c>
      <c r="C107" s="16">
        <v>8741</v>
      </c>
      <c r="D107" s="16" t="s">
        <v>284</v>
      </c>
      <c r="E107" s="18">
        <f>_xlfn.IFNA(VLOOKUP(C:C,线上线下销售!B:D,3,0),0)</f>
        <v>10850.6639</v>
      </c>
      <c r="F107" s="18">
        <f>SUMIFS(线上订单!$E:$E,线上订单!$B:$B,美团日报!$C107,线上订单!$D:$D,"饿了么")</f>
        <v>0</v>
      </c>
      <c r="G107" s="19">
        <f t="shared" si="6"/>
        <v>0</v>
      </c>
      <c r="H107" s="18">
        <f>SUMIFS(线上订单!$F:$F,线上订单!$B:$B,美团日报!$C107,线上订单!$D:$D,"饿了么")</f>
        <v>0</v>
      </c>
      <c r="I107" s="18">
        <f>SUMIFS(线上订单!$F:$F,线上订单!$B:$B,美团日报!$C107,线上订单!$D:$D,"饿了么")</f>
        <v>0</v>
      </c>
      <c r="J107" s="21">
        <f t="shared" si="7"/>
        <v>0</v>
      </c>
      <c r="K107" s="22" t="e">
        <f t="shared" si="8"/>
        <v>#REF!</v>
      </c>
      <c r="L107" s="19" t="e">
        <f>SUMIFS(#REF!,#REF!,美团日报!$C107,#REF!,"饿了么")</f>
        <v>#REF!</v>
      </c>
      <c r="M107" s="23"/>
      <c r="N107" s="23"/>
      <c r="O107" s="22" t="e">
        <f t="shared" si="9"/>
        <v>#REF!</v>
      </c>
      <c r="P107" s="19" t="e">
        <f>SUMIFS(#REF!,#REF!,美团日报!$C107,#REF!,"饿了么")</f>
        <v>#REF!</v>
      </c>
      <c r="Q107" s="23"/>
      <c r="R107" s="23"/>
      <c r="S107" s="22" t="e">
        <f t="shared" si="10"/>
        <v>#REF!</v>
      </c>
      <c r="T107" s="19" t="e">
        <f>SUMIFS(#REF!,#REF!,美团日报!$C107,#REF!,"饿了么")</f>
        <v>#REF!</v>
      </c>
      <c r="U107" s="22" t="e">
        <f t="shared" si="11"/>
        <v>#REF!</v>
      </c>
      <c r="V107" s="19" t="e">
        <f>SUMIFS(#REF!,#REF!,美团日报!$C107,#REF!,"饿了么")</f>
        <v>#REF!</v>
      </c>
      <c r="W107" s="24" t="s">
        <v>13</v>
      </c>
    </row>
    <row r="108" ht="14.4" spans="1:23">
      <c r="A108" s="16" t="s">
        <v>56</v>
      </c>
      <c r="B108" s="16" t="s">
        <v>57</v>
      </c>
      <c r="C108" s="16">
        <v>8742</v>
      </c>
      <c r="D108" s="16" t="s">
        <v>286</v>
      </c>
      <c r="E108" s="18">
        <f>_xlfn.IFNA(VLOOKUP(C:C,线上线下销售!B:D,3,0),0)</f>
        <v>0</v>
      </c>
      <c r="F108" s="18">
        <f>SUMIFS(线上订单!$E:$E,线上订单!$B:$B,美团日报!$C108,线上订单!$D:$D,"饿了么")</f>
        <v>0</v>
      </c>
      <c r="G108" s="19">
        <f t="shared" si="6"/>
        <v>0</v>
      </c>
      <c r="H108" s="18">
        <f>SUMIFS(线上订单!$F:$F,线上订单!$B:$B,美团日报!$C108,线上订单!$D:$D,"饿了么")</f>
        <v>0</v>
      </c>
      <c r="I108" s="18">
        <f>SUMIFS(线上订单!$F:$F,线上订单!$B:$B,美团日报!$C108,线上订单!$D:$D,"饿了么")</f>
        <v>0</v>
      </c>
      <c r="J108" s="21">
        <f t="shared" si="7"/>
        <v>0</v>
      </c>
      <c r="K108" s="22" t="e">
        <f t="shared" si="8"/>
        <v>#REF!</v>
      </c>
      <c r="L108" s="19" t="e">
        <f>SUMIFS(#REF!,#REF!,美团日报!$C108,#REF!,"饿了么")</f>
        <v>#REF!</v>
      </c>
      <c r="M108" s="23"/>
      <c r="N108" s="23"/>
      <c r="O108" s="22" t="e">
        <f t="shared" si="9"/>
        <v>#REF!</v>
      </c>
      <c r="P108" s="19" t="e">
        <f>SUMIFS(#REF!,#REF!,美团日报!$C108,#REF!,"饿了么")</f>
        <v>#REF!</v>
      </c>
      <c r="Q108" s="23"/>
      <c r="R108" s="23"/>
      <c r="S108" s="22" t="e">
        <f t="shared" si="10"/>
        <v>#REF!</v>
      </c>
      <c r="T108" s="19" t="e">
        <f>SUMIFS(#REF!,#REF!,美团日报!$C108,#REF!,"饿了么")</f>
        <v>#REF!</v>
      </c>
      <c r="U108" s="22" t="e">
        <f t="shared" si="11"/>
        <v>#REF!</v>
      </c>
      <c r="V108" s="19" t="e">
        <f>SUMIFS(#REF!,#REF!,美团日报!$C108,#REF!,"饿了么")</f>
        <v>#REF!</v>
      </c>
      <c r="W108" s="24" t="s">
        <v>13</v>
      </c>
    </row>
    <row r="109" ht="14.4" spans="1:23">
      <c r="A109" s="16" t="s">
        <v>48</v>
      </c>
      <c r="B109" s="16" t="s">
        <v>64</v>
      </c>
      <c r="C109" s="16">
        <v>8743</v>
      </c>
      <c r="D109" s="16" t="s">
        <v>288</v>
      </c>
      <c r="E109" s="18">
        <f>_xlfn.IFNA(VLOOKUP(C:C,线上线下销售!B:D,3,0),0)</f>
        <v>51.4158</v>
      </c>
      <c r="F109" s="18">
        <f>SUMIFS(线上订单!$E:$E,线上订单!$B:$B,美团日报!$C109,线上订单!$D:$D,"饿了么")</f>
        <v>0</v>
      </c>
      <c r="G109" s="19">
        <f t="shared" si="6"/>
        <v>0</v>
      </c>
      <c r="H109" s="18">
        <f>SUMIFS(线上订单!$F:$F,线上订单!$B:$B,美团日报!$C109,线上订单!$D:$D,"饿了么")</f>
        <v>0</v>
      </c>
      <c r="I109" s="18">
        <f>SUMIFS(线上订单!$F:$F,线上订单!$B:$B,美团日报!$C109,线上订单!$D:$D,"饿了么")</f>
        <v>0</v>
      </c>
      <c r="J109" s="21">
        <f t="shared" si="7"/>
        <v>0</v>
      </c>
      <c r="K109" s="22" t="e">
        <f t="shared" si="8"/>
        <v>#REF!</v>
      </c>
      <c r="L109" s="19" t="e">
        <f>SUMIFS(#REF!,#REF!,美团日报!$C109,#REF!,"饿了么")</f>
        <v>#REF!</v>
      </c>
      <c r="M109" s="23"/>
      <c r="N109" s="23"/>
      <c r="O109" s="22" t="e">
        <f t="shared" si="9"/>
        <v>#REF!</v>
      </c>
      <c r="P109" s="19" t="e">
        <f>SUMIFS(#REF!,#REF!,美团日报!$C109,#REF!,"饿了么")</f>
        <v>#REF!</v>
      </c>
      <c r="Q109" s="23"/>
      <c r="R109" s="23"/>
      <c r="S109" s="22" t="e">
        <f t="shared" si="10"/>
        <v>#REF!</v>
      </c>
      <c r="T109" s="19" t="e">
        <f>SUMIFS(#REF!,#REF!,美团日报!$C109,#REF!,"饿了么")</f>
        <v>#REF!</v>
      </c>
      <c r="U109" s="22" t="e">
        <f t="shared" si="11"/>
        <v>#REF!</v>
      </c>
      <c r="V109" s="19" t="e">
        <f>SUMIFS(#REF!,#REF!,美团日报!$C109,#REF!,"饿了么")</f>
        <v>#REF!</v>
      </c>
      <c r="W109" s="24" t="s">
        <v>13</v>
      </c>
    </row>
    <row r="110" ht="14.4" spans="1:23">
      <c r="A110" s="16" t="s">
        <v>63</v>
      </c>
      <c r="B110" s="16" t="s">
        <v>60</v>
      </c>
      <c r="C110" s="16">
        <v>8745</v>
      </c>
      <c r="D110" s="16" t="s">
        <v>290</v>
      </c>
      <c r="E110" s="18">
        <f>_xlfn.IFNA(VLOOKUP(C:C,线上线下销售!B:D,3,0),0)</f>
        <v>33702.1923</v>
      </c>
      <c r="F110" s="18">
        <f>SUMIFS(线上订单!$E:$E,线上订单!$B:$B,美团日报!$C110,线上订单!$D:$D,"饿了么")</f>
        <v>0</v>
      </c>
      <c r="G110" s="19">
        <f t="shared" si="6"/>
        <v>0</v>
      </c>
      <c r="H110" s="18">
        <f>SUMIFS(线上订单!$F:$F,线上订单!$B:$B,美团日报!$C110,线上订单!$D:$D,"饿了么")</f>
        <v>0</v>
      </c>
      <c r="I110" s="18">
        <f>SUMIFS(线上订单!$F:$F,线上订单!$B:$B,美团日报!$C110,线上订单!$D:$D,"饿了么")</f>
        <v>0</v>
      </c>
      <c r="J110" s="21">
        <f t="shared" si="7"/>
        <v>0</v>
      </c>
      <c r="K110" s="22" t="e">
        <f t="shared" si="8"/>
        <v>#REF!</v>
      </c>
      <c r="L110" s="19" t="e">
        <f>SUMIFS(#REF!,#REF!,美团日报!$C110,#REF!,"饿了么")</f>
        <v>#REF!</v>
      </c>
      <c r="M110" s="23"/>
      <c r="N110" s="23"/>
      <c r="O110" s="22" t="e">
        <f t="shared" si="9"/>
        <v>#REF!</v>
      </c>
      <c r="P110" s="19" t="e">
        <f>SUMIFS(#REF!,#REF!,美团日报!$C110,#REF!,"饿了么")</f>
        <v>#REF!</v>
      </c>
      <c r="Q110" s="23"/>
      <c r="R110" s="23"/>
      <c r="S110" s="22" t="e">
        <f t="shared" si="10"/>
        <v>#REF!</v>
      </c>
      <c r="T110" s="19" t="e">
        <f>SUMIFS(#REF!,#REF!,美团日报!$C110,#REF!,"饿了么")</f>
        <v>#REF!</v>
      </c>
      <c r="U110" s="22" t="e">
        <f t="shared" si="11"/>
        <v>#REF!</v>
      </c>
      <c r="V110" s="19" t="e">
        <f>SUMIFS(#REF!,#REF!,美团日报!$C110,#REF!,"饿了么")</f>
        <v>#REF!</v>
      </c>
      <c r="W110" s="24" t="s">
        <v>13</v>
      </c>
    </row>
    <row r="111" ht="14.4" spans="1:23">
      <c r="A111" s="16" t="s">
        <v>63</v>
      </c>
      <c r="B111" s="16" t="s">
        <v>60</v>
      </c>
      <c r="C111" s="16">
        <v>8696</v>
      </c>
      <c r="D111" s="16" t="s">
        <v>292</v>
      </c>
      <c r="E111" s="18">
        <f>_xlfn.IFNA(VLOOKUP(C:C,线上线下销售!B:D,3,0),0)</f>
        <v>11589.3789</v>
      </c>
      <c r="F111" s="18">
        <f>SUMIFS(线上订单!$E:$E,线上订单!$B:$B,美团日报!$C111,线上订单!$D:$D,"饿了么")</f>
        <v>0</v>
      </c>
      <c r="G111" s="19">
        <f t="shared" si="6"/>
        <v>0</v>
      </c>
      <c r="H111" s="18">
        <f>SUMIFS(线上订单!$F:$F,线上订单!$B:$B,美团日报!$C111,线上订单!$D:$D,"饿了么")</f>
        <v>0</v>
      </c>
      <c r="I111" s="18">
        <f>SUMIFS(线上订单!$F:$F,线上订单!$B:$B,美团日报!$C111,线上订单!$D:$D,"饿了么")</f>
        <v>0</v>
      </c>
      <c r="J111" s="21">
        <f t="shared" si="7"/>
        <v>0</v>
      </c>
      <c r="K111" s="22" t="e">
        <f t="shared" si="8"/>
        <v>#REF!</v>
      </c>
      <c r="L111" s="19" t="e">
        <f>SUMIFS(#REF!,#REF!,美团日报!$C111,#REF!,"饿了么")</f>
        <v>#REF!</v>
      </c>
      <c r="M111" s="23"/>
      <c r="N111" s="23"/>
      <c r="O111" s="22" t="e">
        <f t="shared" si="9"/>
        <v>#REF!</v>
      </c>
      <c r="P111" s="19" t="e">
        <f>SUMIFS(#REF!,#REF!,美团日报!$C111,#REF!,"饿了么")</f>
        <v>#REF!</v>
      </c>
      <c r="Q111" s="23"/>
      <c r="R111" s="23"/>
      <c r="S111" s="22" t="e">
        <f t="shared" si="10"/>
        <v>#REF!</v>
      </c>
      <c r="T111" s="19" t="e">
        <f>SUMIFS(#REF!,#REF!,美团日报!$C111,#REF!,"饿了么")</f>
        <v>#REF!</v>
      </c>
      <c r="U111" s="22" t="e">
        <f t="shared" si="11"/>
        <v>#REF!</v>
      </c>
      <c r="V111" s="19" t="e">
        <f>SUMIFS(#REF!,#REF!,美团日报!$C111,#REF!,"饿了么")</f>
        <v>#REF!</v>
      </c>
      <c r="W111" s="24" t="s">
        <v>13</v>
      </c>
    </row>
    <row r="112" ht="14.4" spans="1:23">
      <c r="A112" s="16" t="s">
        <v>43</v>
      </c>
      <c r="B112" s="16" t="s">
        <v>161</v>
      </c>
      <c r="C112" s="16">
        <v>1550</v>
      </c>
      <c r="D112" s="16" t="s">
        <v>294</v>
      </c>
      <c r="E112" s="18">
        <f>_xlfn.IFNA(VLOOKUP(C:C,线上线下销售!B:D,3,0),0)</f>
        <v>6057.4418</v>
      </c>
      <c r="F112" s="18">
        <f>SUMIFS(线上订单!$E:$E,线上订单!$B:$B,美团日报!$C112,线上订单!$D:$D,"饿了么")</f>
        <v>472.56336770305</v>
      </c>
      <c r="G112" s="19">
        <f t="shared" si="6"/>
        <v>0.0780136868509492</v>
      </c>
      <c r="H112" s="18">
        <f>SUMIFS(线上订单!$F:$F,线上订单!$B:$B,美团日报!$C112,线上订单!$D:$D,"饿了么")</f>
        <v>12</v>
      </c>
      <c r="I112" s="18">
        <f>SUMIFS(线上订单!$F:$F,线上订单!$B:$B,美团日报!$C112,线上订单!$D:$D,"饿了么")</f>
        <v>12</v>
      </c>
      <c r="J112" s="21">
        <f t="shared" si="7"/>
        <v>39.3802806419208</v>
      </c>
      <c r="K112" s="22" t="e">
        <f t="shared" si="8"/>
        <v>#REF!</v>
      </c>
      <c r="L112" s="19" t="e">
        <f>SUMIFS(#REF!,#REF!,美团日报!$C112,#REF!,"饿了么")</f>
        <v>#REF!</v>
      </c>
      <c r="M112" s="23"/>
      <c r="N112" s="23"/>
      <c r="O112" s="22" t="e">
        <f t="shared" si="9"/>
        <v>#REF!</v>
      </c>
      <c r="P112" s="19" t="e">
        <f>SUMIFS(#REF!,#REF!,美团日报!$C112,#REF!,"饿了么")</f>
        <v>#REF!</v>
      </c>
      <c r="Q112" s="23"/>
      <c r="R112" s="23"/>
      <c r="S112" s="22" t="e">
        <f t="shared" si="10"/>
        <v>#REF!</v>
      </c>
      <c r="T112" s="19" t="e">
        <f>SUMIFS(#REF!,#REF!,美团日报!$C112,#REF!,"饿了么")</f>
        <v>#REF!</v>
      </c>
      <c r="U112" s="22" t="e">
        <f t="shared" si="11"/>
        <v>#REF!</v>
      </c>
      <c r="V112" s="19" t="e">
        <f>SUMIFS(#REF!,#REF!,美团日报!$C112,#REF!,"饿了么")</f>
        <v>#REF!</v>
      </c>
      <c r="W112" s="24" t="s">
        <v>19</v>
      </c>
    </row>
    <row r="113" ht="14.4" spans="1:23">
      <c r="A113" s="16" t="s">
        <v>264</v>
      </c>
      <c r="B113" s="16" t="s">
        <v>296</v>
      </c>
      <c r="C113" s="16">
        <v>1048</v>
      </c>
      <c r="D113" s="16" t="s">
        <v>297</v>
      </c>
      <c r="E113" s="18">
        <f>_xlfn.IFNA(VLOOKUP(C:C,线上线下销售!B:D,3,0),0)</f>
        <v>3878.4938</v>
      </c>
      <c r="F113" s="18">
        <f>SUMIFS(线上订单!$E:$E,线上订单!$B:$B,美团日报!$C113,线上订单!$D:$D,"饿了么")</f>
        <v>169.36283185838</v>
      </c>
      <c r="G113" s="19">
        <f t="shared" si="6"/>
        <v>0.0436671658101864</v>
      </c>
      <c r="H113" s="18">
        <f>SUMIFS(线上订单!$F:$F,线上订单!$B:$B,美团日报!$C113,线上订单!$D:$D,"饿了么")</f>
        <v>4</v>
      </c>
      <c r="I113" s="18">
        <f>SUMIFS(线上订单!$F:$F,线上订单!$B:$B,美团日报!$C113,线上订单!$D:$D,"饿了么")</f>
        <v>4</v>
      </c>
      <c r="J113" s="21">
        <f t="shared" si="7"/>
        <v>42.340707964595</v>
      </c>
      <c r="K113" s="22" t="e">
        <f t="shared" si="8"/>
        <v>#REF!</v>
      </c>
      <c r="L113" s="19" t="e">
        <f>SUMIFS(#REF!,#REF!,美团日报!$C113,#REF!,"饿了么")</f>
        <v>#REF!</v>
      </c>
      <c r="M113" s="23"/>
      <c r="N113" s="23"/>
      <c r="O113" s="22" t="e">
        <f t="shared" si="9"/>
        <v>#REF!</v>
      </c>
      <c r="P113" s="19" t="e">
        <f>SUMIFS(#REF!,#REF!,美团日报!$C113,#REF!,"饿了么")</f>
        <v>#REF!</v>
      </c>
      <c r="Q113" s="23"/>
      <c r="R113" s="23"/>
      <c r="S113" s="22" t="e">
        <f t="shared" si="10"/>
        <v>#REF!</v>
      </c>
      <c r="T113" s="19" t="e">
        <f>SUMIFS(#REF!,#REF!,美团日报!$C113,#REF!,"饿了么")</f>
        <v>#REF!</v>
      </c>
      <c r="U113" s="22" t="e">
        <f t="shared" si="11"/>
        <v>#REF!</v>
      </c>
      <c r="V113" s="19" t="e">
        <f>SUMIFS(#REF!,#REF!,美团日报!$C113,#REF!,"饿了么")</f>
        <v>#REF!</v>
      </c>
      <c r="W113" s="24" t="s">
        <v>19</v>
      </c>
    </row>
    <row r="114" ht="14.4" spans="1:23">
      <c r="A114" s="16" t="s">
        <v>264</v>
      </c>
      <c r="B114" s="16" t="s">
        <v>296</v>
      </c>
      <c r="C114" s="16">
        <v>1049</v>
      </c>
      <c r="D114" s="16" t="s">
        <v>299</v>
      </c>
      <c r="E114" s="18">
        <f>_xlfn.IFNA(VLOOKUP(C:C,线上线下销售!B:D,3,0),0)</f>
        <v>1062.5343</v>
      </c>
      <c r="F114" s="18">
        <f>SUMIFS(线上订单!$E:$E,线上订单!$B:$B,美团日报!$C114,线上订单!$D:$D,"饿了么")</f>
        <v>75.66371681416</v>
      </c>
      <c r="G114" s="19">
        <f t="shared" si="6"/>
        <v>0.0712106110966582</v>
      </c>
      <c r="H114" s="18">
        <f>SUMIFS(线上订单!$F:$F,线上订单!$B:$B,美团日报!$C114,线上订单!$D:$D,"饿了么")</f>
        <v>2</v>
      </c>
      <c r="I114" s="18">
        <f>SUMIFS(线上订单!$F:$F,线上订单!$B:$B,美团日报!$C114,线上订单!$D:$D,"饿了么")</f>
        <v>2</v>
      </c>
      <c r="J114" s="21">
        <f t="shared" si="7"/>
        <v>37.83185840708</v>
      </c>
      <c r="K114" s="22" t="e">
        <f t="shared" si="8"/>
        <v>#REF!</v>
      </c>
      <c r="L114" s="19" t="e">
        <f>SUMIFS(#REF!,#REF!,美团日报!$C114,#REF!,"饿了么")</f>
        <v>#REF!</v>
      </c>
      <c r="M114" s="23"/>
      <c r="N114" s="23"/>
      <c r="O114" s="22" t="e">
        <f t="shared" si="9"/>
        <v>#REF!</v>
      </c>
      <c r="P114" s="19" t="e">
        <f>SUMIFS(#REF!,#REF!,美团日报!$C114,#REF!,"饿了么")</f>
        <v>#REF!</v>
      </c>
      <c r="Q114" s="23"/>
      <c r="R114" s="23"/>
      <c r="S114" s="22" t="e">
        <f t="shared" si="10"/>
        <v>#REF!</v>
      </c>
      <c r="T114" s="19" t="e">
        <f>SUMIFS(#REF!,#REF!,美团日报!$C114,#REF!,"饿了么")</f>
        <v>#REF!</v>
      </c>
      <c r="U114" s="22" t="e">
        <f t="shared" si="11"/>
        <v>#REF!</v>
      </c>
      <c r="V114" s="19" t="e">
        <f>SUMIFS(#REF!,#REF!,美团日报!$C114,#REF!,"饿了么")</f>
        <v>#REF!</v>
      </c>
      <c r="W114" s="24" t="s">
        <v>19</v>
      </c>
    </row>
    <row r="115" ht="14.4" spans="1:23">
      <c r="A115" s="16" t="s">
        <v>264</v>
      </c>
      <c r="B115" s="16" t="s">
        <v>576</v>
      </c>
      <c r="C115" s="16">
        <v>1055</v>
      </c>
      <c r="D115" s="16" t="s">
        <v>302</v>
      </c>
      <c r="E115" s="18">
        <f>_xlfn.IFNA(VLOOKUP(C:C,线上线下销售!B:D,3,0),0)</f>
        <v>6813.1809</v>
      </c>
      <c r="F115" s="18">
        <f>SUMIFS(线上订单!$E:$E,线上订单!$B:$B,美团日报!$C115,线上订单!$D:$D,"饿了么")</f>
        <v>569.72566371681</v>
      </c>
      <c r="G115" s="19">
        <f t="shared" si="6"/>
        <v>0.0836210974108746</v>
      </c>
      <c r="H115" s="18">
        <f>SUMIFS(线上订单!$F:$F,线上订单!$B:$B,美团日报!$C115,线上订单!$D:$D,"饿了么")</f>
        <v>15</v>
      </c>
      <c r="I115" s="18">
        <f>SUMIFS(线上订单!$F:$F,线上订单!$B:$B,美团日报!$C115,线上订单!$D:$D,"饿了么")</f>
        <v>15</v>
      </c>
      <c r="J115" s="21">
        <f t="shared" si="7"/>
        <v>37.981710914454</v>
      </c>
      <c r="K115" s="22" t="e">
        <f t="shared" si="8"/>
        <v>#REF!</v>
      </c>
      <c r="L115" s="19" t="e">
        <f>SUMIFS(#REF!,#REF!,美团日报!$C115,#REF!,"饿了么")</f>
        <v>#REF!</v>
      </c>
      <c r="M115" s="23"/>
      <c r="N115" s="23"/>
      <c r="O115" s="22" t="e">
        <f t="shared" si="9"/>
        <v>#REF!</v>
      </c>
      <c r="P115" s="19" t="e">
        <f>SUMIFS(#REF!,#REF!,美团日报!$C115,#REF!,"饿了么")</f>
        <v>#REF!</v>
      </c>
      <c r="Q115" s="23"/>
      <c r="R115" s="23"/>
      <c r="S115" s="22" t="e">
        <f t="shared" si="10"/>
        <v>#REF!</v>
      </c>
      <c r="T115" s="19" t="e">
        <f>SUMIFS(#REF!,#REF!,美团日报!$C115,#REF!,"饿了么")</f>
        <v>#REF!</v>
      </c>
      <c r="U115" s="22" t="e">
        <f t="shared" si="11"/>
        <v>#REF!</v>
      </c>
      <c r="V115" s="19" t="e">
        <f>SUMIFS(#REF!,#REF!,美团日报!$C115,#REF!,"饿了么")</f>
        <v>#REF!</v>
      </c>
      <c r="W115" s="24" t="s">
        <v>19</v>
      </c>
    </row>
    <row r="116" ht="14.4" spans="1:23">
      <c r="A116" s="16" t="s">
        <v>264</v>
      </c>
      <c r="B116" s="16" t="s">
        <v>304</v>
      </c>
      <c r="C116" s="16">
        <v>1070</v>
      </c>
      <c r="D116" s="16" t="s">
        <v>305</v>
      </c>
      <c r="E116" s="18">
        <f>_xlfn.IFNA(VLOOKUP(C:C,线上线下销售!B:D,3,0),0)</f>
        <v>7517.4047</v>
      </c>
      <c r="F116" s="18">
        <f>SUMIFS(线上订单!$E:$E,线上订单!$B:$B,美团日报!$C116,线上订单!$D:$D,"饿了么")</f>
        <v>239.40415685637</v>
      </c>
      <c r="G116" s="19">
        <f t="shared" si="6"/>
        <v>0.0318466500621378</v>
      </c>
      <c r="H116" s="18">
        <f>SUMIFS(线上订单!$F:$F,线上订单!$B:$B,美团日报!$C116,线上订单!$D:$D,"饿了么")</f>
        <v>3</v>
      </c>
      <c r="I116" s="18">
        <f>SUMIFS(线上订单!$F:$F,线上订单!$B:$B,美团日报!$C116,线上订单!$D:$D,"饿了么")</f>
        <v>3</v>
      </c>
      <c r="J116" s="21">
        <f t="shared" si="7"/>
        <v>79.80138561879</v>
      </c>
      <c r="K116" s="22" t="e">
        <f t="shared" si="8"/>
        <v>#REF!</v>
      </c>
      <c r="L116" s="19" t="e">
        <f>SUMIFS(#REF!,#REF!,美团日报!$C116,#REF!,"饿了么")</f>
        <v>#REF!</v>
      </c>
      <c r="M116" s="23"/>
      <c r="N116" s="23"/>
      <c r="O116" s="22" t="e">
        <f t="shared" si="9"/>
        <v>#REF!</v>
      </c>
      <c r="P116" s="19" t="e">
        <f>SUMIFS(#REF!,#REF!,美团日报!$C116,#REF!,"饿了么")</f>
        <v>#REF!</v>
      </c>
      <c r="Q116" s="23"/>
      <c r="R116" s="23"/>
      <c r="S116" s="22" t="e">
        <f t="shared" si="10"/>
        <v>#REF!</v>
      </c>
      <c r="T116" s="19" t="e">
        <f>SUMIFS(#REF!,#REF!,美团日报!$C116,#REF!,"饿了么")</f>
        <v>#REF!</v>
      </c>
      <c r="U116" s="22" t="e">
        <f t="shared" si="11"/>
        <v>#REF!</v>
      </c>
      <c r="V116" s="19" t="e">
        <f>SUMIFS(#REF!,#REF!,美团日报!$C116,#REF!,"饿了么")</f>
        <v>#REF!</v>
      </c>
      <c r="W116" s="24" t="s">
        <v>19</v>
      </c>
    </row>
    <row r="117" ht="14.4" spans="1:23">
      <c r="A117" s="16" t="s">
        <v>264</v>
      </c>
      <c r="B117" s="16" t="s">
        <v>576</v>
      </c>
      <c r="C117" s="16">
        <v>1075</v>
      </c>
      <c r="D117" s="16" t="s">
        <v>307</v>
      </c>
      <c r="E117" s="18">
        <f>_xlfn.IFNA(VLOOKUP(C:C,线上线下销售!B:D,3,0),0)</f>
        <v>3341.3106</v>
      </c>
      <c r="F117" s="18">
        <f>SUMIFS(线上订单!$E:$E,线上订单!$B:$B,美团日报!$C117,线上订单!$D:$D,"饿了么")</f>
        <v>166.27433628319</v>
      </c>
      <c r="G117" s="19">
        <f t="shared" si="6"/>
        <v>0.0497632085694727</v>
      </c>
      <c r="H117" s="18">
        <f>SUMIFS(线上订单!$F:$F,线上订单!$B:$B,美团日报!$C117,线上订单!$D:$D,"饿了么")</f>
        <v>4</v>
      </c>
      <c r="I117" s="18">
        <f>SUMIFS(线上订单!$F:$F,线上订单!$B:$B,美团日报!$C117,线上订单!$D:$D,"饿了么")</f>
        <v>4</v>
      </c>
      <c r="J117" s="21">
        <f t="shared" si="7"/>
        <v>41.5685840707975</v>
      </c>
      <c r="K117" s="22" t="e">
        <f t="shared" si="8"/>
        <v>#REF!</v>
      </c>
      <c r="L117" s="19" t="e">
        <f>SUMIFS(#REF!,#REF!,美团日报!$C117,#REF!,"饿了么")</f>
        <v>#REF!</v>
      </c>
      <c r="M117" s="23"/>
      <c r="N117" s="23"/>
      <c r="O117" s="22" t="e">
        <f t="shared" si="9"/>
        <v>#REF!</v>
      </c>
      <c r="P117" s="19" t="e">
        <f>SUMIFS(#REF!,#REF!,美团日报!$C117,#REF!,"饿了么")</f>
        <v>#REF!</v>
      </c>
      <c r="Q117" s="23"/>
      <c r="R117" s="23"/>
      <c r="S117" s="22" t="e">
        <f t="shared" si="10"/>
        <v>#REF!</v>
      </c>
      <c r="T117" s="19" t="e">
        <f>SUMIFS(#REF!,#REF!,美团日报!$C117,#REF!,"饿了么")</f>
        <v>#REF!</v>
      </c>
      <c r="U117" s="22" t="e">
        <f t="shared" si="11"/>
        <v>#REF!</v>
      </c>
      <c r="V117" s="19" t="e">
        <f>SUMIFS(#REF!,#REF!,美团日报!$C117,#REF!,"饿了么")</f>
        <v>#REF!</v>
      </c>
      <c r="W117" s="24" t="s">
        <v>19</v>
      </c>
    </row>
    <row r="118" ht="14.4" spans="1:23">
      <c r="A118" s="16" t="s">
        <v>63</v>
      </c>
      <c r="B118" s="16" t="s">
        <v>152</v>
      </c>
      <c r="C118" s="16">
        <v>1081</v>
      </c>
      <c r="D118" s="16" t="s">
        <v>309</v>
      </c>
      <c r="E118" s="18">
        <f>_xlfn.IFNA(VLOOKUP(C:C,线上线下销售!B:D,3,0),0)</f>
        <v>0</v>
      </c>
      <c r="F118" s="18">
        <f>SUMIFS(线上订单!$E:$E,线上订单!$B:$B,美团日报!$C118,线上订单!$D:$D,"饿了么")</f>
        <v>0</v>
      </c>
      <c r="G118" s="19">
        <f t="shared" si="6"/>
        <v>0</v>
      </c>
      <c r="H118" s="18">
        <f>SUMIFS(线上订单!$F:$F,线上订单!$B:$B,美团日报!$C118,线上订单!$D:$D,"饿了么")</f>
        <v>0</v>
      </c>
      <c r="I118" s="18">
        <f>SUMIFS(线上订单!$F:$F,线上订单!$B:$B,美团日报!$C118,线上订单!$D:$D,"饿了么")</f>
        <v>0</v>
      </c>
      <c r="J118" s="21">
        <f t="shared" si="7"/>
        <v>0</v>
      </c>
      <c r="K118" s="22" t="e">
        <f t="shared" si="8"/>
        <v>#REF!</v>
      </c>
      <c r="L118" s="19" t="e">
        <f>SUMIFS(#REF!,#REF!,美团日报!$C118,#REF!,"饿了么")</f>
        <v>#REF!</v>
      </c>
      <c r="M118" s="23"/>
      <c r="N118" s="23"/>
      <c r="O118" s="22" t="e">
        <f t="shared" si="9"/>
        <v>#REF!</v>
      </c>
      <c r="P118" s="19" t="e">
        <f>SUMIFS(#REF!,#REF!,美团日报!$C118,#REF!,"饿了么")</f>
        <v>#REF!</v>
      </c>
      <c r="Q118" s="23"/>
      <c r="R118" s="23"/>
      <c r="S118" s="22" t="e">
        <f t="shared" si="10"/>
        <v>#REF!</v>
      </c>
      <c r="T118" s="19" t="e">
        <f>SUMIFS(#REF!,#REF!,美团日报!$C118,#REF!,"饿了么")</f>
        <v>#REF!</v>
      </c>
      <c r="U118" s="22" t="e">
        <f t="shared" si="11"/>
        <v>#REF!</v>
      </c>
      <c r="V118" s="19" t="e">
        <f>SUMIFS(#REF!,#REF!,美团日报!$C118,#REF!,"饿了么")</f>
        <v>#REF!</v>
      </c>
      <c r="W118" s="24" t="s">
        <v>19</v>
      </c>
    </row>
    <row r="119" ht="14.4" spans="1:23">
      <c r="A119" s="16" t="s">
        <v>264</v>
      </c>
      <c r="B119" s="16" t="s">
        <v>313</v>
      </c>
      <c r="C119" s="16">
        <v>1082</v>
      </c>
      <c r="D119" s="16" t="s">
        <v>311</v>
      </c>
      <c r="E119" s="18">
        <f>_xlfn.IFNA(VLOOKUP(C:C,线上线下销售!B:D,3,0),0)</f>
        <v>7959.1389</v>
      </c>
      <c r="F119" s="18">
        <f>SUMIFS(线上订单!$E:$E,线上订单!$B:$B,美团日报!$C119,线上订单!$D:$D,"饿了么")</f>
        <v>701.61061946902</v>
      </c>
      <c r="G119" s="19">
        <f t="shared" si="6"/>
        <v>0.0881515737172296</v>
      </c>
      <c r="H119" s="18">
        <f>SUMIFS(线上订单!$F:$F,线上订单!$B:$B,美团日报!$C119,线上订单!$D:$D,"饿了么")</f>
        <v>20</v>
      </c>
      <c r="I119" s="18">
        <f>SUMIFS(线上订单!$F:$F,线上订单!$B:$B,美团日报!$C119,线上订单!$D:$D,"饿了么")</f>
        <v>20</v>
      </c>
      <c r="J119" s="21">
        <f t="shared" si="7"/>
        <v>35.080530973451</v>
      </c>
      <c r="K119" s="22" t="e">
        <f t="shared" si="8"/>
        <v>#REF!</v>
      </c>
      <c r="L119" s="19" t="e">
        <f>SUMIFS(#REF!,#REF!,美团日报!$C119,#REF!,"饿了么")</f>
        <v>#REF!</v>
      </c>
      <c r="M119" s="23"/>
      <c r="N119" s="23"/>
      <c r="O119" s="22" t="e">
        <f t="shared" si="9"/>
        <v>#REF!</v>
      </c>
      <c r="P119" s="19" t="e">
        <f>SUMIFS(#REF!,#REF!,美团日报!$C119,#REF!,"饿了么")</f>
        <v>#REF!</v>
      </c>
      <c r="Q119" s="23"/>
      <c r="R119" s="23"/>
      <c r="S119" s="22" t="e">
        <f t="shared" si="10"/>
        <v>#REF!</v>
      </c>
      <c r="T119" s="19" t="e">
        <f>SUMIFS(#REF!,#REF!,美团日报!$C119,#REF!,"饿了么")</f>
        <v>#REF!</v>
      </c>
      <c r="U119" s="22" t="e">
        <f t="shared" si="11"/>
        <v>#REF!</v>
      </c>
      <c r="V119" s="19" t="e">
        <f>SUMIFS(#REF!,#REF!,美团日报!$C119,#REF!,"饿了么")</f>
        <v>#REF!</v>
      </c>
      <c r="W119" s="24" t="s">
        <v>19</v>
      </c>
    </row>
    <row r="120" ht="14.4" spans="1:23">
      <c r="A120" s="16" t="s">
        <v>264</v>
      </c>
      <c r="B120" s="16" t="s">
        <v>313</v>
      </c>
      <c r="C120" s="16">
        <v>1088</v>
      </c>
      <c r="D120" s="16" t="s">
        <v>314</v>
      </c>
      <c r="E120" s="18">
        <f>_xlfn.IFNA(VLOOKUP(C:C,线上线下销售!B:D,3,0),0)</f>
        <v>1218.1296</v>
      </c>
      <c r="F120" s="18">
        <f>SUMIFS(线上订单!$E:$E,线上订单!$B:$B,美团日报!$C120,线上订单!$D:$D,"饿了么")</f>
        <v>117.37752699522</v>
      </c>
      <c r="G120" s="19">
        <f t="shared" si="6"/>
        <v>0.0963588168247615</v>
      </c>
      <c r="H120" s="18">
        <f>SUMIFS(线上订单!$F:$F,线上订单!$B:$B,美团日报!$C120,线上订单!$D:$D,"饿了么")</f>
        <v>4</v>
      </c>
      <c r="I120" s="18">
        <f>SUMIFS(线上订单!$F:$F,线上订单!$B:$B,美团日报!$C120,线上订单!$D:$D,"饿了么")</f>
        <v>4</v>
      </c>
      <c r="J120" s="21">
        <f t="shared" si="7"/>
        <v>29.344381748805</v>
      </c>
      <c r="K120" s="22" t="e">
        <f t="shared" si="8"/>
        <v>#REF!</v>
      </c>
      <c r="L120" s="19" t="e">
        <f>SUMIFS(#REF!,#REF!,美团日报!$C120,#REF!,"饿了么")</f>
        <v>#REF!</v>
      </c>
      <c r="M120" s="23"/>
      <c r="N120" s="23"/>
      <c r="O120" s="22" t="e">
        <f t="shared" si="9"/>
        <v>#REF!</v>
      </c>
      <c r="P120" s="19" t="e">
        <f>SUMIFS(#REF!,#REF!,美团日报!$C120,#REF!,"饿了么")</f>
        <v>#REF!</v>
      </c>
      <c r="Q120" s="23"/>
      <c r="R120" s="23"/>
      <c r="S120" s="22" t="e">
        <f t="shared" si="10"/>
        <v>#REF!</v>
      </c>
      <c r="T120" s="19" t="e">
        <f>SUMIFS(#REF!,#REF!,美团日报!$C120,#REF!,"饿了么")</f>
        <v>#REF!</v>
      </c>
      <c r="U120" s="22" t="e">
        <f t="shared" si="11"/>
        <v>#REF!</v>
      </c>
      <c r="V120" s="19" t="e">
        <f>SUMIFS(#REF!,#REF!,美团日报!$C120,#REF!,"饿了么")</f>
        <v>#REF!</v>
      </c>
      <c r="W120" s="24" t="s">
        <v>19</v>
      </c>
    </row>
    <row r="121" ht="14.4" spans="1:23">
      <c r="A121" s="16" t="s">
        <v>56</v>
      </c>
      <c r="B121" s="16" t="s">
        <v>573</v>
      </c>
      <c r="C121" s="16">
        <v>1102</v>
      </c>
      <c r="D121" s="16" t="s">
        <v>316</v>
      </c>
      <c r="E121" s="18">
        <f>_xlfn.IFNA(VLOOKUP(C:C,线上线下销售!B:D,3,0),0)</f>
        <v>5788.5174</v>
      </c>
      <c r="F121" s="18">
        <f>SUMIFS(线上订单!$E:$E,线上订单!$B:$B,美团日报!$C121,线上订单!$D:$D,"饿了么")</f>
        <v>513.24778761067</v>
      </c>
      <c r="G121" s="19">
        <f t="shared" si="6"/>
        <v>0.0886665362033238</v>
      </c>
      <c r="H121" s="18">
        <f>SUMIFS(线上订单!$F:$F,线上订单!$B:$B,美团日报!$C121,线上订单!$D:$D,"饿了么")</f>
        <v>14</v>
      </c>
      <c r="I121" s="18">
        <f>SUMIFS(线上订单!$F:$F,线上订单!$B:$B,美团日报!$C121,线上订单!$D:$D,"饿了么")</f>
        <v>14</v>
      </c>
      <c r="J121" s="21">
        <f t="shared" si="7"/>
        <v>36.660556257905</v>
      </c>
      <c r="K121" s="22" t="e">
        <f t="shared" si="8"/>
        <v>#REF!</v>
      </c>
      <c r="L121" s="19" t="e">
        <f>SUMIFS(#REF!,#REF!,美团日报!$C121,#REF!,"饿了么")</f>
        <v>#REF!</v>
      </c>
      <c r="M121" s="23"/>
      <c r="N121" s="23"/>
      <c r="O121" s="22" t="e">
        <f t="shared" si="9"/>
        <v>#REF!</v>
      </c>
      <c r="P121" s="19" t="e">
        <f>SUMIFS(#REF!,#REF!,美团日报!$C121,#REF!,"饿了么")</f>
        <v>#REF!</v>
      </c>
      <c r="Q121" s="23"/>
      <c r="R121" s="23"/>
      <c r="S121" s="22" t="e">
        <f t="shared" si="10"/>
        <v>#REF!</v>
      </c>
      <c r="T121" s="19" t="e">
        <f>SUMIFS(#REF!,#REF!,美团日报!$C121,#REF!,"饿了么")</f>
        <v>#REF!</v>
      </c>
      <c r="U121" s="22" t="e">
        <f t="shared" si="11"/>
        <v>#REF!</v>
      </c>
      <c r="V121" s="19" t="e">
        <f>SUMIFS(#REF!,#REF!,美团日报!$C121,#REF!,"饿了么")</f>
        <v>#REF!</v>
      </c>
      <c r="W121" s="24" t="s">
        <v>19</v>
      </c>
    </row>
    <row r="122" ht="14.4" spans="1:23">
      <c r="A122" s="16" t="s">
        <v>63</v>
      </c>
      <c r="B122" s="16" t="s">
        <v>152</v>
      </c>
      <c r="C122" s="16">
        <v>1133</v>
      </c>
      <c r="D122" s="16" t="s">
        <v>318</v>
      </c>
      <c r="E122" s="18">
        <f>_xlfn.IFNA(VLOOKUP(C:C,线上线下销售!B:D,3,0),0)</f>
        <v>4404.1353</v>
      </c>
      <c r="F122" s="18">
        <f>SUMIFS(线上订单!$E:$E,线上订单!$B:$B,美团日报!$C122,线上订单!$D:$D,"饿了么")</f>
        <v>432.36283185843</v>
      </c>
      <c r="G122" s="19">
        <f t="shared" si="6"/>
        <v>0.0981720138930405</v>
      </c>
      <c r="H122" s="18">
        <f>SUMIFS(线上订单!$F:$F,线上订单!$B:$B,美团日报!$C122,线上订单!$D:$D,"饿了么")</f>
        <v>11</v>
      </c>
      <c r="I122" s="18">
        <f>SUMIFS(线上订单!$F:$F,线上订单!$B:$B,美团日报!$C122,线上订单!$D:$D,"饿了么")</f>
        <v>11</v>
      </c>
      <c r="J122" s="21">
        <f t="shared" si="7"/>
        <v>39.30571198713</v>
      </c>
      <c r="K122" s="22" t="e">
        <f t="shared" si="8"/>
        <v>#REF!</v>
      </c>
      <c r="L122" s="19" t="e">
        <f>SUMIFS(#REF!,#REF!,美团日报!$C122,#REF!,"饿了么")</f>
        <v>#REF!</v>
      </c>
      <c r="M122" s="23"/>
      <c r="N122" s="23"/>
      <c r="O122" s="22" t="e">
        <f t="shared" si="9"/>
        <v>#REF!</v>
      </c>
      <c r="P122" s="19" t="e">
        <f>SUMIFS(#REF!,#REF!,美团日报!$C122,#REF!,"饿了么")</f>
        <v>#REF!</v>
      </c>
      <c r="Q122" s="23"/>
      <c r="R122" s="23"/>
      <c r="S122" s="22" t="e">
        <f t="shared" si="10"/>
        <v>#REF!</v>
      </c>
      <c r="T122" s="19" t="e">
        <f>SUMIFS(#REF!,#REF!,美团日报!$C122,#REF!,"饿了么")</f>
        <v>#REF!</v>
      </c>
      <c r="U122" s="22" t="e">
        <f t="shared" si="11"/>
        <v>#REF!</v>
      </c>
      <c r="V122" s="19" t="e">
        <f>SUMIFS(#REF!,#REF!,美团日报!$C122,#REF!,"饿了么")</f>
        <v>#REF!</v>
      </c>
      <c r="W122" s="24" t="s">
        <v>19</v>
      </c>
    </row>
    <row r="123" ht="14.4" spans="1:23">
      <c r="A123" s="16" t="s">
        <v>264</v>
      </c>
      <c r="B123" s="16" t="s">
        <v>261</v>
      </c>
      <c r="C123" s="16">
        <v>1146</v>
      </c>
      <c r="D123" s="16" t="s">
        <v>320</v>
      </c>
      <c r="E123" s="18">
        <f>_xlfn.IFNA(VLOOKUP(C:C,线上线下销售!B:D,3,0),0)</f>
        <v>4663.6757</v>
      </c>
      <c r="F123" s="18">
        <f>SUMIFS(线上订单!$E:$E,线上订单!$B:$B,美团日报!$C123,线上订单!$D:$D,"饿了么")</f>
        <v>416.25363318983</v>
      </c>
      <c r="G123" s="19">
        <f t="shared" si="6"/>
        <v>0.0892544121774655</v>
      </c>
      <c r="H123" s="18">
        <f>SUMIFS(线上订单!$F:$F,线上订单!$B:$B,美团日报!$C123,线上订单!$D:$D,"饿了么")</f>
        <v>10</v>
      </c>
      <c r="I123" s="18">
        <f>SUMIFS(线上订单!$F:$F,线上订单!$B:$B,美团日报!$C123,线上订单!$D:$D,"饿了么")</f>
        <v>10</v>
      </c>
      <c r="J123" s="21">
        <f t="shared" si="7"/>
        <v>41.625363318983</v>
      </c>
      <c r="K123" s="22" t="e">
        <f t="shared" si="8"/>
        <v>#REF!</v>
      </c>
      <c r="L123" s="19" t="e">
        <f>SUMIFS(#REF!,#REF!,美团日报!$C123,#REF!,"饿了么")</f>
        <v>#REF!</v>
      </c>
      <c r="M123" s="23"/>
      <c r="N123" s="23"/>
      <c r="O123" s="22" t="e">
        <f t="shared" si="9"/>
        <v>#REF!</v>
      </c>
      <c r="P123" s="19" t="e">
        <f>SUMIFS(#REF!,#REF!,美团日报!$C123,#REF!,"饿了么")</f>
        <v>#REF!</v>
      </c>
      <c r="Q123" s="23"/>
      <c r="R123" s="23"/>
      <c r="S123" s="22" t="e">
        <f t="shared" si="10"/>
        <v>#REF!</v>
      </c>
      <c r="T123" s="19" t="e">
        <f>SUMIFS(#REF!,#REF!,美团日报!$C123,#REF!,"饿了么")</f>
        <v>#REF!</v>
      </c>
      <c r="U123" s="22" t="e">
        <f t="shared" si="11"/>
        <v>#REF!</v>
      </c>
      <c r="V123" s="19" t="e">
        <f>SUMIFS(#REF!,#REF!,美团日报!$C123,#REF!,"饿了么")</f>
        <v>#REF!</v>
      </c>
      <c r="W123" s="24" t="s">
        <v>19</v>
      </c>
    </row>
    <row r="124" ht="14.4" spans="1:23">
      <c r="A124" s="16" t="s">
        <v>264</v>
      </c>
      <c r="B124" s="16" t="s">
        <v>296</v>
      </c>
      <c r="C124" s="16">
        <v>1233</v>
      </c>
      <c r="D124" s="16" t="s">
        <v>322</v>
      </c>
      <c r="E124" s="18">
        <f>_xlfn.IFNA(VLOOKUP(C:C,线上线下销售!B:D,3,0),0)</f>
        <v>20650.5702</v>
      </c>
      <c r="F124" s="18">
        <f>SUMIFS(线上订单!$E:$E,线上订单!$B:$B,美团日报!$C124,线上订单!$D:$D,"饿了么")</f>
        <v>0</v>
      </c>
      <c r="G124" s="19">
        <f t="shared" si="6"/>
        <v>0</v>
      </c>
      <c r="H124" s="18">
        <f>SUMIFS(线上订单!$F:$F,线上订单!$B:$B,美团日报!$C124,线上订单!$D:$D,"饿了么")</f>
        <v>0</v>
      </c>
      <c r="I124" s="18">
        <f>SUMIFS(线上订单!$F:$F,线上订单!$B:$B,美团日报!$C124,线上订单!$D:$D,"饿了么")</f>
        <v>0</v>
      </c>
      <c r="J124" s="21">
        <f t="shared" si="7"/>
        <v>0</v>
      </c>
      <c r="K124" s="22" t="e">
        <f t="shared" si="8"/>
        <v>#REF!</v>
      </c>
      <c r="L124" s="19" t="e">
        <f>SUMIFS(#REF!,#REF!,美团日报!$C124,#REF!,"饿了么")</f>
        <v>#REF!</v>
      </c>
      <c r="M124" s="23"/>
      <c r="N124" s="23"/>
      <c r="O124" s="22" t="e">
        <f t="shared" si="9"/>
        <v>#REF!</v>
      </c>
      <c r="P124" s="19" t="e">
        <f>SUMIFS(#REF!,#REF!,美团日报!$C124,#REF!,"饿了么")</f>
        <v>#REF!</v>
      </c>
      <c r="Q124" s="23"/>
      <c r="R124" s="23"/>
      <c r="S124" s="22" t="e">
        <f t="shared" si="10"/>
        <v>#REF!</v>
      </c>
      <c r="T124" s="19" t="e">
        <f>SUMIFS(#REF!,#REF!,美团日报!$C124,#REF!,"饿了么")</f>
        <v>#REF!</v>
      </c>
      <c r="U124" s="22" t="e">
        <f t="shared" si="11"/>
        <v>#REF!</v>
      </c>
      <c r="V124" s="19" t="e">
        <f>SUMIFS(#REF!,#REF!,美团日报!$C124,#REF!,"饿了么")</f>
        <v>#REF!</v>
      </c>
      <c r="W124" s="24" t="s">
        <v>19</v>
      </c>
    </row>
    <row r="125" ht="14.4" spans="1:23">
      <c r="A125" s="16" t="s">
        <v>63</v>
      </c>
      <c r="B125" s="16" t="s">
        <v>152</v>
      </c>
      <c r="C125" s="16">
        <v>1278</v>
      </c>
      <c r="D125" s="16" t="s">
        <v>325</v>
      </c>
      <c r="E125" s="18">
        <f>_xlfn.IFNA(VLOOKUP(C:C,线上线下销售!B:D,3,0),0)</f>
        <v>6537.767</v>
      </c>
      <c r="F125" s="18">
        <f>SUMIFS(线上订单!$E:$E,线上订单!$B:$B,美团日报!$C125,线上订单!$D:$D,"饿了么")</f>
        <v>337.59292035395</v>
      </c>
      <c r="G125" s="19">
        <f t="shared" si="6"/>
        <v>0.0516373435079516</v>
      </c>
      <c r="H125" s="18">
        <f>SUMIFS(线上订单!$F:$F,线上订单!$B:$B,美团日报!$C125,线上订单!$D:$D,"饿了么")</f>
        <v>11</v>
      </c>
      <c r="I125" s="18">
        <f>SUMIFS(线上订单!$F:$F,线上订单!$B:$B,美团日报!$C125,线上订单!$D:$D,"饿了么")</f>
        <v>11</v>
      </c>
      <c r="J125" s="21">
        <f t="shared" si="7"/>
        <v>30.6902654867227</v>
      </c>
      <c r="K125" s="22" t="e">
        <f t="shared" si="8"/>
        <v>#REF!</v>
      </c>
      <c r="L125" s="19" t="e">
        <f>SUMIFS(#REF!,#REF!,美团日报!$C125,#REF!,"饿了么")</f>
        <v>#REF!</v>
      </c>
      <c r="M125" s="23"/>
      <c r="N125" s="23"/>
      <c r="O125" s="22" t="e">
        <f t="shared" si="9"/>
        <v>#REF!</v>
      </c>
      <c r="P125" s="19" t="e">
        <f>SUMIFS(#REF!,#REF!,美团日报!$C125,#REF!,"饿了么")</f>
        <v>#REF!</v>
      </c>
      <c r="Q125" s="23"/>
      <c r="R125" s="23"/>
      <c r="S125" s="22" t="e">
        <f t="shared" si="10"/>
        <v>#REF!</v>
      </c>
      <c r="T125" s="19" t="e">
        <f>SUMIFS(#REF!,#REF!,美团日报!$C125,#REF!,"饿了么")</f>
        <v>#REF!</v>
      </c>
      <c r="U125" s="22" t="e">
        <f t="shared" si="11"/>
        <v>#REF!</v>
      </c>
      <c r="V125" s="19" t="e">
        <f>SUMIFS(#REF!,#REF!,美团日报!$C125,#REF!,"饿了么")</f>
        <v>#REF!</v>
      </c>
      <c r="W125" s="24" t="s">
        <v>19</v>
      </c>
    </row>
    <row r="126" ht="14.4" spans="1:23">
      <c r="A126" s="16" t="s">
        <v>264</v>
      </c>
      <c r="B126" s="16" t="s">
        <v>327</v>
      </c>
      <c r="C126" s="16">
        <v>1280</v>
      </c>
      <c r="D126" s="16" t="s">
        <v>328</v>
      </c>
      <c r="E126" s="18">
        <f>_xlfn.IFNA(VLOOKUP(C:C,线上线下销售!B:D,3,0),0)</f>
        <v>7693.9039</v>
      </c>
      <c r="F126" s="18">
        <f>SUMIFS(线上订单!$E:$E,线上订单!$B:$B,美团日报!$C126,线上订单!$D:$D,"饿了么")</f>
        <v>189.01769911504</v>
      </c>
      <c r="G126" s="19">
        <f t="shared" si="6"/>
        <v>0.0245672030183585</v>
      </c>
      <c r="H126" s="18">
        <f>SUMIFS(线上订单!$F:$F,线上订单!$B:$B,美团日报!$C126,线上订单!$D:$D,"饿了么")</f>
        <v>5</v>
      </c>
      <c r="I126" s="18">
        <f>SUMIFS(线上订单!$F:$F,线上订单!$B:$B,美团日报!$C126,线上订单!$D:$D,"饿了么")</f>
        <v>5</v>
      </c>
      <c r="J126" s="21">
        <f t="shared" si="7"/>
        <v>37.803539823008</v>
      </c>
      <c r="K126" s="22" t="e">
        <f t="shared" si="8"/>
        <v>#REF!</v>
      </c>
      <c r="L126" s="19" t="e">
        <f>SUMIFS(#REF!,#REF!,美团日报!$C126,#REF!,"饿了么")</f>
        <v>#REF!</v>
      </c>
      <c r="M126" s="23"/>
      <c r="N126" s="23"/>
      <c r="O126" s="22" t="e">
        <f t="shared" si="9"/>
        <v>#REF!</v>
      </c>
      <c r="P126" s="19" t="e">
        <f>SUMIFS(#REF!,#REF!,美团日报!$C126,#REF!,"饿了么")</f>
        <v>#REF!</v>
      </c>
      <c r="Q126" s="23"/>
      <c r="R126" s="23"/>
      <c r="S126" s="22" t="e">
        <f t="shared" si="10"/>
        <v>#REF!</v>
      </c>
      <c r="T126" s="19" t="e">
        <f>SUMIFS(#REF!,#REF!,美团日报!$C126,#REF!,"饿了么")</f>
        <v>#REF!</v>
      </c>
      <c r="U126" s="22" t="e">
        <f t="shared" si="11"/>
        <v>#REF!</v>
      </c>
      <c r="V126" s="19" t="e">
        <f>SUMIFS(#REF!,#REF!,美团日报!$C126,#REF!,"饿了么")</f>
        <v>#REF!</v>
      </c>
      <c r="W126" s="24" t="s">
        <v>19</v>
      </c>
    </row>
    <row r="127" ht="14.4" spans="1:23">
      <c r="A127" s="16" t="s">
        <v>264</v>
      </c>
      <c r="B127" s="16" t="s">
        <v>304</v>
      </c>
      <c r="C127" s="16">
        <v>1281</v>
      </c>
      <c r="D127" s="16" t="s">
        <v>330</v>
      </c>
      <c r="E127" s="18">
        <f>_xlfn.IFNA(VLOOKUP(C:C,线上线下销售!B:D,3,0),0)</f>
        <v>1958.7437</v>
      </c>
      <c r="F127" s="18">
        <f>SUMIFS(线上订单!$E:$E,线上订单!$B:$B,美团日报!$C127,线上订单!$D:$D,"饿了么")</f>
        <v>0</v>
      </c>
      <c r="G127" s="19">
        <f t="shared" si="6"/>
        <v>0</v>
      </c>
      <c r="H127" s="18">
        <f>SUMIFS(线上订单!$F:$F,线上订单!$B:$B,美团日报!$C127,线上订单!$D:$D,"饿了么")</f>
        <v>0</v>
      </c>
      <c r="I127" s="18">
        <f>SUMIFS(线上订单!$F:$F,线上订单!$B:$B,美团日报!$C127,线上订单!$D:$D,"饿了么")</f>
        <v>0</v>
      </c>
      <c r="J127" s="21">
        <f t="shared" si="7"/>
        <v>0</v>
      </c>
      <c r="K127" s="22" t="e">
        <f t="shared" si="8"/>
        <v>#REF!</v>
      </c>
      <c r="L127" s="19" t="e">
        <f>SUMIFS(#REF!,#REF!,美团日报!$C127,#REF!,"饿了么")</f>
        <v>#REF!</v>
      </c>
      <c r="M127" s="23"/>
      <c r="N127" s="23"/>
      <c r="O127" s="22" t="e">
        <f t="shared" si="9"/>
        <v>#REF!</v>
      </c>
      <c r="P127" s="19" t="e">
        <f>SUMIFS(#REF!,#REF!,美团日报!$C127,#REF!,"饿了么")</f>
        <v>#REF!</v>
      </c>
      <c r="Q127" s="23"/>
      <c r="R127" s="23"/>
      <c r="S127" s="22" t="e">
        <f t="shared" si="10"/>
        <v>#REF!</v>
      </c>
      <c r="T127" s="19" t="e">
        <f>SUMIFS(#REF!,#REF!,美团日报!$C127,#REF!,"饿了么")</f>
        <v>#REF!</v>
      </c>
      <c r="U127" s="22" t="e">
        <f t="shared" si="11"/>
        <v>#REF!</v>
      </c>
      <c r="V127" s="19" t="e">
        <f>SUMIFS(#REF!,#REF!,美团日报!$C127,#REF!,"饿了么")</f>
        <v>#REF!</v>
      </c>
      <c r="W127" s="24" t="s">
        <v>19</v>
      </c>
    </row>
    <row r="128" ht="14.4" spans="1:23">
      <c r="A128" s="16" t="s">
        <v>264</v>
      </c>
      <c r="B128" s="16" t="s">
        <v>304</v>
      </c>
      <c r="C128" s="16">
        <v>1282</v>
      </c>
      <c r="D128" s="16" t="s">
        <v>332</v>
      </c>
      <c r="E128" s="18">
        <f>_xlfn.IFNA(VLOOKUP(C:C,线上线下销售!B:D,3,0),0)</f>
        <v>2624.6613</v>
      </c>
      <c r="F128" s="18">
        <f>SUMIFS(线上订单!$E:$E,线上订单!$B:$B,美团日报!$C128,线上订单!$D:$D,"饿了么")</f>
        <v>0</v>
      </c>
      <c r="G128" s="19">
        <f t="shared" si="6"/>
        <v>0</v>
      </c>
      <c r="H128" s="18">
        <f>SUMIFS(线上订单!$F:$F,线上订单!$B:$B,美团日报!$C128,线上订单!$D:$D,"饿了么")</f>
        <v>0</v>
      </c>
      <c r="I128" s="18">
        <f>SUMIFS(线上订单!$F:$F,线上订单!$B:$B,美团日报!$C128,线上订单!$D:$D,"饿了么")</f>
        <v>0</v>
      </c>
      <c r="J128" s="21">
        <f t="shared" si="7"/>
        <v>0</v>
      </c>
      <c r="K128" s="22" t="e">
        <f t="shared" si="8"/>
        <v>#REF!</v>
      </c>
      <c r="L128" s="19" t="e">
        <f>SUMIFS(#REF!,#REF!,美团日报!$C128,#REF!,"饿了么")</f>
        <v>#REF!</v>
      </c>
      <c r="M128" s="23"/>
      <c r="N128" s="23"/>
      <c r="O128" s="22" t="e">
        <f t="shared" si="9"/>
        <v>#REF!</v>
      </c>
      <c r="P128" s="19" t="e">
        <f>SUMIFS(#REF!,#REF!,美团日报!$C128,#REF!,"饿了么")</f>
        <v>#REF!</v>
      </c>
      <c r="Q128" s="23"/>
      <c r="R128" s="23"/>
      <c r="S128" s="22" t="e">
        <f t="shared" si="10"/>
        <v>#REF!</v>
      </c>
      <c r="T128" s="19" t="e">
        <f>SUMIFS(#REF!,#REF!,美团日报!$C128,#REF!,"饿了么")</f>
        <v>#REF!</v>
      </c>
      <c r="U128" s="22" t="e">
        <f t="shared" si="11"/>
        <v>#REF!</v>
      </c>
      <c r="V128" s="19" t="e">
        <f>SUMIFS(#REF!,#REF!,美团日报!$C128,#REF!,"饿了么")</f>
        <v>#REF!</v>
      </c>
      <c r="W128" s="24" t="s">
        <v>19</v>
      </c>
    </row>
    <row r="129" ht="14.4" spans="1:23">
      <c r="A129" s="16" t="s">
        <v>264</v>
      </c>
      <c r="B129" s="16" t="s">
        <v>327</v>
      </c>
      <c r="C129" s="16">
        <v>1293</v>
      </c>
      <c r="D129" s="16" t="s">
        <v>334</v>
      </c>
      <c r="E129" s="18">
        <f>_xlfn.IFNA(VLOOKUP(C:C,线上线下销售!B:D,3,0),0)</f>
        <v>3240.6656</v>
      </c>
      <c r="F129" s="18">
        <f>SUMIFS(线上订单!$E:$E,线上订单!$B:$B,美团日报!$C129,线上订单!$D:$D,"饿了么")</f>
        <v>25.04424778761</v>
      </c>
      <c r="G129" s="19">
        <f t="shared" si="6"/>
        <v>0.00772811850368332</v>
      </c>
      <c r="H129" s="18">
        <f>SUMIFS(线上订单!$F:$F,线上订单!$B:$B,美团日报!$C129,线上订单!$D:$D,"饿了么")</f>
        <v>1</v>
      </c>
      <c r="I129" s="18">
        <f>SUMIFS(线上订单!$F:$F,线上订单!$B:$B,美团日报!$C129,线上订单!$D:$D,"饿了么")</f>
        <v>1</v>
      </c>
      <c r="J129" s="21">
        <f t="shared" si="7"/>
        <v>25.04424778761</v>
      </c>
      <c r="K129" s="22" t="e">
        <f t="shared" si="8"/>
        <v>#REF!</v>
      </c>
      <c r="L129" s="19" t="e">
        <f>SUMIFS(#REF!,#REF!,美团日报!$C129,#REF!,"饿了么")</f>
        <v>#REF!</v>
      </c>
      <c r="M129" s="23"/>
      <c r="N129" s="23"/>
      <c r="O129" s="22" t="e">
        <f t="shared" si="9"/>
        <v>#REF!</v>
      </c>
      <c r="P129" s="19" t="e">
        <f>SUMIFS(#REF!,#REF!,美团日报!$C129,#REF!,"饿了么")</f>
        <v>#REF!</v>
      </c>
      <c r="Q129" s="23"/>
      <c r="R129" s="23"/>
      <c r="S129" s="22" t="e">
        <f t="shared" si="10"/>
        <v>#REF!</v>
      </c>
      <c r="T129" s="19" t="e">
        <f>SUMIFS(#REF!,#REF!,美团日报!$C129,#REF!,"饿了么")</f>
        <v>#REF!</v>
      </c>
      <c r="U129" s="22" t="e">
        <f t="shared" si="11"/>
        <v>#REF!</v>
      </c>
      <c r="V129" s="19" t="e">
        <f>SUMIFS(#REF!,#REF!,美团日报!$C129,#REF!,"饿了么")</f>
        <v>#REF!</v>
      </c>
      <c r="W129" s="24" t="s">
        <v>19</v>
      </c>
    </row>
    <row r="130" ht="14.4" spans="1:23">
      <c r="A130" s="16" t="s">
        <v>264</v>
      </c>
      <c r="B130" s="16" t="s">
        <v>304</v>
      </c>
      <c r="C130" s="16">
        <v>1294</v>
      </c>
      <c r="D130" s="16" t="s">
        <v>336</v>
      </c>
      <c r="E130" s="18">
        <f>_xlfn.IFNA(VLOOKUP(C:C,线上线下销售!B:D,3,0),0)</f>
        <v>5423.0795</v>
      </c>
      <c r="F130" s="18">
        <f>SUMIFS(线上订单!$E:$E,线上订单!$B:$B,美团日报!$C130,线上订单!$D:$D,"饿了么")</f>
        <v>297.08532921979</v>
      </c>
      <c r="G130" s="19">
        <f t="shared" si="6"/>
        <v>0.0547816658818647</v>
      </c>
      <c r="H130" s="18">
        <f>SUMIFS(线上订单!$F:$F,线上订单!$B:$B,美团日报!$C130,线上订单!$D:$D,"饿了么")</f>
        <v>7</v>
      </c>
      <c r="I130" s="18">
        <f>SUMIFS(线上订单!$F:$F,线上订单!$B:$B,美团日报!$C130,线上订单!$D:$D,"饿了么")</f>
        <v>7</v>
      </c>
      <c r="J130" s="21">
        <f t="shared" si="7"/>
        <v>42.4407613171129</v>
      </c>
      <c r="K130" s="22" t="e">
        <f t="shared" si="8"/>
        <v>#REF!</v>
      </c>
      <c r="L130" s="19" t="e">
        <f>SUMIFS(#REF!,#REF!,美团日报!$C130,#REF!,"饿了么")</f>
        <v>#REF!</v>
      </c>
      <c r="M130" s="23"/>
      <c r="N130" s="23"/>
      <c r="O130" s="22" t="e">
        <f t="shared" si="9"/>
        <v>#REF!</v>
      </c>
      <c r="P130" s="19" t="e">
        <f>SUMIFS(#REF!,#REF!,美团日报!$C130,#REF!,"饿了么")</f>
        <v>#REF!</v>
      </c>
      <c r="Q130" s="23"/>
      <c r="R130" s="23"/>
      <c r="S130" s="22" t="e">
        <f t="shared" si="10"/>
        <v>#REF!</v>
      </c>
      <c r="T130" s="19" t="e">
        <f>SUMIFS(#REF!,#REF!,美团日报!$C130,#REF!,"饿了么")</f>
        <v>#REF!</v>
      </c>
      <c r="U130" s="22" t="e">
        <f t="shared" si="11"/>
        <v>#REF!</v>
      </c>
      <c r="V130" s="19" t="e">
        <f>SUMIFS(#REF!,#REF!,美团日报!$C130,#REF!,"饿了么")</f>
        <v>#REF!</v>
      </c>
      <c r="W130" s="24" t="s">
        <v>19</v>
      </c>
    </row>
    <row r="131" ht="14.4" spans="1:23">
      <c r="A131" s="16" t="s">
        <v>264</v>
      </c>
      <c r="B131" s="16" t="s">
        <v>576</v>
      </c>
      <c r="C131" s="16">
        <v>1295</v>
      </c>
      <c r="D131" s="16" t="s">
        <v>338</v>
      </c>
      <c r="E131" s="18">
        <f>_xlfn.IFNA(VLOOKUP(C:C,线上线下销售!B:D,3,0),0)</f>
        <v>2043.8197</v>
      </c>
      <c r="F131" s="18">
        <f>SUMIFS(线上订单!$E:$E,线上订单!$B:$B,美团日报!$C131,线上订单!$D:$D,"饿了么")</f>
        <v>360.62531460583</v>
      </c>
      <c r="G131" s="19">
        <f t="shared" ref="G131:G194" si="12">IFERROR(F131/E131,0)</f>
        <v>0.176446735788793</v>
      </c>
      <c r="H131" s="18">
        <f>SUMIFS(线上订单!$F:$F,线上订单!$B:$B,美团日报!$C131,线上订单!$D:$D,"饿了么")</f>
        <v>8</v>
      </c>
      <c r="I131" s="18">
        <f>SUMIFS(线上订单!$F:$F,线上订单!$B:$B,美团日报!$C131,线上订单!$D:$D,"饿了么")</f>
        <v>8</v>
      </c>
      <c r="J131" s="21">
        <f t="shared" ref="J131:J194" si="13">IFERROR(F131/I131,0)</f>
        <v>45.0781643257287</v>
      </c>
      <c r="K131" s="22" t="e">
        <f t="shared" ref="K131:K194" si="14">H131*L131</f>
        <v>#REF!</v>
      </c>
      <c r="L131" s="19" t="e">
        <f>SUMIFS(#REF!,#REF!,美团日报!$C131,#REF!,"饿了么")</f>
        <v>#REF!</v>
      </c>
      <c r="M131" s="23"/>
      <c r="N131" s="23"/>
      <c r="O131" s="22" t="e">
        <f t="shared" ref="O131:O194" si="15">H131*(1-P131)</f>
        <v>#REF!</v>
      </c>
      <c r="P131" s="19" t="e">
        <f>SUMIFS(#REF!,#REF!,美团日报!$C131,#REF!,"饿了么")</f>
        <v>#REF!</v>
      </c>
      <c r="Q131" s="23"/>
      <c r="R131" s="23"/>
      <c r="S131" s="22" t="e">
        <f t="shared" ref="S131:S194" si="16">H131*T131</f>
        <v>#REF!</v>
      </c>
      <c r="T131" s="19" t="e">
        <f>SUMIFS(#REF!,#REF!,美团日报!$C131,#REF!,"饿了么")</f>
        <v>#REF!</v>
      </c>
      <c r="U131" s="22" t="e">
        <f t="shared" ref="U131:U194" si="17">H131*V131</f>
        <v>#REF!</v>
      </c>
      <c r="V131" s="19" t="e">
        <f>SUMIFS(#REF!,#REF!,美团日报!$C131,#REF!,"饿了么")</f>
        <v>#REF!</v>
      </c>
      <c r="W131" s="24" t="s">
        <v>19</v>
      </c>
    </row>
    <row r="132" ht="14.4" spans="1:23">
      <c r="A132" s="16" t="s">
        <v>56</v>
      </c>
      <c r="B132" s="16" t="s">
        <v>573</v>
      </c>
      <c r="C132" s="16">
        <v>1299</v>
      </c>
      <c r="D132" s="16" t="s">
        <v>340</v>
      </c>
      <c r="E132" s="18">
        <f>_xlfn.IFNA(VLOOKUP(C:C,线上线下销售!B:D,3,0),0)</f>
        <v>6651.875</v>
      </c>
      <c r="F132" s="18">
        <f>SUMIFS(线上订单!$E:$E,线上订单!$B:$B,美团日报!$C132,线上订单!$D:$D,"饿了么")</f>
        <v>408.03020215961</v>
      </c>
      <c r="G132" s="19">
        <f t="shared" si="12"/>
        <v>0.0613406298464132</v>
      </c>
      <c r="H132" s="18">
        <f>SUMIFS(线上订单!$F:$F,线上订单!$B:$B,美团日报!$C132,线上订单!$D:$D,"饿了么")</f>
        <v>10</v>
      </c>
      <c r="I132" s="18">
        <f>SUMIFS(线上订单!$F:$F,线上订单!$B:$B,美团日报!$C132,线上订单!$D:$D,"饿了么")</f>
        <v>10</v>
      </c>
      <c r="J132" s="21">
        <f t="shared" si="13"/>
        <v>40.803020215961</v>
      </c>
      <c r="K132" s="22" t="e">
        <f t="shared" si="14"/>
        <v>#REF!</v>
      </c>
      <c r="L132" s="19" t="e">
        <f>SUMIFS(#REF!,#REF!,美团日报!$C132,#REF!,"饿了么")</f>
        <v>#REF!</v>
      </c>
      <c r="M132" s="23"/>
      <c r="N132" s="23"/>
      <c r="O132" s="22" t="e">
        <f t="shared" si="15"/>
        <v>#REF!</v>
      </c>
      <c r="P132" s="19" t="e">
        <f>SUMIFS(#REF!,#REF!,美团日报!$C132,#REF!,"饿了么")</f>
        <v>#REF!</v>
      </c>
      <c r="Q132" s="23"/>
      <c r="R132" s="23"/>
      <c r="S132" s="22" t="e">
        <f t="shared" si="16"/>
        <v>#REF!</v>
      </c>
      <c r="T132" s="19" t="e">
        <f>SUMIFS(#REF!,#REF!,美团日报!$C132,#REF!,"饿了么")</f>
        <v>#REF!</v>
      </c>
      <c r="U132" s="22" t="e">
        <f t="shared" si="17"/>
        <v>#REF!</v>
      </c>
      <c r="V132" s="19" t="e">
        <f>SUMIFS(#REF!,#REF!,美团日报!$C132,#REF!,"饿了么")</f>
        <v>#REF!</v>
      </c>
      <c r="W132" s="24" t="s">
        <v>19</v>
      </c>
    </row>
    <row r="133" ht="14.4" spans="1:23">
      <c r="A133" s="16" t="s">
        <v>264</v>
      </c>
      <c r="B133" s="16" t="s">
        <v>264</v>
      </c>
      <c r="C133" s="16">
        <v>1362</v>
      </c>
      <c r="D133" s="16" t="s">
        <v>342</v>
      </c>
      <c r="E133" s="18">
        <f>_xlfn.IFNA(VLOOKUP(C:C,线上线下销售!B:D,3,0),0)</f>
        <v>42322.7696</v>
      </c>
      <c r="F133" s="18">
        <f>SUMIFS(线上订单!$E:$E,线上订单!$B:$B,美团日报!$C133,线上订单!$D:$D,"饿了么")</f>
        <v>0</v>
      </c>
      <c r="G133" s="19">
        <f t="shared" si="12"/>
        <v>0</v>
      </c>
      <c r="H133" s="18">
        <f>SUMIFS(线上订单!$F:$F,线上订单!$B:$B,美团日报!$C133,线上订单!$D:$D,"饿了么")</f>
        <v>0</v>
      </c>
      <c r="I133" s="18">
        <f>SUMIFS(线上订单!$F:$F,线上订单!$B:$B,美团日报!$C133,线上订单!$D:$D,"饿了么")</f>
        <v>0</v>
      </c>
      <c r="J133" s="21">
        <f t="shared" si="13"/>
        <v>0</v>
      </c>
      <c r="K133" s="22" t="e">
        <f t="shared" si="14"/>
        <v>#REF!</v>
      </c>
      <c r="L133" s="19" t="e">
        <f>SUMIFS(#REF!,#REF!,美团日报!$C133,#REF!,"饿了么")</f>
        <v>#REF!</v>
      </c>
      <c r="M133" s="23"/>
      <c r="N133" s="23"/>
      <c r="O133" s="22" t="e">
        <f t="shared" si="15"/>
        <v>#REF!</v>
      </c>
      <c r="P133" s="19" t="e">
        <f>SUMIFS(#REF!,#REF!,美团日报!$C133,#REF!,"饿了么")</f>
        <v>#REF!</v>
      </c>
      <c r="Q133" s="23"/>
      <c r="R133" s="23"/>
      <c r="S133" s="22" t="e">
        <f t="shared" si="16"/>
        <v>#REF!</v>
      </c>
      <c r="T133" s="19" t="e">
        <f>SUMIFS(#REF!,#REF!,美团日报!$C133,#REF!,"饿了么")</f>
        <v>#REF!</v>
      </c>
      <c r="U133" s="22" t="e">
        <f t="shared" si="17"/>
        <v>#REF!</v>
      </c>
      <c r="V133" s="19" t="e">
        <f>SUMIFS(#REF!,#REF!,美团日报!$C133,#REF!,"饿了么")</f>
        <v>#REF!</v>
      </c>
      <c r="W133" s="24" t="s">
        <v>19</v>
      </c>
    </row>
    <row r="134" ht="14.4" spans="1:23">
      <c r="A134" s="16" t="s">
        <v>63</v>
      </c>
      <c r="B134" s="16" t="s">
        <v>152</v>
      </c>
      <c r="C134" s="16">
        <v>1366</v>
      </c>
      <c r="D134" s="16" t="s">
        <v>344</v>
      </c>
      <c r="E134" s="18">
        <f>_xlfn.IFNA(VLOOKUP(C:C,线上线下销售!B:D,3,0),0)</f>
        <v>8115.6428</v>
      </c>
      <c r="F134" s="18">
        <f>SUMIFS(线上订单!$E:$E,线上订单!$B:$B,美团日报!$C134,线上订单!$D:$D,"饿了么")</f>
        <v>1395.86750020291</v>
      </c>
      <c r="G134" s="19">
        <f t="shared" si="12"/>
        <v>0.171997158401662</v>
      </c>
      <c r="H134" s="18">
        <f>SUMIFS(线上订单!$F:$F,线上订单!$B:$B,美团日报!$C134,线上订单!$D:$D,"饿了么")</f>
        <v>35</v>
      </c>
      <c r="I134" s="18">
        <f>SUMIFS(线上订单!$F:$F,线上订单!$B:$B,美团日报!$C134,线上订单!$D:$D,"饿了么")</f>
        <v>35</v>
      </c>
      <c r="J134" s="21">
        <f t="shared" si="13"/>
        <v>39.881928577226</v>
      </c>
      <c r="K134" s="22" t="e">
        <f t="shared" si="14"/>
        <v>#REF!</v>
      </c>
      <c r="L134" s="19" t="e">
        <f>SUMIFS(#REF!,#REF!,美团日报!$C134,#REF!,"饿了么")</f>
        <v>#REF!</v>
      </c>
      <c r="M134" s="23"/>
      <c r="N134" s="23"/>
      <c r="O134" s="22" t="e">
        <f t="shared" si="15"/>
        <v>#REF!</v>
      </c>
      <c r="P134" s="19" t="e">
        <f>SUMIFS(#REF!,#REF!,美团日报!$C134,#REF!,"饿了么")</f>
        <v>#REF!</v>
      </c>
      <c r="Q134" s="23"/>
      <c r="R134" s="23"/>
      <c r="S134" s="22" t="e">
        <f t="shared" si="16"/>
        <v>#REF!</v>
      </c>
      <c r="T134" s="19" t="e">
        <f>SUMIFS(#REF!,#REF!,美团日报!$C134,#REF!,"饿了么")</f>
        <v>#REF!</v>
      </c>
      <c r="U134" s="22" t="e">
        <f t="shared" si="17"/>
        <v>#REF!</v>
      </c>
      <c r="V134" s="19" t="e">
        <f>SUMIFS(#REF!,#REF!,美团日报!$C134,#REF!,"饿了么")</f>
        <v>#REF!</v>
      </c>
      <c r="W134" s="24" t="s">
        <v>19</v>
      </c>
    </row>
    <row r="135" ht="14.4" spans="1:23">
      <c r="A135" s="16" t="s">
        <v>63</v>
      </c>
      <c r="B135" s="16" t="s">
        <v>168</v>
      </c>
      <c r="C135" s="16">
        <v>1369</v>
      </c>
      <c r="D135" s="16" t="s">
        <v>346</v>
      </c>
      <c r="E135" s="18">
        <f>_xlfn.IFNA(VLOOKUP(C:C,线上线下销售!B:D,3,0),0)</f>
        <v>4210.5011</v>
      </c>
      <c r="F135" s="18">
        <f>SUMIFS(线上订单!$E:$E,线上订单!$B:$B,美团日报!$C135,线上订单!$D:$D,"饿了么")</f>
        <v>447.62947958105</v>
      </c>
      <c r="G135" s="19">
        <f t="shared" si="12"/>
        <v>0.106312638080311</v>
      </c>
      <c r="H135" s="18">
        <f>SUMIFS(线上订单!$F:$F,线上订单!$B:$B,美团日报!$C135,线上订单!$D:$D,"饿了么")</f>
        <v>12</v>
      </c>
      <c r="I135" s="18">
        <f>SUMIFS(线上订单!$F:$F,线上订单!$B:$B,美团日报!$C135,线上订单!$D:$D,"饿了么")</f>
        <v>12</v>
      </c>
      <c r="J135" s="21">
        <f t="shared" si="13"/>
        <v>37.3024566317542</v>
      </c>
      <c r="K135" s="22" t="e">
        <f t="shared" si="14"/>
        <v>#REF!</v>
      </c>
      <c r="L135" s="19" t="e">
        <f>SUMIFS(#REF!,#REF!,美团日报!$C135,#REF!,"饿了么")</f>
        <v>#REF!</v>
      </c>
      <c r="M135" s="23"/>
      <c r="N135" s="23"/>
      <c r="O135" s="22" t="e">
        <f t="shared" si="15"/>
        <v>#REF!</v>
      </c>
      <c r="P135" s="19" t="e">
        <f>SUMIFS(#REF!,#REF!,美团日报!$C135,#REF!,"饿了么")</f>
        <v>#REF!</v>
      </c>
      <c r="Q135" s="23"/>
      <c r="R135" s="23"/>
      <c r="S135" s="22" t="e">
        <f t="shared" si="16"/>
        <v>#REF!</v>
      </c>
      <c r="T135" s="19" t="e">
        <f>SUMIFS(#REF!,#REF!,美团日报!$C135,#REF!,"饿了么")</f>
        <v>#REF!</v>
      </c>
      <c r="U135" s="22" t="e">
        <f t="shared" si="17"/>
        <v>#REF!</v>
      </c>
      <c r="V135" s="19" t="e">
        <f>SUMIFS(#REF!,#REF!,美团日报!$C135,#REF!,"饿了么")</f>
        <v>#REF!</v>
      </c>
      <c r="W135" s="24" t="s">
        <v>19</v>
      </c>
    </row>
    <row r="136" ht="14.4" spans="1:23">
      <c r="A136" s="16" t="s">
        <v>264</v>
      </c>
      <c r="B136" s="16" t="s">
        <v>401</v>
      </c>
      <c r="C136" s="16">
        <v>1376</v>
      </c>
      <c r="D136" s="16" t="s">
        <v>348</v>
      </c>
      <c r="E136" s="18">
        <f>_xlfn.IFNA(VLOOKUP(C:C,线上线下销售!B:D,3,0),0)</f>
        <v>4458.686</v>
      </c>
      <c r="F136" s="18">
        <f>SUMIFS(线上订单!$E:$E,线上订单!$B:$B,美团日报!$C136,线上订单!$D:$D,"饿了么")</f>
        <v>0</v>
      </c>
      <c r="G136" s="19">
        <f t="shared" si="12"/>
        <v>0</v>
      </c>
      <c r="H136" s="18">
        <f>SUMIFS(线上订单!$F:$F,线上订单!$B:$B,美团日报!$C136,线上订单!$D:$D,"饿了么")</f>
        <v>0</v>
      </c>
      <c r="I136" s="18">
        <f>SUMIFS(线上订单!$F:$F,线上订单!$B:$B,美团日报!$C136,线上订单!$D:$D,"饿了么")</f>
        <v>0</v>
      </c>
      <c r="J136" s="21">
        <f t="shared" si="13"/>
        <v>0</v>
      </c>
      <c r="K136" s="22" t="e">
        <f t="shared" si="14"/>
        <v>#REF!</v>
      </c>
      <c r="L136" s="19" t="e">
        <f>SUMIFS(#REF!,#REF!,美团日报!$C136,#REF!,"饿了么")</f>
        <v>#REF!</v>
      </c>
      <c r="M136" s="23"/>
      <c r="N136" s="23"/>
      <c r="O136" s="22" t="e">
        <f t="shared" si="15"/>
        <v>#REF!</v>
      </c>
      <c r="P136" s="19" t="e">
        <f>SUMIFS(#REF!,#REF!,美团日报!$C136,#REF!,"饿了么")</f>
        <v>#REF!</v>
      </c>
      <c r="Q136" s="23"/>
      <c r="R136" s="23"/>
      <c r="S136" s="22" t="e">
        <f t="shared" si="16"/>
        <v>#REF!</v>
      </c>
      <c r="T136" s="19" t="e">
        <f>SUMIFS(#REF!,#REF!,美团日报!$C136,#REF!,"饿了么")</f>
        <v>#REF!</v>
      </c>
      <c r="U136" s="22" t="e">
        <f t="shared" si="17"/>
        <v>#REF!</v>
      </c>
      <c r="V136" s="19" t="e">
        <f>SUMIFS(#REF!,#REF!,美团日报!$C136,#REF!,"饿了么")</f>
        <v>#REF!</v>
      </c>
      <c r="W136" s="24" t="s">
        <v>19</v>
      </c>
    </row>
    <row r="137" ht="14.4" spans="1:23">
      <c r="A137" s="16" t="s">
        <v>264</v>
      </c>
      <c r="B137" s="16" t="s">
        <v>350</v>
      </c>
      <c r="C137" s="16">
        <v>1380</v>
      </c>
      <c r="D137" s="16" t="s">
        <v>351</v>
      </c>
      <c r="E137" s="18">
        <f>_xlfn.IFNA(VLOOKUP(C:C,线上线下销售!B:D,3,0),0)</f>
        <v>8888.8084</v>
      </c>
      <c r="F137" s="18">
        <f>SUMIFS(线上订单!$E:$E,线上订单!$B:$B,美团日报!$C137,线上订单!$D:$D,"饿了么")</f>
        <v>1032.45035317043</v>
      </c>
      <c r="G137" s="19">
        <f t="shared" si="12"/>
        <v>0.116151716485466</v>
      </c>
      <c r="H137" s="18">
        <f>SUMIFS(线上订单!$F:$F,线上订单!$B:$B,美团日报!$C137,线上订单!$D:$D,"饿了么")</f>
        <v>16</v>
      </c>
      <c r="I137" s="18">
        <f>SUMIFS(线上订单!$F:$F,线上订单!$B:$B,美团日报!$C137,线上订单!$D:$D,"饿了么")</f>
        <v>16</v>
      </c>
      <c r="J137" s="21">
        <f t="shared" si="13"/>
        <v>64.5281470731519</v>
      </c>
      <c r="K137" s="22" t="e">
        <f t="shared" si="14"/>
        <v>#REF!</v>
      </c>
      <c r="L137" s="19" t="e">
        <f>SUMIFS(#REF!,#REF!,美团日报!$C137,#REF!,"饿了么")</f>
        <v>#REF!</v>
      </c>
      <c r="M137" s="23"/>
      <c r="N137" s="23"/>
      <c r="O137" s="22" t="e">
        <f t="shared" si="15"/>
        <v>#REF!</v>
      </c>
      <c r="P137" s="19" t="e">
        <f>SUMIFS(#REF!,#REF!,美团日报!$C137,#REF!,"饿了么")</f>
        <v>#REF!</v>
      </c>
      <c r="Q137" s="23"/>
      <c r="R137" s="23"/>
      <c r="S137" s="22" t="e">
        <f t="shared" si="16"/>
        <v>#REF!</v>
      </c>
      <c r="T137" s="19" t="e">
        <f>SUMIFS(#REF!,#REF!,美团日报!$C137,#REF!,"饿了么")</f>
        <v>#REF!</v>
      </c>
      <c r="U137" s="22" t="e">
        <f t="shared" si="17"/>
        <v>#REF!</v>
      </c>
      <c r="V137" s="19" t="e">
        <f>SUMIFS(#REF!,#REF!,美团日报!$C137,#REF!,"饿了么")</f>
        <v>#REF!</v>
      </c>
      <c r="W137" s="24" t="s">
        <v>19</v>
      </c>
    </row>
    <row r="138" ht="14.4" spans="1:23">
      <c r="A138" s="16" t="s">
        <v>56</v>
      </c>
      <c r="B138" s="16" t="s">
        <v>52</v>
      </c>
      <c r="C138" s="16">
        <v>1386</v>
      </c>
      <c r="D138" s="16" t="s">
        <v>353</v>
      </c>
      <c r="E138" s="18">
        <f>_xlfn.IFNA(VLOOKUP(C:C,线上线下销售!B:D,3,0),0)</f>
        <v>4051.8608</v>
      </c>
      <c r="F138" s="18">
        <f>SUMIFS(线上订单!$E:$E,线上订单!$B:$B,美团日报!$C138,线上订单!$D:$D,"饿了么")</f>
        <v>670.04725176578</v>
      </c>
      <c r="G138" s="19">
        <f t="shared" si="12"/>
        <v>0.165367786515711</v>
      </c>
      <c r="H138" s="18">
        <f>SUMIFS(线上订单!$F:$F,线上订单!$B:$B,美团日报!$C138,线上订单!$D:$D,"饿了么")</f>
        <v>16</v>
      </c>
      <c r="I138" s="18">
        <f>SUMIFS(线上订单!$F:$F,线上订单!$B:$B,美团日报!$C138,线上订单!$D:$D,"饿了么")</f>
        <v>16</v>
      </c>
      <c r="J138" s="21">
        <f t="shared" si="13"/>
        <v>41.8779532353612</v>
      </c>
      <c r="K138" s="22" t="e">
        <f t="shared" si="14"/>
        <v>#REF!</v>
      </c>
      <c r="L138" s="19" t="e">
        <f>SUMIFS(#REF!,#REF!,美团日报!$C138,#REF!,"饿了么")</f>
        <v>#REF!</v>
      </c>
      <c r="M138" s="23"/>
      <c r="N138" s="23"/>
      <c r="O138" s="22" t="e">
        <f t="shared" si="15"/>
        <v>#REF!</v>
      </c>
      <c r="P138" s="19" t="e">
        <f>SUMIFS(#REF!,#REF!,美团日报!$C138,#REF!,"饿了么")</f>
        <v>#REF!</v>
      </c>
      <c r="Q138" s="23"/>
      <c r="R138" s="23"/>
      <c r="S138" s="22" t="e">
        <f t="shared" si="16"/>
        <v>#REF!</v>
      </c>
      <c r="T138" s="19" t="e">
        <f>SUMIFS(#REF!,#REF!,美团日报!$C138,#REF!,"饿了么")</f>
        <v>#REF!</v>
      </c>
      <c r="U138" s="22" t="e">
        <f t="shared" si="17"/>
        <v>#REF!</v>
      </c>
      <c r="V138" s="19" t="e">
        <f>SUMIFS(#REF!,#REF!,美团日报!$C138,#REF!,"饿了么")</f>
        <v>#REF!</v>
      </c>
      <c r="W138" s="24" t="s">
        <v>19</v>
      </c>
    </row>
    <row r="139" ht="14.4" spans="1:23">
      <c r="A139" s="16" t="s">
        <v>43</v>
      </c>
      <c r="B139" s="16" t="s">
        <v>38</v>
      </c>
      <c r="C139" s="16">
        <v>1441</v>
      </c>
      <c r="D139" s="16" t="s">
        <v>355</v>
      </c>
      <c r="E139" s="18">
        <f>_xlfn.IFNA(VLOOKUP(C:C,线上线下销售!B:D,3,0),0)</f>
        <v>0</v>
      </c>
      <c r="F139" s="18">
        <f>SUMIFS(线上订单!$E:$E,线上订单!$B:$B,美团日报!$C139,线上订单!$D:$D,"饿了么")</f>
        <v>0</v>
      </c>
      <c r="G139" s="19">
        <f t="shared" si="12"/>
        <v>0</v>
      </c>
      <c r="H139" s="18">
        <f>SUMIFS(线上订单!$F:$F,线上订单!$B:$B,美团日报!$C139,线上订单!$D:$D,"饿了么")</f>
        <v>0</v>
      </c>
      <c r="I139" s="18">
        <f>SUMIFS(线上订单!$F:$F,线上订单!$B:$B,美团日报!$C139,线上订单!$D:$D,"饿了么")</f>
        <v>0</v>
      </c>
      <c r="J139" s="21">
        <f t="shared" si="13"/>
        <v>0</v>
      </c>
      <c r="K139" s="22" t="e">
        <f t="shared" si="14"/>
        <v>#REF!</v>
      </c>
      <c r="L139" s="19" t="e">
        <f>SUMIFS(#REF!,#REF!,美团日报!$C139,#REF!,"饿了么")</f>
        <v>#REF!</v>
      </c>
      <c r="M139" s="23"/>
      <c r="N139" s="23"/>
      <c r="O139" s="22" t="e">
        <f t="shared" si="15"/>
        <v>#REF!</v>
      </c>
      <c r="P139" s="19" t="e">
        <f>SUMIFS(#REF!,#REF!,美团日报!$C139,#REF!,"饿了么")</f>
        <v>#REF!</v>
      </c>
      <c r="Q139" s="23"/>
      <c r="R139" s="23"/>
      <c r="S139" s="22" t="e">
        <f t="shared" si="16"/>
        <v>#REF!</v>
      </c>
      <c r="T139" s="19" t="e">
        <f>SUMIFS(#REF!,#REF!,美团日报!$C139,#REF!,"饿了么")</f>
        <v>#REF!</v>
      </c>
      <c r="U139" s="22" t="e">
        <f t="shared" si="17"/>
        <v>#REF!</v>
      </c>
      <c r="V139" s="19" t="e">
        <f>SUMIFS(#REF!,#REF!,美团日报!$C139,#REF!,"饿了么")</f>
        <v>#REF!</v>
      </c>
      <c r="W139" s="24" t="s">
        <v>19</v>
      </c>
    </row>
    <row r="140" ht="14.4" spans="1:23">
      <c r="A140" s="16" t="s">
        <v>56</v>
      </c>
      <c r="B140" s="16" t="s">
        <v>573</v>
      </c>
      <c r="C140" s="16">
        <v>1445</v>
      </c>
      <c r="D140" s="16" t="s">
        <v>357</v>
      </c>
      <c r="E140" s="18">
        <f>_xlfn.IFNA(VLOOKUP(C:C,线上线下销售!B:D,3,0),0)</f>
        <v>6229.7127</v>
      </c>
      <c r="F140" s="18">
        <f>SUMIFS(线上订单!$E:$E,线上订单!$B:$B,美团日报!$C140,线上订单!$D:$D,"饿了么")</f>
        <v>849.60461151256</v>
      </c>
      <c r="G140" s="19">
        <f t="shared" si="12"/>
        <v>0.13637942107869</v>
      </c>
      <c r="H140" s="18">
        <f>SUMIFS(线上订单!$F:$F,线上订单!$B:$B,美团日报!$C140,线上订单!$D:$D,"饿了么")</f>
        <v>21</v>
      </c>
      <c r="I140" s="18">
        <f>SUMIFS(线上订单!$F:$F,线上订单!$B:$B,美团日报!$C140,线上订单!$D:$D,"饿了么")</f>
        <v>21</v>
      </c>
      <c r="J140" s="21">
        <f t="shared" si="13"/>
        <v>40.457362452979</v>
      </c>
      <c r="K140" s="22" t="e">
        <f t="shared" si="14"/>
        <v>#REF!</v>
      </c>
      <c r="L140" s="19" t="e">
        <f>SUMIFS(#REF!,#REF!,美团日报!$C140,#REF!,"饿了么")</f>
        <v>#REF!</v>
      </c>
      <c r="M140" s="23"/>
      <c r="N140" s="23"/>
      <c r="O140" s="22" t="e">
        <f t="shared" si="15"/>
        <v>#REF!</v>
      </c>
      <c r="P140" s="19" t="e">
        <f>SUMIFS(#REF!,#REF!,美团日报!$C140,#REF!,"饿了么")</f>
        <v>#REF!</v>
      </c>
      <c r="Q140" s="23"/>
      <c r="R140" s="23"/>
      <c r="S140" s="22" t="e">
        <f t="shared" si="16"/>
        <v>#REF!</v>
      </c>
      <c r="T140" s="19" t="e">
        <f>SUMIFS(#REF!,#REF!,美团日报!$C140,#REF!,"饿了么")</f>
        <v>#REF!</v>
      </c>
      <c r="U140" s="22" t="e">
        <f t="shared" si="17"/>
        <v>#REF!</v>
      </c>
      <c r="V140" s="19" t="e">
        <f>SUMIFS(#REF!,#REF!,美团日报!$C140,#REF!,"饿了么")</f>
        <v>#REF!</v>
      </c>
      <c r="W140" s="24" t="s">
        <v>19</v>
      </c>
    </row>
    <row r="141" ht="14.4" spans="1:23">
      <c r="A141" s="16" t="s">
        <v>264</v>
      </c>
      <c r="B141" s="16" t="s">
        <v>359</v>
      </c>
      <c r="C141" s="16">
        <v>1446</v>
      </c>
      <c r="D141" s="16" t="s">
        <v>360</v>
      </c>
      <c r="E141" s="18">
        <f>_xlfn.IFNA(VLOOKUP(C:C,线上线下销售!B:D,3,0),0)</f>
        <v>8599.4312</v>
      </c>
      <c r="F141" s="18">
        <f>SUMIFS(线上订单!$E:$E,线上订单!$B:$B,美团日报!$C141,线上订单!$D:$D,"饿了么")</f>
        <v>0</v>
      </c>
      <c r="G141" s="19">
        <f t="shared" si="12"/>
        <v>0</v>
      </c>
      <c r="H141" s="18">
        <f>SUMIFS(线上订单!$F:$F,线上订单!$B:$B,美团日报!$C141,线上订单!$D:$D,"饿了么")</f>
        <v>0</v>
      </c>
      <c r="I141" s="18">
        <f>SUMIFS(线上订单!$F:$F,线上订单!$B:$B,美团日报!$C141,线上订单!$D:$D,"饿了么")</f>
        <v>0</v>
      </c>
      <c r="J141" s="21">
        <f t="shared" si="13"/>
        <v>0</v>
      </c>
      <c r="K141" s="22" t="e">
        <f t="shared" si="14"/>
        <v>#REF!</v>
      </c>
      <c r="L141" s="19" t="e">
        <f>SUMIFS(#REF!,#REF!,美团日报!$C141,#REF!,"饿了么")</f>
        <v>#REF!</v>
      </c>
      <c r="M141" s="23"/>
      <c r="N141" s="23"/>
      <c r="O141" s="22" t="e">
        <f t="shared" si="15"/>
        <v>#REF!</v>
      </c>
      <c r="P141" s="19" t="e">
        <f>SUMIFS(#REF!,#REF!,美团日报!$C141,#REF!,"饿了么")</f>
        <v>#REF!</v>
      </c>
      <c r="Q141" s="23"/>
      <c r="R141" s="23"/>
      <c r="S141" s="22" t="e">
        <f t="shared" si="16"/>
        <v>#REF!</v>
      </c>
      <c r="T141" s="19" t="e">
        <f>SUMIFS(#REF!,#REF!,美团日报!$C141,#REF!,"饿了么")</f>
        <v>#REF!</v>
      </c>
      <c r="U141" s="22" t="e">
        <f t="shared" si="17"/>
        <v>#REF!</v>
      </c>
      <c r="V141" s="19" t="e">
        <f>SUMIFS(#REF!,#REF!,美团日报!$C141,#REF!,"饿了么")</f>
        <v>#REF!</v>
      </c>
      <c r="W141" s="24" t="s">
        <v>19</v>
      </c>
    </row>
    <row r="142" ht="14.4" spans="1:23">
      <c r="A142" s="16" t="s">
        <v>264</v>
      </c>
      <c r="B142" s="16" t="s">
        <v>296</v>
      </c>
      <c r="C142" s="16">
        <v>1460</v>
      </c>
      <c r="D142" s="16" t="s">
        <v>362</v>
      </c>
      <c r="E142" s="18">
        <f>_xlfn.IFNA(VLOOKUP(C:C,线上线下销售!B:D,3,0),0)</f>
        <v>3442.3028</v>
      </c>
      <c r="F142" s="18">
        <f>SUMIFS(线上订单!$E:$E,线上订单!$B:$B,美团日报!$C142,线上订单!$D:$D,"饿了么")</f>
        <v>0</v>
      </c>
      <c r="G142" s="19">
        <f t="shared" si="12"/>
        <v>0</v>
      </c>
      <c r="H142" s="18">
        <f>SUMIFS(线上订单!$F:$F,线上订单!$B:$B,美团日报!$C142,线上订单!$D:$D,"饿了么")</f>
        <v>0</v>
      </c>
      <c r="I142" s="18">
        <f>SUMIFS(线上订单!$F:$F,线上订单!$B:$B,美团日报!$C142,线上订单!$D:$D,"饿了么")</f>
        <v>0</v>
      </c>
      <c r="J142" s="21">
        <f t="shared" si="13"/>
        <v>0</v>
      </c>
      <c r="K142" s="22" t="e">
        <f t="shared" si="14"/>
        <v>#REF!</v>
      </c>
      <c r="L142" s="19" t="e">
        <f>SUMIFS(#REF!,#REF!,美团日报!$C142,#REF!,"饿了么")</f>
        <v>#REF!</v>
      </c>
      <c r="M142" s="23"/>
      <c r="N142" s="23"/>
      <c r="O142" s="22" t="e">
        <f t="shared" si="15"/>
        <v>#REF!</v>
      </c>
      <c r="P142" s="19" t="e">
        <f>SUMIFS(#REF!,#REF!,美团日报!$C142,#REF!,"饿了么")</f>
        <v>#REF!</v>
      </c>
      <c r="Q142" s="23"/>
      <c r="R142" s="23"/>
      <c r="S142" s="22" t="e">
        <f t="shared" si="16"/>
        <v>#REF!</v>
      </c>
      <c r="T142" s="19" t="e">
        <f>SUMIFS(#REF!,#REF!,美团日报!$C142,#REF!,"饿了么")</f>
        <v>#REF!</v>
      </c>
      <c r="U142" s="22" t="e">
        <f t="shared" si="17"/>
        <v>#REF!</v>
      </c>
      <c r="V142" s="19" t="e">
        <f>SUMIFS(#REF!,#REF!,美团日报!$C142,#REF!,"饿了么")</f>
        <v>#REF!</v>
      </c>
      <c r="W142" s="24" t="s">
        <v>19</v>
      </c>
    </row>
    <row r="143" ht="14.4" spans="1:23">
      <c r="A143" s="16" t="s">
        <v>56</v>
      </c>
      <c r="B143" s="16" t="s">
        <v>52</v>
      </c>
      <c r="C143" s="16">
        <v>1461</v>
      </c>
      <c r="D143" s="16" t="s">
        <v>364</v>
      </c>
      <c r="E143" s="18">
        <f>_xlfn.IFNA(VLOOKUP(C:C,线上线下销售!B:D,3,0),0)</f>
        <v>6043.9715</v>
      </c>
      <c r="F143" s="18">
        <f>SUMIFS(线上订单!$E:$E,线上订单!$B:$B,美团日报!$C143,线上订单!$D:$D,"饿了么")</f>
        <v>332.90265486726</v>
      </c>
      <c r="G143" s="19">
        <f t="shared" si="12"/>
        <v>0.055080116586794</v>
      </c>
      <c r="H143" s="18">
        <f>SUMIFS(线上订单!$F:$F,线上订单!$B:$B,美团日报!$C143,线上订单!$D:$D,"饿了么")</f>
        <v>10</v>
      </c>
      <c r="I143" s="18">
        <f>SUMIFS(线上订单!$F:$F,线上订单!$B:$B,美团日报!$C143,线上订单!$D:$D,"饿了么")</f>
        <v>10</v>
      </c>
      <c r="J143" s="21">
        <f t="shared" si="13"/>
        <v>33.290265486726</v>
      </c>
      <c r="K143" s="22" t="e">
        <f t="shared" si="14"/>
        <v>#REF!</v>
      </c>
      <c r="L143" s="19" t="e">
        <f>SUMIFS(#REF!,#REF!,美团日报!$C143,#REF!,"饿了么")</f>
        <v>#REF!</v>
      </c>
      <c r="M143" s="23"/>
      <c r="N143" s="23"/>
      <c r="O143" s="22" t="e">
        <f t="shared" si="15"/>
        <v>#REF!</v>
      </c>
      <c r="P143" s="19" t="e">
        <f>SUMIFS(#REF!,#REF!,美团日报!$C143,#REF!,"饿了么")</f>
        <v>#REF!</v>
      </c>
      <c r="Q143" s="23"/>
      <c r="R143" s="23"/>
      <c r="S143" s="22" t="e">
        <f t="shared" si="16"/>
        <v>#REF!</v>
      </c>
      <c r="T143" s="19" t="e">
        <f>SUMIFS(#REF!,#REF!,美团日报!$C143,#REF!,"饿了么")</f>
        <v>#REF!</v>
      </c>
      <c r="U143" s="22" t="e">
        <f t="shared" si="17"/>
        <v>#REF!</v>
      </c>
      <c r="V143" s="19" t="e">
        <f>SUMIFS(#REF!,#REF!,美团日报!$C143,#REF!,"饿了么")</f>
        <v>#REF!</v>
      </c>
      <c r="W143" s="24" t="s">
        <v>19</v>
      </c>
    </row>
    <row r="144" ht="14.4" spans="1:23">
      <c r="A144" s="16" t="s">
        <v>43</v>
      </c>
      <c r="B144" s="16" t="s">
        <v>38</v>
      </c>
      <c r="C144" s="16">
        <v>1479</v>
      </c>
      <c r="D144" s="16" t="s">
        <v>366</v>
      </c>
      <c r="E144" s="18">
        <f>_xlfn.IFNA(VLOOKUP(C:C,线上线下销售!B:D,3,0),0)</f>
        <v>6124.353</v>
      </c>
      <c r="F144" s="18">
        <f>SUMIFS(线上订单!$E:$E,线上订单!$B:$B,美团日报!$C144,线上订单!$D:$D,"饿了么")</f>
        <v>129.20353982301</v>
      </c>
      <c r="G144" s="19">
        <f t="shared" si="12"/>
        <v>0.0210966839800074</v>
      </c>
      <c r="H144" s="18">
        <f>SUMIFS(线上订单!$F:$F,线上订单!$B:$B,美团日报!$C144,线上订单!$D:$D,"饿了么")</f>
        <v>4</v>
      </c>
      <c r="I144" s="18">
        <f>SUMIFS(线上订单!$F:$F,线上订单!$B:$B,美团日报!$C144,线上订单!$D:$D,"饿了么")</f>
        <v>4</v>
      </c>
      <c r="J144" s="21">
        <f t="shared" si="13"/>
        <v>32.3008849557525</v>
      </c>
      <c r="K144" s="22" t="e">
        <f t="shared" si="14"/>
        <v>#REF!</v>
      </c>
      <c r="L144" s="19" t="e">
        <f>SUMIFS(#REF!,#REF!,美团日报!$C144,#REF!,"饿了么")</f>
        <v>#REF!</v>
      </c>
      <c r="M144" s="23"/>
      <c r="N144" s="23"/>
      <c r="O144" s="22" t="e">
        <f t="shared" si="15"/>
        <v>#REF!</v>
      </c>
      <c r="P144" s="19" t="e">
        <f>SUMIFS(#REF!,#REF!,美团日报!$C144,#REF!,"饿了么")</f>
        <v>#REF!</v>
      </c>
      <c r="Q144" s="23"/>
      <c r="R144" s="23"/>
      <c r="S144" s="22" t="e">
        <f t="shared" si="16"/>
        <v>#REF!</v>
      </c>
      <c r="T144" s="19" t="e">
        <f>SUMIFS(#REF!,#REF!,美团日报!$C144,#REF!,"饿了么")</f>
        <v>#REF!</v>
      </c>
      <c r="U144" s="22" t="e">
        <f t="shared" si="17"/>
        <v>#REF!</v>
      </c>
      <c r="V144" s="19" t="e">
        <f>SUMIFS(#REF!,#REF!,美团日报!$C144,#REF!,"饿了么")</f>
        <v>#REF!</v>
      </c>
      <c r="W144" s="24" t="s">
        <v>19</v>
      </c>
    </row>
    <row r="145" ht="14.4" spans="1:23">
      <c r="A145" s="16" t="s">
        <v>56</v>
      </c>
      <c r="B145" s="16" t="s">
        <v>70</v>
      </c>
      <c r="C145" s="16">
        <v>1496</v>
      </c>
      <c r="D145" s="16" t="s">
        <v>368</v>
      </c>
      <c r="E145" s="18">
        <f>_xlfn.IFNA(VLOOKUP(C:C,线上线下销售!B:D,3,0),0)</f>
        <v>2554.8199</v>
      </c>
      <c r="F145" s="18">
        <f>SUMIFS(线上订单!$E:$E,线上订单!$B:$B,美团日报!$C145,线上订单!$D:$D,"饿了么")</f>
        <v>61.48672566372</v>
      </c>
      <c r="G145" s="19">
        <f t="shared" si="12"/>
        <v>0.0240669511239207</v>
      </c>
      <c r="H145" s="18">
        <f>SUMIFS(线上订单!$F:$F,线上订单!$B:$B,美团日报!$C145,线上订单!$D:$D,"饿了么")</f>
        <v>2</v>
      </c>
      <c r="I145" s="18">
        <f>SUMIFS(线上订单!$F:$F,线上订单!$B:$B,美团日报!$C145,线上订单!$D:$D,"饿了么")</f>
        <v>2</v>
      </c>
      <c r="J145" s="21">
        <f t="shared" si="13"/>
        <v>30.74336283186</v>
      </c>
      <c r="K145" s="22" t="e">
        <f t="shared" si="14"/>
        <v>#REF!</v>
      </c>
      <c r="L145" s="19" t="e">
        <f>SUMIFS(#REF!,#REF!,美团日报!$C145,#REF!,"饿了么")</f>
        <v>#REF!</v>
      </c>
      <c r="M145" s="23"/>
      <c r="N145" s="23"/>
      <c r="O145" s="22" t="e">
        <f t="shared" si="15"/>
        <v>#REF!</v>
      </c>
      <c r="P145" s="19" t="e">
        <f>SUMIFS(#REF!,#REF!,美团日报!$C145,#REF!,"饿了么")</f>
        <v>#REF!</v>
      </c>
      <c r="Q145" s="23"/>
      <c r="R145" s="23"/>
      <c r="S145" s="22" t="e">
        <f t="shared" si="16"/>
        <v>#REF!</v>
      </c>
      <c r="T145" s="19" t="e">
        <f>SUMIFS(#REF!,#REF!,美团日报!$C145,#REF!,"饿了么")</f>
        <v>#REF!</v>
      </c>
      <c r="U145" s="22" t="e">
        <f t="shared" si="17"/>
        <v>#REF!</v>
      </c>
      <c r="V145" s="19" t="e">
        <f>SUMIFS(#REF!,#REF!,美团日报!$C145,#REF!,"饿了么")</f>
        <v>#REF!</v>
      </c>
      <c r="W145" s="24" t="s">
        <v>19</v>
      </c>
    </row>
    <row r="146" ht="14.4" spans="1:23">
      <c r="A146" s="16" t="s">
        <v>264</v>
      </c>
      <c r="B146" s="16" t="s">
        <v>370</v>
      </c>
      <c r="C146" s="16">
        <v>1513</v>
      </c>
      <c r="D146" s="16" t="s">
        <v>371</v>
      </c>
      <c r="E146" s="18">
        <f>_xlfn.IFNA(VLOOKUP(C:C,线上线下销售!B:D,3,0),0)</f>
        <v>8802.3996</v>
      </c>
      <c r="F146" s="18">
        <f>SUMIFS(线上订单!$E:$E,线上订单!$B:$B,美团日报!$C146,线上订单!$D:$D,"饿了么")</f>
        <v>0</v>
      </c>
      <c r="G146" s="19">
        <f t="shared" si="12"/>
        <v>0</v>
      </c>
      <c r="H146" s="18">
        <f>SUMIFS(线上订单!$F:$F,线上订单!$B:$B,美团日报!$C146,线上订单!$D:$D,"饿了么")</f>
        <v>0</v>
      </c>
      <c r="I146" s="18">
        <f>SUMIFS(线上订单!$F:$F,线上订单!$B:$B,美团日报!$C146,线上订单!$D:$D,"饿了么")</f>
        <v>0</v>
      </c>
      <c r="J146" s="21">
        <f t="shared" si="13"/>
        <v>0</v>
      </c>
      <c r="K146" s="22" t="e">
        <f t="shared" si="14"/>
        <v>#REF!</v>
      </c>
      <c r="L146" s="19" t="e">
        <f>SUMIFS(#REF!,#REF!,美团日报!$C146,#REF!,"饿了么")</f>
        <v>#REF!</v>
      </c>
      <c r="M146" s="23"/>
      <c r="N146" s="23"/>
      <c r="O146" s="22" t="e">
        <f t="shared" si="15"/>
        <v>#REF!</v>
      </c>
      <c r="P146" s="19" t="e">
        <f>SUMIFS(#REF!,#REF!,美团日报!$C146,#REF!,"饿了么")</f>
        <v>#REF!</v>
      </c>
      <c r="Q146" s="23"/>
      <c r="R146" s="23"/>
      <c r="S146" s="22" t="e">
        <f t="shared" si="16"/>
        <v>#REF!</v>
      </c>
      <c r="T146" s="19" t="e">
        <f>SUMIFS(#REF!,#REF!,美团日报!$C146,#REF!,"饿了么")</f>
        <v>#REF!</v>
      </c>
      <c r="U146" s="22" t="e">
        <f t="shared" si="17"/>
        <v>#REF!</v>
      </c>
      <c r="V146" s="19" t="e">
        <f>SUMIFS(#REF!,#REF!,美团日报!$C146,#REF!,"饿了么")</f>
        <v>#REF!</v>
      </c>
      <c r="W146" s="24" t="s">
        <v>19</v>
      </c>
    </row>
    <row r="147" ht="14.4" spans="1:23">
      <c r="A147" s="16" t="s">
        <v>264</v>
      </c>
      <c r="B147" s="16" t="s">
        <v>359</v>
      </c>
      <c r="C147" s="16">
        <v>1529</v>
      </c>
      <c r="D147" s="16" t="s">
        <v>373</v>
      </c>
      <c r="E147" s="18">
        <f>_xlfn.IFNA(VLOOKUP(C:C,线上线下销售!B:D,3,0),0)</f>
        <v>19411.4845</v>
      </c>
      <c r="F147" s="18">
        <f>SUMIFS(线上订单!$E:$E,线上订单!$B:$B,美团日报!$C147,线上订单!$D:$D,"饿了么")</f>
        <v>0</v>
      </c>
      <c r="G147" s="19">
        <f t="shared" si="12"/>
        <v>0</v>
      </c>
      <c r="H147" s="18">
        <f>SUMIFS(线上订单!$F:$F,线上订单!$B:$B,美团日报!$C147,线上订单!$D:$D,"饿了么")</f>
        <v>0</v>
      </c>
      <c r="I147" s="18">
        <f>SUMIFS(线上订单!$F:$F,线上订单!$B:$B,美团日报!$C147,线上订单!$D:$D,"饿了么")</f>
        <v>0</v>
      </c>
      <c r="J147" s="21">
        <f t="shared" si="13"/>
        <v>0</v>
      </c>
      <c r="K147" s="22" t="e">
        <f t="shared" si="14"/>
        <v>#REF!</v>
      </c>
      <c r="L147" s="19" t="e">
        <f>SUMIFS(#REF!,#REF!,美团日报!$C147,#REF!,"饿了么")</f>
        <v>#REF!</v>
      </c>
      <c r="M147" s="23"/>
      <c r="N147" s="23"/>
      <c r="O147" s="22" t="e">
        <f t="shared" si="15"/>
        <v>#REF!</v>
      </c>
      <c r="P147" s="19" t="e">
        <f>SUMIFS(#REF!,#REF!,美团日报!$C147,#REF!,"饿了么")</f>
        <v>#REF!</v>
      </c>
      <c r="Q147" s="23"/>
      <c r="R147" s="23"/>
      <c r="S147" s="22" t="e">
        <f t="shared" si="16"/>
        <v>#REF!</v>
      </c>
      <c r="T147" s="19" t="e">
        <f>SUMIFS(#REF!,#REF!,美团日报!$C147,#REF!,"饿了么")</f>
        <v>#REF!</v>
      </c>
      <c r="U147" s="22" t="e">
        <f t="shared" si="17"/>
        <v>#REF!</v>
      </c>
      <c r="V147" s="19" t="e">
        <f>SUMIFS(#REF!,#REF!,美团日报!$C147,#REF!,"饿了么")</f>
        <v>#REF!</v>
      </c>
      <c r="W147" s="24" t="s">
        <v>19</v>
      </c>
    </row>
    <row r="148" ht="14.4" spans="1:23">
      <c r="A148" s="16" t="s">
        <v>48</v>
      </c>
      <c r="B148" s="16" t="s">
        <v>111</v>
      </c>
      <c r="C148" s="16">
        <v>1533</v>
      </c>
      <c r="D148" s="16" t="s">
        <v>375</v>
      </c>
      <c r="E148" s="18">
        <f>_xlfn.IFNA(VLOOKUP(C:C,线上线下销售!B:D,3,0),0)</f>
        <v>0</v>
      </c>
      <c r="F148" s="18">
        <f>SUMIFS(线上订单!$E:$E,线上订单!$B:$B,美团日报!$C148,线上订单!$D:$D,"饿了么")</f>
        <v>0</v>
      </c>
      <c r="G148" s="19">
        <f t="shared" si="12"/>
        <v>0</v>
      </c>
      <c r="H148" s="18">
        <f>SUMIFS(线上订单!$F:$F,线上订单!$B:$B,美团日报!$C148,线上订单!$D:$D,"饿了么")</f>
        <v>0</v>
      </c>
      <c r="I148" s="18">
        <f>SUMIFS(线上订单!$F:$F,线上订单!$B:$B,美团日报!$C148,线上订单!$D:$D,"饿了么")</f>
        <v>0</v>
      </c>
      <c r="J148" s="21">
        <f t="shared" si="13"/>
        <v>0</v>
      </c>
      <c r="K148" s="22" t="e">
        <f t="shared" si="14"/>
        <v>#REF!</v>
      </c>
      <c r="L148" s="19" t="e">
        <f>SUMIFS(#REF!,#REF!,美团日报!$C148,#REF!,"饿了么")</f>
        <v>#REF!</v>
      </c>
      <c r="M148" s="23"/>
      <c r="N148" s="23"/>
      <c r="O148" s="22" t="e">
        <f t="shared" si="15"/>
        <v>#REF!</v>
      </c>
      <c r="P148" s="19" t="e">
        <f>SUMIFS(#REF!,#REF!,美团日报!$C148,#REF!,"饿了么")</f>
        <v>#REF!</v>
      </c>
      <c r="Q148" s="23"/>
      <c r="R148" s="23"/>
      <c r="S148" s="22" t="e">
        <f t="shared" si="16"/>
        <v>#REF!</v>
      </c>
      <c r="T148" s="19" t="e">
        <f>SUMIFS(#REF!,#REF!,美团日报!$C148,#REF!,"饿了么")</f>
        <v>#REF!</v>
      </c>
      <c r="U148" s="22" t="e">
        <f t="shared" si="17"/>
        <v>#REF!</v>
      </c>
      <c r="V148" s="19" t="e">
        <f>SUMIFS(#REF!,#REF!,美团日报!$C148,#REF!,"饿了么")</f>
        <v>#REF!</v>
      </c>
      <c r="W148" s="24" t="s">
        <v>19</v>
      </c>
    </row>
    <row r="149" ht="14.4" spans="1:23">
      <c r="A149" s="16" t="s">
        <v>264</v>
      </c>
      <c r="B149" s="16" t="s">
        <v>327</v>
      </c>
      <c r="C149" s="16">
        <v>1540</v>
      </c>
      <c r="D149" s="16" t="s">
        <v>377</v>
      </c>
      <c r="E149" s="18">
        <f>_xlfn.IFNA(VLOOKUP(C:C,线上线下销售!B:D,3,0),0)</f>
        <v>28849.2624</v>
      </c>
      <c r="F149" s="18">
        <f>SUMIFS(线上订单!$E:$E,线上订单!$B:$B,美团日报!$C149,线上订单!$D:$D,"饿了么")</f>
        <v>0</v>
      </c>
      <c r="G149" s="19">
        <f t="shared" si="12"/>
        <v>0</v>
      </c>
      <c r="H149" s="18">
        <f>SUMIFS(线上订单!$F:$F,线上订单!$B:$B,美团日报!$C149,线上订单!$D:$D,"饿了么")</f>
        <v>0</v>
      </c>
      <c r="I149" s="18">
        <f>SUMIFS(线上订单!$F:$F,线上订单!$B:$B,美团日报!$C149,线上订单!$D:$D,"饿了么")</f>
        <v>0</v>
      </c>
      <c r="J149" s="21">
        <f t="shared" si="13"/>
        <v>0</v>
      </c>
      <c r="K149" s="22" t="e">
        <f t="shared" si="14"/>
        <v>#REF!</v>
      </c>
      <c r="L149" s="19" t="e">
        <f>SUMIFS(#REF!,#REF!,美团日报!$C149,#REF!,"饿了么")</f>
        <v>#REF!</v>
      </c>
      <c r="M149" s="23"/>
      <c r="N149" s="23"/>
      <c r="O149" s="22" t="e">
        <f t="shared" si="15"/>
        <v>#REF!</v>
      </c>
      <c r="P149" s="19" t="e">
        <f>SUMIFS(#REF!,#REF!,美团日报!$C149,#REF!,"饿了么")</f>
        <v>#REF!</v>
      </c>
      <c r="Q149" s="23"/>
      <c r="R149" s="23"/>
      <c r="S149" s="22" t="e">
        <f t="shared" si="16"/>
        <v>#REF!</v>
      </c>
      <c r="T149" s="19" t="e">
        <f>SUMIFS(#REF!,#REF!,美团日报!$C149,#REF!,"饿了么")</f>
        <v>#REF!</v>
      </c>
      <c r="U149" s="22" t="e">
        <f t="shared" si="17"/>
        <v>#REF!</v>
      </c>
      <c r="V149" s="19" t="e">
        <f>SUMIFS(#REF!,#REF!,美团日报!$C149,#REF!,"饿了么")</f>
        <v>#REF!</v>
      </c>
      <c r="W149" s="24" t="s">
        <v>19</v>
      </c>
    </row>
    <row r="150" ht="14.4" spans="1:23">
      <c r="A150" s="16" t="s">
        <v>43</v>
      </c>
      <c r="B150" s="16" t="s">
        <v>575</v>
      </c>
      <c r="C150" s="16">
        <v>1543</v>
      </c>
      <c r="D150" s="16" t="s">
        <v>379</v>
      </c>
      <c r="E150" s="18">
        <f>_xlfn.IFNA(VLOOKUP(C:C,线上线下销售!B:D,3,0),0)</f>
        <v>5973.562</v>
      </c>
      <c r="F150" s="18">
        <f>SUMIFS(线上订单!$E:$E,线上订单!$B:$B,美团日报!$C150,线上订单!$D:$D,"饿了么")</f>
        <v>269.70796460177</v>
      </c>
      <c r="G150" s="19">
        <f t="shared" si="12"/>
        <v>0.0451502745935792</v>
      </c>
      <c r="H150" s="18">
        <f>SUMIFS(线上订单!$F:$F,线上订单!$B:$B,美团日报!$C150,线上订单!$D:$D,"饿了么")</f>
        <v>6</v>
      </c>
      <c r="I150" s="18">
        <f>SUMIFS(线上订单!$F:$F,线上订单!$B:$B,美团日报!$C150,线上订单!$D:$D,"饿了么")</f>
        <v>6</v>
      </c>
      <c r="J150" s="21">
        <f t="shared" si="13"/>
        <v>44.9513274336283</v>
      </c>
      <c r="K150" s="22" t="e">
        <f t="shared" si="14"/>
        <v>#REF!</v>
      </c>
      <c r="L150" s="19" t="e">
        <f>SUMIFS(#REF!,#REF!,美团日报!$C150,#REF!,"饿了么")</f>
        <v>#REF!</v>
      </c>
      <c r="M150" s="23"/>
      <c r="N150" s="23"/>
      <c r="O150" s="22" t="e">
        <f t="shared" si="15"/>
        <v>#REF!</v>
      </c>
      <c r="P150" s="19" t="e">
        <f>SUMIFS(#REF!,#REF!,美团日报!$C150,#REF!,"饿了么")</f>
        <v>#REF!</v>
      </c>
      <c r="Q150" s="23"/>
      <c r="R150" s="23"/>
      <c r="S150" s="22" t="e">
        <f t="shared" si="16"/>
        <v>#REF!</v>
      </c>
      <c r="T150" s="19" t="e">
        <f>SUMIFS(#REF!,#REF!,美团日报!$C150,#REF!,"饿了么")</f>
        <v>#REF!</v>
      </c>
      <c r="U150" s="22" t="e">
        <f t="shared" si="17"/>
        <v>#REF!</v>
      </c>
      <c r="V150" s="19" t="e">
        <f>SUMIFS(#REF!,#REF!,美团日报!$C150,#REF!,"饿了么")</f>
        <v>#REF!</v>
      </c>
      <c r="W150" s="24" t="s">
        <v>19</v>
      </c>
    </row>
    <row r="151" ht="14.4" spans="1:23">
      <c r="A151" s="16" t="s">
        <v>63</v>
      </c>
      <c r="B151" s="16" t="s">
        <v>86</v>
      </c>
      <c r="C151" s="16">
        <v>1566</v>
      </c>
      <c r="D151" s="16" t="s">
        <v>381</v>
      </c>
      <c r="E151" s="18">
        <f>_xlfn.IFNA(VLOOKUP(C:C,线上线下销售!B:D,3,0),0)</f>
        <v>4504.1906</v>
      </c>
      <c r="F151" s="18">
        <f>SUMIFS(线上订单!$E:$E,线上订单!$B:$B,美团日报!$C151,线上订单!$D:$D,"饿了么")</f>
        <v>730.71056263696</v>
      </c>
      <c r="G151" s="19">
        <f t="shared" si="12"/>
        <v>0.162229050128776</v>
      </c>
      <c r="H151" s="18">
        <f>SUMIFS(线上订单!$F:$F,线上订单!$B:$B,美团日报!$C151,线上订单!$D:$D,"饿了么")</f>
        <v>21</v>
      </c>
      <c r="I151" s="18">
        <f>SUMIFS(线上订单!$F:$F,线上订单!$B:$B,美团日报!$C151,线上订单!$D:$D,"饿了么")</f>
        <v>21</v>
      </c>
      <c r="J151" s="21">
        <f t="shared" si="13"/>
        <v>34.7957410779505</v>
      </c>
      <c r="K151" s="22" t="e">
        <f t="shared" si="14"/>
        <v>#REF!</v>
      </c>
      <c r="L151" s="19" t="e">
        <f>SUMIFS(#REF!,#REF!,美团日报!$C151,#REF!,"饿了么")</f>
        <v>#REF!</v>
      </c>
      <c r="M151" s="23"/>
      <c r="N151" s="23"/>
      <c r="O151" s="22" t="e">
        <f t="shared" si="15"/>
        <v>#REF!</v>
      </c>
      <c r="P151" s="19" t="e">
        <f>SUMIFS(#REF!,#REF!,美团日报!$C151,#REF!,"饿了么")</f>
        <v>#REF!</v>
      </c>
      <c r="Q151" s="23"/>
      <c r="R151" s="23"/>
      <c r="S151" s="22" t="e">
        <f t="shared" si="16"/>
        <v>#REF!</v>
      </c>
      <c r="T151" s="19" t="e">
        <f>SUMIFS(#REF!,#REF!,美团日报!$C151,#REF!,"饿了么")</f>
        <v>#REF!</v>
      </c>
      <c r="U151" s="22" t="e">
        <f t="shared" si="17"/>
        <v>#REF!</v>
      </c>
      <c r="V151" s="19" t="e">
        <f>SUMIFS(#REF!,#REF!,美团日报!$C151,#REF!,"饿了么")</f>
        <v>#REF!</v>
      </c>
      <c r="W151" s="24" t="s">
        <v>19</v>
      </c>
    </row>
    <row r="152" ht="14.4" spans="1:23">
      <c r="A152" s="16" t="s">
        <v>56</v>
      </c>
      <c r="B152" s="16" t="s">
        <v>73</v>
      </c>
      <c r="C152" s="16">
        <v>1578</v>
      </c>
      <c r="D152" s="16" t="s">
        <v>383</v>
      </c>
      <c r="E152" s="18">
        <f>_xlfn.IFNA(VLOOKUP(C:C,线上线下销售!B:D,3,0),0)</f>
        <v>2173.402</v>
      </c>
      <c r="F152" s="18">
        <f>SUMIFS(线上订单!$E:$E,线上订单!$B:$B,美团日报!$C152,线上订单!$D:$D,"饿了么")</f>
        <v>127.78761061946</v>
      </c>
      <c r="G152" s="19">
        <f t="shared" si="12"/>
        <v>0.0587961226774706</v>
      </c>
      <c r="H152" s="18">
        <f>SUMIFS(线上订单!$F:$F,线上订单!$B:$B,美团日报!$C152,线上订单!$D:$D,"饿了么")</f>
        <v>4</v>
      </c>
      <c r="I152" s="18">
        <f>SUMIFS(线上订单!$F:$F,线上订单!$B:$B,美团日报!$C152,线上订单!$D:$D,"饿了么")</f>
        <v>4</v>
      </c>
      <c r="J152" s="21">
        <f t="shared" si="13"/>
        <v>31.946902654865</v>
      </c>
      <c r="K152" s="22" t="e">
        <f t="shared" si="14"/>
        <v>#REF!</v>
      </c>
      <c r="L152" s="19" t="e">
        <f>SUMIFS(#REF!,#REF!,美团日报!$C152,#REF!,"饿了么")</f>
        <v>#REF!</v>
      </c>
      <c r="M152" s="23"/>
      <c r="N152" s="23"/>
      <c r="O152" s="22" t="e">
        <f t="shared" si="15"/>
        <v>#REF!</v>
      </c>
      <c r="P152" s="19" t="e">
        <f>SUMIFS(#REF!,#REF!,美团日报!$C152,#REF!,"饿了么")</f>
        <v>#REF!</v>
      </c>
      <c r="Q152" s="23"/>
      <c r="R152" s="23"/>
      <c r="S152" s="22" t="e">
        <f t="shared" si="16"/>
        <v>#REF!</v>
      </c>
      <c r="T152" s="19" t="e">
        <f>SUMIFS(#REF!,#REF!,美团日报!$C152,#REF!,"饿了么")</f>
        <v>#REF!</v>
      </c>
      <c r="U152" s="22" t="e">
        <f t="shared" si="17"/>
        <v>#REF!</v>
      </c>
      <c r="V152" s="19" t="e">
        <f>SUMIFS(#REF!,#REF!,美团日报!$C152,#REF!,"饿了么")</f>
        <v>#REF!</v>
      </c>
      <c r="W152" s="24" t="s">
        <v>19</v>
      </c>
    </row>
    <row r="153" ht="14.4" spans="1:23">
      <c r="A153" s="16" t="s">
        <v>48</v>
      </c>
      <c r="B153" s="16" t="s">
        <v>111</v>
      </c>
      <c r="C153" s="16">
        <v>1584</v>
      </c>
      <c r="D153" s="16" t="s">
        <v>385</v>
      </c>
      <c r="E153" s="18">
        <f>_xlfn.IFNA(VLOOKUP(C:C,线上线下销售!B:D,3,0),0)</f>
        <v>9183.5087</v>
      </c>
      <c r="F153" s="18">
        <f>SUMIFS(线上订单!$E:$E,线上订单!$B:$B,美团日报!$C153,线上订单!$D:$D,"饿了么")</f>
        <v>0</v>
      </c>
      <c r="G153" s="19">
        <f t="shared" si="12"/>
        <v>0</v>
      </c>
      <c r="H153" s="18">
        <f>SUMIFS(线上订单!$F:$F,线上订单!$B:$B,美团日报!$C153,线上订单!$D:$D,"饿了么")</f>
        <v>0</v>
      </c>
      <c r="I153" s="18">
        <f>SUMIFS(线上订单!$F:$F,线上订单!$B:$B,美团日报!$C153,线上订单!$D:$D,"饿了么")</f>
        <v>0</v>
      </c>
      <c r="J153" s="21">
        <f t="shared" si="13"/>
        <v>0</v>
      </c>
      <c r="K153" s="22" t="e">
        <f t="shared" si="14"/>
        <v>#REF!</v>
      </c>
      <c r="L153" s="19" t="e">
        <f>SUMIFS(#REF!,#REF!,美团日报!$C153,#REF!,"饿了么")</f>
        <v>#REF!</v>
      </c>
      <c r="M153" s="23"/>
      <c r="N153" s="23"/>
      <c r="O153" s="22" t="e">
        <f t="shared" si="15"/>
        <v>#REF!</v>
      </c>
      <c r="P153" s="19" t="e">
        <f>SUMIFS(#REF!,#REF!,美团日报!$C153,#REF!,"饿了么")</f>
        <v>#REF!</v>
      </c>
      <c r="Q153" s="23"/>
      <c r="R153" s="23"/>
      <c r="S153" s="22" t="e">
        <f t="shared" si="16"/>
        <v>#REF!</v>
      </c>
      <c r="T153" s="19" t="e">
        <f>SUMIFS(#REF!,#REF!,美团日报!$C153,#REF!,"饿了么")</f>
        <v>#REF!</v>
      </c>
      <c r="U153" s="22" t="e">
        <f t="shared" si="17"/>
        <v>#REF!</v>
      </c>
      <c r="V153" s="19" t="e">
        <f>SUMIFS(#REF!,#REF!,美团日报!$C153,#REF!,"饿了么")</f>
        <v>#REF!</v>
      </c>
      <c r="W153" s="24" t="s">
        <v>19</v>
      </c>
    </row>
    <row r="154" ht="14.4" spans="1:23">
      <c r="A154" s="16" t="s">
        <v>264</v>
      </c>
      <c r="B154" s="16" t="s">
        <v>313</v>
      </c>
      <c r="C154" s="16">
        <v>1585</v>
      </c>
      <c r="D154" s="16" t="s">
        <v>387</v>
      </c>
      <c r="E154" s="18">
        <f>_xlfn.IFNA(VLOOKUP(C:C,线上线下销售!B:D,3,0),0)</f>
        <v>4477.3014</v>
      </c>
      <c r="F154" s="18">
        <f>SUMIFS(线上订单!$E:$E,线上订单!$B:$B,美团日报!$C154,线上订单!$D:$D,"饿了么")</f>
        <v>0</v>
      </c>
      <c r="G154" s="19">
        <f t="shared" si="12"/>
        <v>0</v>
      </c>
      <c r="H154" s="18">
        <f>SUMIFS(线上订单!$F:$F,线上订单!$B:$B,美团日报!$C154,线上订单!$D:$D,"饿了么")</f>
        <v>0</v>
      </c>
      <c r="I154" s="18">
        <f>SUMIFS(线上订单!$F:$F,线上订单!$B:$B,美团日报!$C154,线上订单!$D:$D,"饿了么")</f>
        <v>0</v>
      </c>
      <c r="J154" s="21">
        <f t="shared" si="13"/>
        <v>0</v>
      </c>
      <c r="K154" s="22" t="e">
        <f t="shared" si="14"/>
        <v>#REF!</v>
      </c>
      <c r="L154" s="19" t="e">
        <f>SUMIFS(#REF!,#REF!,美团日报!$C154,#REF!,"饿了么")</f>
        <v>#REF!</v>
      </c>
      <c r="M154" s="23"/>
      <c r="N154" s="23"/>
      <c r="O154" s="22" t="e">
        <f t="shared" si="15"/>
        <v>#REF!</v>
      </c>
      <c r="P154" s="19" t="e">
        <f>SUMIFS(#REF!,#REF!,美团日报!$C154,#REF!,"饿了么")</f>
        <v>#REF!</v>
      </c>
      <c r="Q154" s="23"/>
      <c r="R154" s="23"/>
      <c r="S154" s="22" t="e">
        <f t="shared" si="16"/>
        <v>#REF!</v>
      </c>
      <c r="T154" s="19" t="e">
        <f>SUMIFS(#REF!,#REF!,美团日报!$C154,#REF!,"饿了么")</f>
        <v>#REF!</v>
      </c>
      <c r="U154" s="22" t="e">
        <f t="shared" si="17"/>
        <v>#REF!</v>
      </c>
      <c r="V154" s="19" t="e">
        <f>SUMIFS(#REF!,#REF!,美团日报!$C154,#REF!,"饿了么")</f>
        <v>#REF!</v>
      </c>
      <c r="W154" s="24" t="s">
        <v>19</v>
      </c>
    </row>
    <row r="155" ht="14.4" spans="1:23">
      <c r="A155" s="16" t="s">
        <v>264</v>
      </c>
      <c r="B155" s="16" t="s">
        <v>264</v>
      </c>
      <c r="C155" s="16">
        <v>1590</v>
      </c>
      <c r="D155" s="16" t="s">
        <v>389</v>
      </c>
      <c r="E155" s="18">
        <f>_xlfn.IFNA(VLOOKUP(C:C,线上线下销售!B:D,3,0),0)</f>
        <v>30902.6089</v>
      </c>
      <c r="F155" s="18">
        <f>SUMIFS(线上订单!$E:$E,线上订单!$B:$B,美团日报!$C155,线上订单!$D:$D,"饿了么")</f>
        <v>0</v>
      </c>
      <c r="G155" s="19">
        <f t="shared" si="12"/>
        <v>0</v>
      </c>
      <c r="H155" s="18">
        <f>SUMIFS(线上订单!$F:$F,线上订单!$B:$B,美团日报!$C155,线上订单!$D:$D,"饿了么")</f>
        <v>0</v>
      </c>
      <c r="I155" s="18">
        <f>SUMIFS(线上订单!$F:$F,线上订单!$B:$B,美团日报!$C155,线上订单!$D:$D,"饿了么")</f>
        <v>0</v>
      </c>
      <c r="J155" s="21">
        <f t="shared" si="13"/>
        <v>0</v>
      </c>
      <c r="K155" s="22" t="e">
        <f t="shared" si="14"/>
        <v>#REF!</v>
      </c>
      <c r="L155" s="19" t="e">
        <f>SUMIFS(#REF!,#REF!,美团日报!$C155,#REF!,"饿了么")</f>
        <v>#REF!</v>
      </c>
      <c r="M155" s="23"/>
      <c r="N155" s="23"/>
      <c r="O155" s="22" t="e">
        <f t="shared" si="15"/>
        <v>#REF!</v>
      </c>
      <c r="P155" s="19" t="e">
        <f>SUMIFS(#REF!,#REF!,美团日报!$C155,#REF!,"饿了么")</f>
        <v>#REF!</v>
      </c>
      <c r="Q155" s="23"/>
      <c r="R155" s="23"/>
      <c r="S155" s="22" t="e">
        <f t="shared" si="16"/>
        <v>#REF!</v>
      </c>
      <c r="T155" s="19" t="e">
        <f>SUMIFS(#REF!,#REF!,美团日报!$C155,#REF!,"饿了么")</f>
        <v>#REF!</v>
      </c>
      <c r="U155" s="22" t="e">
        <f t="shared" si="17"/>
        <v>#REF!</v>
      </c>
      <c r="V155" s="19" t="e">
        <f>SUMIFS(#REF!,#REF!,美团日报!$C155,#REF!,"饿了么")</f>
        <v>#REF!</v>
      </c>
      <c r="W155" s="24" t="s">
        <v>19</v>
      </c>
    </row>
    <row r="156" ht="14.4" spans="1:23">
      <c r="A156" s="16" t="s">
        <v>43</v>
      </c>
      <c r="B156" s="16" t="s">
        <v>38</v>
      </c>
      <c r="C156" s="16">
        <v>1594</v>
      </c>
      <c r="D156" s="16" t="s">
        <v>391</v>
      </c>
      <c r="E156" s="18">
        <f>_xlfn.IFNA(VLOOKUP(C:C,线上线下销售!B:D,3,0),0)</f>
        <v>17569.3745</v>
      </c>
      <c r="F156" s="18">
        <f>SUMIFS(线上订单!$E:$E,线上订单!$B:$B,美团日报!$C156,线上订单!$D:$D,"饿了么")</f>
        <v>1894.18990013792</v>
      </c>
      <c r="G156" s="19">
        <f t="shared" si="12"/>
        <v>0.107812028261901</v>
      </c>
      <c r="H156" s="18">
        <f>SUMIFS(线上订单!$F:$F,线上订单!$B:$B,美团日报!$C156,线上订单!$D:$D,"饿了么")</f>
        <v>51</v>
      </c>
      <c r="I156" s="18">
        <f>SUMIFS(线上订单!$F:$F,线上订单!$B:$B,美团日报!$C156,线上订单!$D:$D,"饿了么")</f>
        <v>51</v>
      </c>
      <c r="J156" s="21">
        <f t="shared" si="13"/>
        <v>37.1409784340769</v>
      </c>
      <c r="K156" s="22" t="e">
        <f t="shared" si="14"/>
        <v>#REF!</v>
      </c>
      <c r="L156" s="19" t="e">
        <f>SUMIFS(#REF!,#REF!,美团日报!$C156,#REF!,"饿了么")</f>
        <v>#REF!</v>
      </c>
      <c r="M156" s="23"/>
      <c r="N156" s="23"/>
      <c r="O156" s="22" t="e">
        <f t="shared" si="15"/>
        <v>#REF!</v>
      </c>
      <c r="P156" s="19" t="e">
        <f>SUMIFS(#REF!,#REF!,美团日报!$C156,#REF!,"饿了么")</f>
        <v>#REF!</v>
      </c>
      <c r="Q156" s="23"/>
      <c r="R156" s="23"/>
      <c r="S156" s="22" t="e">
        <f t="shared" si="16"/>
        <v>#REF!</v>
      </c>
      <c r="T156" s="19" t="e">
        <f>SUMIFS(#REF!,#REF!,美团日报!$C156,#REF!,"饿了么")</f>
        <v>#REF!</v>
      </c>
      <c r="U156" s="22" t="e">
        <f t="shared" si="17"/>
        <v>#REF!</v>
      </c>
      <c r="V156" s="19" t="e">
        <f>SUMIFS(#REF!,#REF!,美团日报!$C156,#REF!,"饿了么")</f>
        <v>#REF!</v>
      </c>
      <c r="W156" s="24" t="s">
        <v>19</v>
      </c>
    </row>
    <row r="157" ht="14.4" spans="1:23">
      <c r="A157" s="16" t="s">
        <v>63</v>
      </c>
      <c r="B157" s="16" t="s">
        <v>152</v>
      </c>
      <c r="C157" s="16">
        <v>1604</v>
      </c>
      <c r="D157" s="16" t="s">
        <v>393</v>
      </c>
      <c r="E157" s="18">
        <f>_xlfn.IFNA(VLOOKUP(C:C,线上线下销售!B:D,3,0),0)</f>
        <v>9005.413</v>
      </c>
      <c r="F157" s="18">
        <f>SUMIFS(线上订单!$E:$E,线上订单!$B:$B,美团日报!$C157,线上订单!$D:$D,"饿了么")</f>
        <v>867.17041487376</v>
      </c>
      <c r="G157" s="19">
        <f t="shared" si="12"/>
        <v>0.0962943526158945</v>
      </c>
      <c r="H157" s="18">
        <f>SUMIFS(线上订单!$F:$F,线上订单!$B:$B,美团日报!$C157,线上订单!$D:$D,"饿了么")</f>
        <v>21</v>
      </c>
      <c r="I157" s="18">
        <f>SUMIFS(线上订单!$F:$F,线上订单!$B:$B,美团日报!$C157,线上订单!$D:$D,"饿了么")</f>
        <v>21</v>
      </c>
      <c r="J157" s="21">
        <f t="shared" si="13"/>
        <v>41.2938292797029</v>
      </c>
      <c r="K157" s="22" t="e">
        <f t="shared" si="14"/>
        <v>#REF!</v>
      </c>
      <c r="L157" s="19" t="e">
        <f>SUMIFS(#REF!,#REF!,美团日报!$C157,#REF!,"饿了么")</f>
        <v>#REF!</v>
      </c>
      <c r="M157" s="23"/>
      <c r="N157" s="23"/>
      <c r="O157" s="22" t="e">
        <f t="shared" si="15"/>
        <v>#REF!</v>
      </c>
      <c r="P157" s="19" t="e">
        <f>SUMIFS(#REF!,#REF!,美团日报!$C157,#REF!,"饿了么")</f>
        <v>#REF!</v>
      </c>
      <c r="Q157" s="23"/>
      <c r="R157" s="23"/>
      <c r="S157" s="22" t="e">
        <f t="shared" si="16"/>
        <v>#REF!</v>
      </c>
      <c r="T157" s="19" t="e">
        <f>SUMIFS(#REF!,#REF!,美团日报!$C157,#REF!,"饿了么")</f>
        <v>#REF!</v>
      </c>
      <c r="U157" s="22" t="e">
        <f t="shared" si="17"/>
        <v>#REF!</v>
      </c>
      <c r="V157" s="19" t="e">
        <f>SUMIFS(#REF!,#REF!,美团日报!$C157,#REF!,"饿了么")</f>
        <v>#REF!</v>
      </c>
      <c r="W157" s="24" t="s">
        <v>19</v>
      </c>
    </row>
    <row r="158" ht="14.4" spans="1:23">
      <c r="A158" s="16" t="s">
        <v>264</v>
      </c>
      <c r="B158" s="16" t="s">
        <v>313</v>
      </c>
      <c r="C158" s="16">
        <v>1607</v>
      </c>
      <c r="D158" s="16" t="s">
        <v>395</v>
      </c>
      <c r="E158" s="18">
        <f>_xlfn.IFNA(VLOOKUP(C:C,线上线下销售!B:D,3,0),0)</f>
        <v>2566.3553</v>
      </c>
      <c r="F158" s="18">
        <f>SUMIFS(线上订单!$E:$E,线上订单!$B:$B,美团日报!$C158,线上订单!$D:$D,"饿了么")</f>
        <v>95.13274336283</v>
      </c>
      <c r="G158" s="19">
        <f t="shared" si="12"/>
        <v>0.0370692021337926</v>
      </c>
      <c r="H158" s="18">
        <f>SUMIFS(线上订单!$F:$F,线上订单!$B:$B,美团日报!$C158,线上订单!$D:$D,"饿了么")</f>
        <v>4</v>
      </c>
      <c r="I158" s="18">
        <f>SUMIFS(线上订单!$F:$F,线上订单!$B:$B,美团日报!$C158,线上订单!$D:$D,"饿了么")</f>
        <v>4</v>
      </c>
      <c r="J158" s="21">
        <f t="shared" si="13"/>
        <v>23.7831858407075</v>
      </c>
      <c r="K158" s="22" t="e">
        <f t="shared" si="14"/>
        <v>#REF!</v>
      </c>
      <c r="L158" s="19" t="e">
        <f>SUMIFS(#REF!,#REF!,美团日报!$C158,#REF!,"饿了么")</f>
        <v>#REF!</v>
      </c>
      <c r="M158" s="23"/>
      <c r="N158" s="23"/>
      <c r="O158" s="22" t="e">
        <f t="shared" si="15"/>
        <v>#REF!</v>
      </c>
      <c r="P158" s="19" t="e">
        <f>SUMIFS(#REF!,#REF!,美团日报!$C158,#REF!,"饿了么")</f>
        <v>#REF!</v>
      </c>
      <c r="Q158" s="23"/>
      <c r="R158" s="23"/>
      <c r="S158" s="22" t="e">
        <f t="shared" si="16"/>
        <v>#REF!</v>
      </c>
      <c r="T158" s="19" t="e">
        <f>SUMIFS(#REF!,#REF!,美团日报!$C158,#REF!,"饿了么")</f>
        <v>#REF!</v>
      </c>
      <c r="U158" s="22" t="e">
        <f t="shared" si="17"/>
        <v>#REF!</v>
      </c>
      <c r="V158" s="19" t="e">
        <f>SUMIFS(#REF!,#REF!,美团日报!$C158,#REF!,"饿了么")</f>
        <v>#REF!</v>
      </c>
      <c r="W158" s="24" t="s">
        <v>19</v>
      </c>
    </row>
    <row r="159" ht="14.4" spans="1:23">
      <c r="A159" s="16" t="s">
        <v>264</v>
      </c>
      <c r="B159" s="16" t="s">
        <v>313</v>
      </c>
      <c r="C159" s="16">
        <v>1608</v>
      </c>
      <c r="D159" s="16" t="s">
        <v>397</v>
      </c>
      <c r="E159" s="18">
        <f>_xlfn.IFNA(VLOOKUP(C:C,线上线下销售!B:D,3,0),0)</f>
        <v>4191.665</v>
      </c>
      <c r="F159" s="18">
        <f>SUMIFS(线上订单!$E:$E,线上订单!$B:$B,美团日报!$C159,线上订单!$D:$D,"饿了么")</f>
        <v>45.13274336284</v>
      </c>
      <c r="G159" s="19">
        <f t="shared" si="12"/>
        <v>0.0107672591590311</v>
      </c>
      <c r="H159" s="18">
        <f>SUMIFS(线上订单!$F:$F,线上订单!$B:$B,美团日报!$C159,线上订单!$D:$D,"饿了么")</f>
        <v>2</v>
      </c>
      <c r="I159" s="18">
        <f>SUMIFS(线上订单!$F:$F,线上订单!$B:$B,美团日报!$C159,线上订单!$D:$D,"饿了么")</f>
        <v>2</v>
      </c>
      <c r="J159" s="21">
        <f t="shared" si="13"/>
        <v>22.56637168142</v>
      </c>
      <c r="K159" s="22" t="e">
        <f t="shared" si="14"/>
        <v>#REF!</v>
      </c>
      <c r="L159" s="19" t="e">
        <f>SUMIFS(#REF!,#REF!,美团日报!$C159,#REF!,"饿了么")</f>
        <v>#REF!</v>
      </c>
      <c r="M159" s="23"/>
      <c r="N159" s="23"/>
      <c r="O159" s="22" t="e">
        <f t="shared" si="15"/>
        <v>#REF!</v>
      </c>
      <c r="P159" s="19" t="e">
        <f>SUMIFS(#REF!,#REF!,美团日报!$C159,#REF!,"饿了么")</f>
        <v>#REF!</v>
      </c>
      <c r="Q159" s="23"/>
      <c r="R159" s="23"/>
      <c r="S159" s="22" t="e">
        <f t="shared" si="16"/>
        <v>#REF!</v>
      </c>
      <c r="T159" s="19" t="e">
        <f>SUMIFS(#REF!,#REF!,美团日报!$C159,#REF!,"饿了么")</f>
        <v>#REF!</v>
      </c>
      <c r="U159" s="22" t="e">
        <f t="shared" si="17"/>
        <v>#REF!</v>
      </c>
      <c r="V159" s="19" t="e">
        <f>SUMIFS(#REF!,#REF!,美团日报!$C159,#REF!,"饿了么")</f>
        <v>#REF!</v>
      </c>
      <c r="W159" s="24" t="s">
        <v>19</v>
      </c>
    </row>
    <row r="160" ht="14.4" spans="1:23">
      <c r="A160" s="16" t="s">
        <v>264</v>
      </c>
      <c r="B160" s="16" t="s">
        <v>313</v>
      </c>
      <c r="C160" s="16">
        <v>1620</v>
      </c>
      <c r="D160" s="16" t="s">
        <v>399</v>
      </c>
      <c r="E160" s="18">
        <f>_xlfn.IFNA(VLOOKUP(C:C,线上线下销售!B:D,3,0),0)</f>
        <v>5662.4727</v>
      </c>
      <c r="F160" s="18">
        <f>SUMIFS(线上订单!$E:$E,线上订单!$B:$B,美团日报!$C160,线上订单!$D:$D,"饿了么")</f>
        <v>0</v>
      </c>
      <c r="G160" s="19">
        <f t="shared" si="12"/>
        <v>0</v>
      </c>
      <c r="H160" s="18">
        <f>SUMIFS(线上订单!$F:$F,线上订单!$B:$B,美团日报!$C160,线上订单!$D:$D,"饿了么")</f>
        <v>0</v>
      </c>
      <c r="I160" s="18">
        <f>SUMIFS(线上订单!$F:$F,线上订单!$B:$B,美团日报!$C160,线上订单!$D:$D,"饿了么")</f>
        <v>0</v>
      </c>
      <c r="J160" s="21">
        <f t="shared" si="13"/>
        <v>0</v>
      </c>
      <c r="K160" s="22" t="e">
        <f t="shared" si="14"/>
        <v>#REF!</v>
      </c>
      <c r="L160" s="19" t="e">
        <f>SUMIFS(#REF!,#REF!,美团日报!$C160,#REF!,"饿了么")</f>
        <v>#REF!</v>
      </c>
      <c r="M160" s="23"/>
      <c r="N160" s="23"/>
      <c r="O160" s="22" t="e">
        <f t="shared" si="15"/>
        <v>#REF!</v>
      </c>
      <c r="P160" s="19" t="e">
        <f>SUMIFS(#REF!,#REF!,美团日报!$C160,#REF!,"饿了么")</f>
        <v>#REF!</v>
      </c>
      <c r="Q160" s="23"/>
      <c r="R160" s="23"/>
      <c r="S160" s="22" t="e">
        <f t="shared" si="16"/>
        <v>#REF!</v>
      </c>
      <c r="T160" s="19" t="e">
        <f>SUMIFS(#REF!,#REF!,美团日报!$C160,#REF!,"饿了么")</f>
        <v>#REF!</v>
      </c>
      <c r="U160" s="22" t="e">
        <f t="shared" si="17"/>
        <v>#REF!</v>
      </c>
      <c r="V160" s="19" t="e">
        <f>SUMIFS(#REF!,#REF!,美团日报!$C160,#REF!,"饿了么")</f>
        <v>#REF!</v>
      </c>
      <c r="W160" s="24" t="s">
        <v>19</v>
      </c>
    </row>
    <row r="161" ht="14.4" spans="1:23">
      <c r="A161" s="16" t="s">
        <v>264</v>
      </c>
      <c r="B161" s="16" t="s">
        <v>401</v>
      </c>
      <c r="C161" s="16">
        <v>1640</v>
      </c>
      <c r="D161" s="16" t="s">
        <v>402</v>
      </c>
      <c r="E161" s="18">
        <f>_xlfn.IFNA(VLOOKUP(C:C,线上线下销售!B:D,3,0),0)</f>
        <v>1167.3953</v>
      </c>
      <c r="F161" s="18">
        <f>SUMIFS(线上订单!$E:$E,线上订单!$B:$B,美团日报!$C161,线上订单!$D:$D,"饿了么")</f>
        <v>0</v>
      </c>
      <c r="G161" s="19">
        <f t="shared" si="12"/>
        <v>0</v>
      </c>
      <c r="H161" s="18">
        <f>SUMIFS(线上订单!$F:$F,线上订单!$B:$B,美团日报!$C161,线上订单!$D:$D,"饿了么")</f>
        <v>0</v>
      </c>
      <c r="I161" s="18">
        <f>SUMIFS(线上订单!$F:$F,线上订单!$B:$B,美团日报!$C161,线上订单!$D:$D,"饿了么")</f>
        <v>0</v>
      </c>
      <c r="J161" s="21">
        <f t="shared" si="13"/>
        <v>0</v>
      </c>
      <c r="K161" s="22" t="e">
        <f t="shared" si="14"/>
        <v>#REF!</v>
      </c>
      <c r="L161" s="19" t="e">
        <f>SUMIFS(#REF!,#REF!,美团日报!$C161,#REF!,"饿了么")</f>
        <v>#REF!</v>
      </c>
      <c r="M161" s="23"/>
      <c r="N161" s="23"/>
      <c r="O161" s="22" t="e">
        <f t="shared" si="15"/>
        <v>#REF!</v>
      </c>
      <c r="P161" s="19" t="e">
        <f>SUMIFS(#REF!,#REF!,美团日报!$C161,#REF!,"饿了么")</f>
        <v>#REF!</v>
      </c>
      <c r="Q161" s="23"/>
      <c r="R161" s="23"/>
      <c r="S161" s="22" t="e">
        <f t="shared" si="16"/>
        <v>#REF!</v>
      </c>
      <c r="T161" s="19" t="e">
        <f>SUMIFS(#REF!,#REF!,美团日报!$C161,#REF!,"饿了么")</f>
        <v>#REF!</v>
      </c>
      <c r="U161" s="22" t="e">
        <f t="shared" si="17"/>
        <v>#REF!</v>
      </c>
      <c r="V161" s="19" t="e">
        <f>SUMIFS(#REF!,#REF!,美团日报!$C161,#REF!,"饿了么")</f>
        <v>#REF!</v>
      </c>
      <c r="W161" s="24" t="s">
        <v>19</v>
      </c>
    </row>
    <row r="162" ht="14.4" spans="1:23">
      <c r="A162" s="16" t="s">
        <v>264</v>
      </c>
      <c r="B162" s="16" t="s">
        <v>401</v>
      </c>
      <c r="C162" s="16">
        <v>1641</v>
      </c>
      <c r="D162" s="16" t="s">
        <v>404</v>
      </c>
      <c r="E162" s="18">
        <f>_xlfn.IFNA(VLOOKUP(C:C,线上线下销售!B:D,3,0),0)</f>
        <v>0</v>
      </c>
      <c r="F162" s="18">
        <f>SUMIFS(线上订单!$E:$E,线上订单!$B:$B,美团日报!$C162,线上订单!$D:$D,"饿了么")</f>
        <v>0</v>
      </c>
      <c r="G162" s="19">
        <f t="shared" si="12"/>
        <v>0</v>
      </c>
      <c r="H162" s="18">
        <f>SUMIFS(线上订单!$F:$F,线上订单!$B:$B,美团日报!$C162,线上订单!$D:$D,"饿了么")</f>
        <v>0</v>
      </c>
      <c r="I162" s="18">
        <f>SUMIFS(线上订单!$F:$F,线上订单!$B:$B,美团日报!$C162,线上订单!$D:$D,"饿了么")</f>
        <v>0</v>
      </c>
      <c r="J162" s="21">
        <f t="shared" si="13"/>
        <v>0</v>
      </c>
      <c r="K162" s="22" t="e">
        <f t="shared" si="14"/>
        <v>#REF!</v>
      </c>
      <c r="L162" s="19" t="e">
        <f>SUMIFS(#REF!,#REF!,美团日报!$C162,#REF!,"饿了么")</f>
        <v>#REF!</v>
      </c>
      <c r="M162" s="23"/>
      <c r="N162" s="23"/>
      <c r="O162" s="22" t="e">
        <f t="shared" si="15"/>
        <v>#REF!</v>
      </c>
      <c r="P162" s="19" t="e">
        <f>SUMIFS(#REF!,#REF!,美团日报!$C162,#REF!,"饿了么")</f>
        <v>#REF!</v>
      </c>
      <c r="Q162" s="23"/>
      <c r="R162" s="23"/>
      <c r="S162" s="22" t="e">
        <f t="shared" si="16"/>
        <v>#REF!</v>
      </c>
      <c r="T162" s="19" t="e">
        <f>SUMIFS(#REF!,#REF!,美团日报!$C162,#REF!,"饿了么")</f>
        <v>#REF!</v>
      </c>
      <c r="U162" s="22" t="e">
        <f t="shared" si="17"/>
        <v>#REF!</v>
      </c>
      <c r="V162" s="19" t="e">
        <f>SUMIFS(#REF!,#REF!,美团日报!$C162,#REF!,"饿了么")</f>
        <v>#REF!</v>
      </c>
      <c r="W162" s="24" t="s">
        <v>19</v>
      </c>
    </row>
    <row r="163" ht="14.4" spans="1:23">
      <c r="A163" s="16" t="s">
        <v>264</v>
      </c>
      <c r="B163" s="16" t="s">
        <v>401</v>
      </c>
      <c r="C163" s="16">
        <v>1642</v>
      </c>
      <c r="D163" s="16" t="s">
        <v>406</v>
      </c>
      <c r="E163" s="18">
        <f>_xlfn.IFNA(VLOOKUP(C:C,线上线下销售!B:D,3,0),0)</f>
        <v>0</v>
      </c>
      <c r="F163" s="18">
        <f>SUMIFS(线上订单!$E:$E,线上订单!$B:$B,美团日报!$C163,线上订单!$D:$D,"饿了么")</f>
        <v>0</v>
      </c>
      <c r="G163" s="19">
        <f t="shared" si="12"/>
        <v>0</v>
      </c>
      <c r="H163" s="18">
        <f>SUMIFS(线上订单!$F:$F,线上订单!$B:$B,美团日报!$C163,线上订单!$D:$D,"饿了么")</f>
        <v>0</v>
      </c>
      <c r="I163" s="18">
        <f>SUMIFS(线上订单!$F:$F,线上订单!$B:$B,美团日报!$C163,线上订单!$D:$D,"饿了么")</f>
        <v>0</v>
      </c>
      <c r="J163" s="21">
        <f t="shared" si="13"/>
        <v>0</v>
      </c>
      <c r="K163" s="22" t="e">
        <f t="shared" si="14"/>
        <v>#REF!</v>
      </c>
      <c r="L163" s="19" t="e">
        <f>SUMIFS(#REF!,#REF!,美团日报!$C163,#REF!,"饿了么")</f>
        <v>#REF!</v>
      </c>
      <c r="M163" s="23"/>
      <c r="N163" s="23"/>
      <c r="O163" s="22" t="e">
        <f t="shared" si="15"/>
        <v>#REF!</v>
      </c>
      <c r="P163" s="19" t="e">
        <f>SUMIFS(#REF!,#REF!,美团日报!$C163,#REF!,"饿了么")</f>
        <v>#REF!</v>
      </c>
      <c r="Q163" s="23"/>
      <c r="R163" s="23"/>
      <c r="S163" s="22" t="e">
        <f t="shared" si="16"/>
        <v>#REF!</v>
      </c>
      <c r="T163" s="19" t="e">
        <f>SUMIFS(#REF!,#REF!,美团日报!$C163,#REF!,"饿了么")</f>
        <v>#REF!</v>
      </c>
      <c r="U163" s="22" t="e">
        <f t="shared" si="17"/>
        <v>#REF!</v>
      </c>
      <c r="V163" s="19" t="e">
        <f>SUMIFS(#REF!,#REF!,美团日报!$C163,#REF!,"饿了么")</f>
        <v>#REF!</v>
      </c>
      <c r="W163" s="24" t="s">
        <v>19</v>
      </c>
    </row>
    <row r="164" ht="14.4" spans="1:23">
      <c r="A164" s="16" t="s">
        <v>264</v>
      </c>
      <c r="B164" s="16" t="s">
        <v>261</v>
      </c>
      <c r="C164" s="16">
        <v>1644</v>
      </c>
      <c r="D164" s="16" t="s">
        <v>408</v>
      </c>
      <c r="E164" s="18">
        <f>_xlfn.IFNA(VLOOKUP(C:C,线上线下销售!B:D,3,0),0)</f>
        <v>9261.9673</v>
      </c>
      <c r="F164" s="18">
        <f>SUMIFS(线上订单!$E:$E,线上订单!$B:$B,美团日报!$C164,线上订单!$D:$D,"饿了么")</f>
        <v>0</v>
      </c>
      <c r="G164" s="19">
        <f t="shared" si="12"/>
        <v>0</v>
      </c>
      <c r="H164" s="18">
        <f>SUMIFS(线上订单!$F:$F,线上订单!$B:$B,美团日报!$C164,线上订单!$D:$D,"饿了么")</f>
        <v>0</v>
      </c>
      <c r="I164" s="18">
        <f>SUMIFS(线上订单!$F:$F,线上订单!$B:$B,美团日报!$C164,线上订单!$D:$D,"饿了么")</f>
        <v>0</v>
      </c>
      <c r="J164" s="21">
        <f t="shared" si="13"/>
        <v>0</v>
      </c>
      <c r="K164" s="22" t="e">
        <f t="shared" si="14"/>
        <v>#REF!</v>
      </c>
      <c r="L164" s="19" t="e">
        <f>SUMIFS(#REF!,#REF!,美团日报!$C164,#REF!,"饿了么")</f>
        <v>#REF!</v>
      </c>
      <c r="M164" s="23"/>
      <c r="N164" s="23"/>
      <c r="O164" s="22" t="e">
        <f t="shared" si="15"/>
        <v>#REF!</v>
      </c>
      <c r="P164" s="19" t="e">
        <f>SUMIFS(#REF!,#REF!,美团日报!$C164,#REF!,"饿了么")</f>
        <v>#REF!</v>
      </c>
      <c r="Q164" s="23"/>
      <c r="R164" s="23"/>
      <c r="S164" s="22" t="e">
        <f t="shared" si="16"/>
        <v>#REF!</v>
      </c>
      <c r="T164" s="19" t="e">
        <f>SUMIFS(#REF!,#REF!,美团日报!$C164,#REF!,"饿了么")</f>
        <v>#REF!</v>
      </c>
      <c r="U164" s="22" t="e">
        <f t="shared" si="17"/>
        <v>#REF!</v>
      </c>
      <c r="V164" s="19" t="e">
        <f>SUMIFS(#REF!,#REF!,美团日报!$C164,#REF!,"饿了么")</f>
        <v>#REF!</v>
      </c>
      <c r="W164" s="24" t="s">
        <v>19</v>
      </c>
    </row>
    <row r="165" ht="14.4" spans="1:23">
      <c r="A165" s="16" t="s">
        <v>264</v>
      </c>
      <c r="B165" s="16" t="s">
        <v>576</v>
      </c>
      <c r="C165" s="16">
        <v>1646</v>
      </c>
      <c r="D165" s="16" t="s">
        <v>410</v>
      </c>
      <c r="E165" s="18">
        <f>_xlfn.IFNA(VLOOKUP(C:C,线上线下销售!B:D,3,0),0)</f>
        <v>4876.462</v>
      </c>
      <c r="F165" s="18">
        <f>SUMIFS(线上订单!$E:$E,线上订单!$B:$B,美团日报!$C165,线上订单!$D:$D,"饿了么")</f>
        <v>0</v>
      </c>
      <c r="G165" s="19">
        <f t="shared" si="12"/>
        <v>0</v>
      </c>
      <c r="H165" s="18">
        <f>SUMIFS(线上订单!$F:$F,线上订单!$B:$B,美团日报!$C165,线上订单!$D:$D,"饿了么")</f>
        <v>0</v>
      </c>
      <c r="I165" s="18">
        <f>SUMIFS(线上订单!$F:$F,线上订单!$B:$B,美团日报!$C165,线上订单!$D:$D,"饿了么")</f>
        <v>0</v>
      </c>
      <c r="J165" s="21">
        <f t="shared" si="13"/>
        <v>0</v>
      </c>
      <c r="K165" s="22" t="e">
        <f t="shared" si="14"/>
        <v>#REF!</v>
      </c>
      <c r="L165" s="19" t="e">
        <f>SUMIFS(#REF!,#REF!,美团日报!$C165,#REF!,"饿了么")</f>
        <v>#REF!</v>
      </c>
      <c r="M165" s="23"/>
      <c r="N165" s="23"/>
      <c r="O165" s="22" t="e">
        <f t="shared" si="15"/>
        <v>#REF!</v>
      </c>
      <c r="P165" s="19" t="e">
        <f>SUMIFS(#REF!,#REF!,美团日报!$C165,#REF!,"饿了么")</f>
        <v>#REF!</v>
      </c>
      <c r="Q165" s="23"/>
      <c r="R165" s="23"/>
      <c r="S165" s="22" t="e">
        <f t="shared" si="16"/>
        <v>#REF!</v>
      </c>
      <c r="T165" s="19" t="e">
        <f>SUMIFS(#REF!,#REF!,美团日报!$C165,#REF!,"饿了么")</f>
        <v>#REF!</v>
      </c>
      <c r="U165" s="22" t="e">
        <f t="shared" si="17"/>
        <v>#REF!</v>
      </c>
      <c r="V165" s="19" t="e">
        <f>SUMIFS(#REF!,#REF!,美团日报!$C165,#REF!,"饿了么")</f>
        <v>#REF!</v>
      </c>
      <c r="W165" s="24" t="s">
        <v>19</v>
      </c>
    </row>
    <row r="166" ht="14.4" spans="1:23">
      <c r="A166" s="16" t="s">
        <v>264</v>
      </c>
      <c r="B166" s="16" t="s">
        <v>327</v>
      </c>
      <c r="C166" s="16">
        <v>1651</v>
      </c>
      <c r="D166" s="16" t="s">
        <v>412</v>
      </c>
      <c r="E166" s="18">
        <f>_xlfn.IFNA(VLOOKUP(C:C,线上线下销售!B:D,3,0),0)</f>
        <v>3889.6729</v>
      </c>
      <c r="F166" s="18">
        <f>SUMIFS(线上订单!$E:$E,线上订单!$B:$B,美团日报!$C166,线上订单!$D:$D,"饿了么")</f>
        <v>0</v>
      </c>
      <c r="G166" s="19">
        <f t="shared" si="12"/>
        <v>0</v>
      </c>
      <c r="H166" s="18">
        <f>SUMIFS(线上订单!$F:$F,线上订单!$B:$B,美团日报!$C166,线上订单!$D:$D,"饿了么")</f>
        <v>0</v>
      </c>
      <c r="I166" s="18">
        <f>SUMIFS(线上订单!$F:$F,线上订单!$B:$B,美团日报!$C166,线上订单!$D:$D,"饿了么")</f>
        <v>0</v>
      </c>
      <c r="J166" s="21">
        <f t="shared" si="13"/>
        <v>0</v>
      </c>
      <c r="K166" s="22" t="e">
        <f t="shared" si="14"/>
        <v>#REF!</v>
      </c>
      <c r="L166" s="19" t="e">
        <f>SUMIFS(#REF!,#REF!,美团日报!$C166,#REF!,"饿了么")</f>
        <v>#REF!</v>
      </c>
      <c r="M166" s="23"/>
      <c r="N166" s="23"/>
      <c r="O166" s="22" t="e">
        <f t="shared" si="15"/>
        <v>#REF!</v>
      </c>
      <c r="P166" s="19" t="e">
        <f>SUMIFS(#REF!,#REF!,美团日报!$C166,#REF!,"饿了么")</f>
        <v>#REF!</v>
      </c>
      <c r="Q166" s="23"/>
      <c r="R166" s="23"/>
      <c r="S166" s="22" t="e">
        <f t="shared" si="16"/>
        <v>#REF!</v>
      </c>
      <c r="T166" s="19" t="e">
        <f>SUMIFS(#REF!,#REF!,美团日报!$C166,#REF!,"饿了么")</f>
        <v>#REF!</v>
      </c>
      <c r="U166" s="22" t="e">
        <f t="shared" si="17"/>
        <v>#REF!</v>
      </c>
      <c r="V166" s="19" t="e">
        <f>SUMIFS(#REF!,#REF!,美团日报!$C166,#REF!,"饿了么")</f>
        <v>#REF!</v>
      </c>
      <c r="W166" s="24" t="s">
        <v>19</v>
      </c>
    </row>
    <row r="167" ht="14.4" spans="1:23">
      <c r="A167" s="16" t="s">
        <v>264</v>
      </c>
      <c r="B167" s="16" t="s">
        <v>401</v>
      </c>
      <c r="C167" s="16">
        <v>1656</v>
      </c>
      <c r="D167" s="16" t="s">
        <v>413</v>
      </c>
      <c r="E167" s="18">
        <f>_xlfn.IFNA(VLOOKUP(C:C,线上线下销售!B:D,3,0),0)</f>
        <v>0</v>
      </c>
      <c r="F167" s="18">
        <f>SUMIFS(线上订单!$E:$E,线上订单!$B:$B,美团日报!$C167,线上订单!$D:$D,"饿了么")</f>
        <v>0</v>
      </c>
      <c r="G167" s="19">
        <f t="shared" si="12"/>
        <v>0</v>
      </c>
      <c r="H167" s="18">
        <f>SUMIFS(线上订单!$F:$F,线上订单!$B:$B,美团日报!$C167,线上订单!$D:$D,"饿了么")</f>
        <v>0</v>
      </c>
      <c r="I167" s="18">
        <f>SUMIFS(线上订单!$F:$F,线上订单!$B:$B,美团日报!$C167,线上订单!$D:$D,"饿了么")</f>
        <v>0</v>
      </c>
      <c r="J167" s="21">
        <f t="shared" si="13"/>
        <v>0</v>
      </c>
      <c r="K167" s="22" t="e">
        <f t="shared" si="14"/>
        <v>#REF!</v>
      </c>
      <c r="L167" s="19" t="e">
        <f>SUMIFS(#REF!,#REF!,美团日报!$C167,#REF!,"饿了么")</f>
        <v>#REF!</v>
      </c>
      <c r="M167" s="23"/>
      <c r="N167" s="23"/>
      <c r="O167" s="22" t="e">
        <f t="shared" si="15"/>
        <v>#REF!</v>
      </c>
      <c r="P167" s="19" t="e">
        <f>SUMIFS(#REF!,#REF!,美团日报!$C167,#REF!,"饿了么")</f>
        <v>#REF!</v>
      </c>
      <c r="Q167" s="23"/>
      <c r="R167" s="23"/>
      <c r="S167" s="22" t="e">
        <f t="shared" si="16"/>
        <v>#REF!</v>
      </c>
      <c r="T167" s="19" t="e">
        <f>SUMIFS(#REF!,#REF!,美团日报!$C167,#REF!,"饿了么")</f>
        <v>#REF!</v>
      </c>
      <c r="U167" s="22" t="e">
        <f t="shared" si="17"/>
        <v>#REF!</v>
      </c>
      <c r="V167" s="19" t="e">
        <f>SUMIFS(#REF!,#REF!,美团日报!$C167,#REF!,"饿了么")</f>
        <v>#REF!</v>
      </c>
      <c r="W167" s="24" t="s">
        <v>19</v>
      </c>
    </row>
    <row r="168" ht="14.4" spans="1:23">
      <c r="A168" s="16" t="s">
        <v>56</v>
      </c>
      <c r="B168" s="16" t="s">
        <v>73</v>
      </c>
      <c r="C168" s="16">
        <v>1664</v>
      </c>
      <c r="D168" s="16" t="s">
        <v>415</v>
      </c>
      <c r="E168" s="18">
        <f>_xlfn.IFNA(VLOOKUP(C:C,线上线下销售!B:D,3,0),0)</f>
        <v>10781.4649</v>
      </c>
      <c r="F168" s="18">
        <f>SUMIFS(线上订单!$E:$E,线上订单!$B:$B,美团日报!$C168,线上订单!$D:$D,"饿了么")</f>
        <v>1080.49484452392</v>
      </c>
      <c r="G168" s="19">
        <f t="shared" si="12"/>
        <v>0.100217814048991</v>
      </c>
      <c r="H168" s="18">
        <f>SUMIFS(线上订单!$F:$F,线上订单!$B:$B,美团日报!$C168,线上订单!$D:$D,"饿了么")</f>
        <v>26</v>
      </c>
      <c r="I168" s="18">
        <f>SUMIFS(线上订单!$F:$F,线上订单!$B:$B,美团日报!$C168,线上订单!$D:$D,"饿了么")</f>
        <v>26</v>
      </c>
      <c r="J168" s="21">
        <f t="shared" si="13"/>
        <v>41.5574940201508</v>
      </c>
      <c r="K168" s="22" t="e">
        <f t="shared" si="14"/>
        <v>#REF!</v>
      </c>
      <c r="L168" s="19" t="e">
        <f>SUMIFS(#REF!,#REF!,美团日报!$C168,#REF!,"饿了么")</f>
        <v>#REF!</v>
      </c>
      <c r="M168" s="23"/>
      <c r="N168" s="23"/>
      <c r="O168" s="22" t="e">
        <f t="shared" si="15"/>
        <v>#REF!</v>
      </c>
      <c r="P168" s="19" t="e">
        <f>SUMIFS(#REF!,#REF!,美团日报!$C168,#REF!,"饿了么")</f>
        <v>#REF!</v>
      </c>
      <c r="Q168" s="23"/>
      <c r="R168" s="23"/>
      <c r="S168" s="22" t="e">
        <f t="shared" si="16"/>
        <v>#REF!</v>
      </c>
      <c r="T168" s="19" t="e">
        <f>SUMIFS(#REF!,#REF!,美团日报!$C168,#REF!,"饿了么")</f>
        <v>#REF!</v>
      </c>
      <c r="U168" s="22" t="e">
        <f t="shared" si="17"/>
        <v>#REF!</v>
      </c>
      <c r="V168" s="19" t="e">
        <f>SUMIFS(#REF!,#REF!,美团日报!$C168,#REF!,"饿了么")</f>
        <v>#REF!</v>
      </c>
      <c r="W168" s="24" t="s">
        <v>19</v>
      </c>
    </row>
    <row r="169" ht="14.4" spans="1:23">
      <c r="A169" s="16" t="s">
        <v>264</v>
      </c>
      <c r="B169" s="16" t="s">
        <v>370</v>
      </c>
      <c r="C169" s="16">
        <v>1671</v>
      </c>
      <c r="D169" s="16" t="s">
        <v>417</v>
      </c>
      <c r="E169" s="18">
        <f>_xlfn.IFNA(VLOOKUP(C:C,线上线下销售!B:D,3,0),0)</f>
        <v>0</v>
      </c>
      <c r="F169" s="18">
        <f>SUMIFS(线上订单!$E:$E,线上订单!$B:$B,美团日报!$C169,线上订单!$D:$D,"饿了么")</f>
        <v>0</v>
      </c>
      <c r="G169" s="19">
        <f t="shared" si="12"/>
        <v>0</v>
      </c>
      <c r="H169" s="18">
        <f>SUMIFS(线上订单!$F:$F,线上订单!$B:$B,美团日报!$C169,线上订单!$D:$D,"饿了么")</f>
        <v>0</v>
      </c>
      <c r="I169" s="18">
        <f>SUMIFS(线上订单!$F:$F,线上订单!$B:$B,美团日报!$C169,线上订单!$D:$D,"饿了么")</f>
        <v>0</v>
      </c>
      <c r="J169" s="21">
        <f t="shared" si="13"/>
        <v>0</v>
      </c>
      <c r="K169" s="22" t="e">
        <f t="shared" si="14"/>
        <v>#REF!</v>
      </c>
      <c r="L169" s="19" t="e">
        <f>SUMIFS(#REF!,#REF!,美团日报!$C169,#REF!,"饿了么")</f>
        <v>#REF!</v>
      </c>
      <c r="M169" s="23"/>
      <c r="N169" s="23"/>
      <c r="O169" s="22" t="e">
        <f t="shared" si="15"/>
        <v>#REF!</v>
      </c>
      <c r="P169" s="19" t="e">
        <f>SUMIFS(#REF!,#REF!,美团日报!$C169,#REF!,"饿了么")</f>
        <v>#REF!</v>
      </c>
      <c r="Q169" s="23"/>
      <c r="R169" s="23"/>
      <c r="S169" s="22" t="e">
        <f t="shared" si="16"/>
        <v>#REF!</v>
      </c>
      <c r="T169" s="19" t="e">
        <f>SUMIFS(#REF!,#REF!,美团日报!$C169,#REF!,"饿了么")</f>
        <v>#REF!</v>
      </c>
      <c r="U169" s="22" t="e">
        <f t="shared" si="17"/>
        <v>#REF!</v>
      </c>
      <c r="V169" s="19" t="e">
        <f>SUMIFS(#REF!,#REF!,美团日报!$C169,#REF!,"饿了么")</f>
        <v>#REF!</v>
      </c>
      <c r="W169" s="24" t="s">
        <v>19</v>
      </c>
    </row>
    <row r="170" ht="14.4" spans="1:23">
      <c r="A170" s="16" t="s">
        <v>264</v>
      </c>
      <c r="B170" s="16" t="s">
        <v>313</v>
      </c>
      <c r="C170" s="16">
        <v>1672</v>
      </c>
      <c r="D170" s="16" t="s">
        <v>419</v>
      </c>
      <c r="E170" s="18">
        <f>_xlfn.IFNA(VLOOKUP(C:C,线上线下销售!B:D,3,0),0)</f>
        <v>3637.5168</v>
      </c>
      <c r="F170" s="18">
        <f>SUMIFS(线上订单!$E:$E,线上订单!$B:$B,美团日报!$C170,线上订单!$D:$D,"饿了么")</f>
        <v>0</v>
      </c>
      <c r="G170" s="19">
        <f t="shared" si="12"/>
        <v>0</v>
      </c>
      <c r="H170" s="18">
        <f>SUMIFS(线上订单!$F:$F,线上订单!$B:$B,美团日报!$C170,线上订单!$D:$D,"饿了么")</f>
        <v>0</v>
      </c>
      <c r="I170" s="18">
        <f>SUMIFS(线上订单!$F:$F,线上订单!$B:$B,美团日报!$C170,线上订单!$D:$D,"饿了么")</f>
        <v>0</v>
      </c>
      <c r="J170" s="21">
        <f t="shared" si="13"/>
        <v>0</v>
      </c>
      <c r="K170" s="22" t="e">
        <f t="shared" si="14"/>
        <v>#REF!</v>
      </c>
      <c r="L170" s="19" t="e">
        <f>SUMIFS(#REF!,#REF!,美团日报!$C170,#REF!,"饿了么")</f>
        <v>#REF!</v>
      </c>
      <c r="M170" s="23"/>
      <c r="N170" s="23"/>
      <c r="O170" s="22" t="e">
        <f t="shared" si="15"/>
        <v>#REF!</v>
      </c>
      <c r="P170" s="19" t="e">
        <f>SUMIFS(#REF!,#REF!,美团日报!$C170,#REF!,"饿了么")</f>
        <v>#REF!</v>
      </c>
      <c r="Q170" s="23"/>
      <c r="R170" s="23"/>
      <c r="S170" s="22" t="e">
        <f t="shared" si="16"/>
        <v>#REF!</v>
      </c>
      <c r="T170" s="19" t="e">
        <f>SUMIFS(#REF!,#REF!,美团日报!$C170,#REF!,"饿了么")</f>
        <v>#REF!</v>
      </c>
      <c r="U170" s="22" t="e">
        <f t="shared" si="17"/>
        <v>#REF!</v>
      </c>
      <c r="V170" s="19" t="e">
        <f>SUMIFS(#REF!,#REF!,美团日报!$C170,#REF!,"饿了么")</f>
        <v>#REF!</v>
      </c>
      <c r="W170" s="24" t="s">
        <v>19</v>
      </c>
    </row>
    <row r="171" ht="14.4" spans="1:23">
      <c r="A171" s="16" t="s">
        <v>264</v>
      </c>
      <c r="B171" s="16" t="s">
        <v>576</v>
      </c>
      <c r="C171" s="16">
        <v>1677</v>
      </c>
      <c r="D171" s="16" t="s">
        <v>421</v>
      </c>
      <c r="E171" s="18">
        <f>_xlfn.IFNA(VLOOKUP(C:C,线上线下销售!B:D,3,0),0)</f>
        <v>6826.9306</v>
      </c>
      <c r="F171" s="18">
        <f>SUMIFS(线上订单!$E:$E,线上订单!$B:$B,美团日报!$C171,线上订单!$D:$D,"饿了么")</f>
        <v>0</v>
      </c>
      <c r="G171" s="19">
        <f t="shared" si="12"/>
        <v>0</v>
      </c>
      <c r="H171" s="18">
        <f>SUMIFS(线上订单!$F:$F,线上订单!$B:$B,美团日报!$C171,线上订单!$D:$D,"饿了么")</f>
        <v>0</v>
      </c>
      <c r="I171" s="18">
        <f>SUMIFS(线上订单!$F:$F,线上订单!$B:$B,美团日报!$C171,线上订单!$D:$D,"饿了么")</f>
        <v>0</v>
      </c>
      <c r="J171" s="21">
        <f t="shared" si="13"/>
        <v>0</v>
      </c>
      <c r="K171" s="22" t="e">
        <f t="shared" si="14"/>
        <v>#REF!</v>
      </c>
      <c r="L171" s="19" t="e">
        <f>SUMIFS(#REF!,#REF!,美团日报!$C171,#REF!,"饿了么")</f>
        <v>#REF!</v>
      </c>
      <c r="M171" s="23"/>
      <c r="N171" s="23"/>
      <c r="O171" s="22" t="e">
        <f t="shared" si="15"/>
        <v>#REF!</v>
      </c>
      <c r="P171" s="19" t="e">
        <f>SUMIFS(#REF!,#REF!,美团日报!$C171,#REF!,"饿了么")</f>
        <v>#REF!</v>
      </c>
      <c r="Q171" s="23"/>
      <c r="R171" s="23"/>
      <c r="S171" s="22" t="e">
        <f t="shared" si="16"/>
        <v>#REF!</v>
      </c>
      <c r="T171" s="19" t="e">
        <f>SUMIFS(#REF!,#REF!,美团日报!$C171,#REF!,"饿了么")</f>
        <v>#REF!</v>
      </c>
      <c r="U171" s="22" t="e">
        <f t="shared" si="17"/>
        <v>#REF!</v>
      </c>
      <c r="V171" s="19" t="e">
        <f>SUMIFS(#REF!,#REF!,美团日报!$C171,#REF!,"饿了么")</f>
        <v>#REF!</v>
      </c>
      <c r="W171" s="24" t="s">
        <v>19</v>
      </c>
    </row>
    <row r="172" ht="14.4" spans="1:23">
      <c r="A172" s="16" t="s">
        <v>264</v>
      </c>
      <c r="B172" s="16" t="s">
        <v>359</v>
      </c>
      <c r="C172" s="16">
        <v>1686</v>
      </c>
      <c r="D172" s="16" t="s">
        <v>423</v>
      </c>
      <c r="E172" s="18">
        <f>_xlfn.IFNA(VLOOKUP(C:C,线上线下销售!B:D,3,0),0)</f>
        <v>8765.6691</v>
      </c>
      <c r="F172" s="18">
        <f>SUMIFS(线上订单!$E:$E,线上订单!$B:$B,美团日报!$C172,线上订单!$D:$D,"饿了么")</f>
        <v>0</v>
      </c>
      <c r="G172" s="19">
        <f t="shared" si="12"/>
        <v>0</v>
      </c>
      <c r="H172" s="18">
        <f>SUMIFS(线上订单!$F:$F,线上订单!$B:$B,美团日报!$C172,线上订单!$D:$D,"饿了么")</f>
        <v>0</v>
      </c>
      <c r="I172" s="18">
        <f>SUMIFS(线上订单!$F:$F,线上订单!$B:$B,美团日报!$C172,线上订单!$D:$D,"饿了么")</f>
        <v>0</v>
      </c>
      <c r="J172" s="21">
        <f t="shared" si="13"/>
        <v>0</v>
      </c>
      <c r="K172" s="22" t="e">
        <f t="shared" si="14"/>
        <v>#REF!</v>
      </c>
      <c r="L172" s="19" t="e">
        <f>SUMIFS(#REF!,#REF!,美团日报!$C172,#REF!,"饿了么")</f>
        <v>#REF!</v>
      </c>
      <c r="M172" s="23"/>
      <c r="N172" s="23"/>
      <c r="O172" s="22" t="e">
        <f t="shared" si="15"/>
        <v>#REF!</v>
      </c>
      <c r="P172" s="19" t="e">
        <f>SUMIFS(#REF!,#REF!,美团日报!$C172,#REF!,"饿了么")</f>
        <v>#REF!</v>
      </c>
      <c r="Q172" s="23"/>
      <c r="R172" s="23"/>
      <c r="S172" s="22" t="e">
        <f t="shared" si="16"/>
        <v>#REF!</v>
      </c>
      <c r="T172" s="19" t="e">
        <f>SUMIFS(#REF!,#REF!,美团日报!$C172,#REF!,"饿了么")</f>
        <v>#REF!</v>
      </c>
      <c r="U172" s="22" t="e">
        <f t="shared" si="17"/>
        <v>#REF!</v>
      </c>
      <c r="V172" s="19" t="e">
        <f>SUMIFS(#REF!,#REF!,美团日报!$C172,#REF!,"饿了么")</f>
        <v>#REF!</v>
      </c>
      <c r="W172" s="24" t="s">
        <v>19</v>
      </c>
    </row>
    <row r="173" ht="14.4" spans="1:23">
      <c r="A173" s="16" t="s">
        <v>264</v>
      </c>
      <c r="B173" s="16" t="s">
        <v>261</v>
      </c>
      <c r="C173" s="16">
        <v>1687</v>
      </c>
      <c r="D173" s="16" t="s">
        <v>425</v>
      </c>
      <c r="E173" s="18">
        <f>_xlfn.IFNA(VLOOKUP(C:C,线上线下销售!B:D,3,0),0)</f>
        <v>3252.1825</v>
      </c>
      <c r="F173" s="18">
        <f>SUMIFS(线上订单!$E:$E,线上订单!$B:$B,美团日报!$C173,线上订单!$D:$D,"饿了么")</f>
        <v>0</v>
      </c>
      <c r="G173" s="19">
        <f t="shared" si="12"/>
        <v>0</v>
      </c>
      <c r="H173" s="18">
        <f>SUMIFS(线上订单!$F:$F,线上订单!$B:$B,美团日报!$C173,线上订单!$D:$D,"饿了么")</f>
        <v>0</v>
      </c>
      <c r="I173" s="18">
        <f>SUMIFS(线上订单!$F:$F,线上订单!$B:$B,美团日报!$C173,线上订单!$D:$D,"饿了么")</f>
        <v>0</v>
      </c>
      <c r="J173" s="21">
        <f t="shared" si="13"/>
        <v>0</v>
      </c>
      <c r="K173" s="22" t="e">
        <f t="shared" si="14"/>
        <v>#REF!</v>
      </c>
      <c r="L173" s="19" t="e">
        <f>SUMIFS(#REF!,#REF!,美团日报!$C173,#REF!,"饿了么")</f>
        <v>#REF!</v>
      </c>
      <c r="M173" s="23"/>
      <c r="N173" s="23"/>
      <c r="O173" s="22" t="e">
        <f t="shared" si="15"/>
        <v>#REF!</v>
      </c>
      <c r="P173" s="19" t="e">
        <f>SUMIFS(#REF!,#REF!,美团日报!$C173,#REF!,"饿了么")</f>
        <v>#REF!</v>
      </c>
      <c r="Q173" s="23"/>
      <c r="R173" s="23"/>
      <c r="S173" s="22" t="e">
        <f t="shared" si="16"/>
        <v>#REF!</v>
      </c>
      <c r="T173" s="19" t="e">
        <f>SUMIFS(#REF!,#REF!,美团日报!$C173,#REF!,"饿了么")</f>
        <v>#REF!</v>
      </c>
      <c r="U173" s="22" t="e">
        <f t="shared" si="17"/>
        <v>#REF!</v>
      </c>
      <c r="V173" s="19" t="e">
        <f>SUMIFS(#REF!,#REF!,美团日报!$C173,#REF!,"饿了么")</f>
        <v>#REF!</v>
      </c>
      <c r="W173" s="24" t="s">
        <v>19</v>
      </c>
    </row>
    <row r="174" ht="14.4" spans="1:23">
      <c r="A174" s="16" t="s">
        <v>264</v>
      </c>
      <c r="B174" s="16" t="s">
        <v>261</v>
      </c>
      <c r="C174" s="16">
        <v>1688</v>
      </c>
      <c r="D174" s="16" t="s">
        <v>427</v>
      </c>
      <c r="E174" s="18">
        <f>_xlfn.IFNA(VLOOKUP(C:C,线上线下销售!B:D,3,0),0)</f>
        <v>6319.0287</v>
      </c>
      <c r="F174" s="18">
        <f>SUMIFS(线上订单!$E:$E,线上订单!$B:$B,美团日报!$C174,线上订单!$D:$D,"饿了么")</f>
        <v>0</v>
      </c>
      <c r="G174" s="19">
        <f t="shared" si="12"/>
        <v>0</v>
      </c>
      <c r="H174" s="18">
        <f>SUMIFS(线上订单!$F:$F,线上订单!$B:$B,美团日报!$C174,线上订单!$D:$D,"饿了么")</f>
        <v>0</v>
      </c>
      <c r="I174" s="18">
        <f>SUMIFS(线上订单!$F:$F,线上订单!$B:$B,美团日报!$C174,线上订单!$D:$D,"饿了么")</f>
        <v>0</v>
      </c>
      <c r="J174" s="21">
        <f t="shared" si="13"/>
        <v>0</v>
      </c>
      <c r="K174" s="22" t="e">
        <f t="shared" si="14"/>
        <v>#REF!</v>
      </c>
      <c r="L174" s="19" t="e">
        <f>SUMIFS(#REF!,#REF!,美团日报!$C174,#REF!,"饿了么")</f>
        <v>#REF!</v>
      </c>
      <c r="M174" s="23"/>
      <c r="N174" s="23"/>
      <c r="O174" s="22" t="e">
        <f t="shared" si="15"/>
        <v>#REF!</v>
      </c>
      <c r="P174" s="19" t="e">
        <f>SUMIFS(#REF!,#REF!,美团日报!$C174,#REF!,"饿了么")</f>
        <v>#REF!</v>
      </c>
      <c r="Q174" s="23"/>
      <c r="R174" s="23"/>
      <c r="S174" s="22" t="e">
        <f t="shared" si="16"/>
        <v>#REF!</v>
      </c>
      <c r="T174" s="19" t="e">
        <f>SUMIFS(#REF!,#REF!,美团日报!$C174,#REF!,"饿了么")</f>
        <v>#REF!</v>
      </c>
      <c r="U174" s="22" t="e">
        <f t="shared" si="17"/>
        <v>#REF!</v>
      </c>
      <c r="V174" s="19" t="e">
        <f>SUMIFS(#REF!,#REF!,美团日报!$C174,#REF!,"饿了么")</f>
        <v>#REF!</v>
      </c>
      <c r="W174" s="24" t="s">
        <v>19</v>
      </c>
    </row>
    <row r="175" ht="14.4" spans="1:23">
      <c r="A175" s="16" t="s">
        <v>56</v>
      </c>
      <c r="B175" s="16" t="s">
        <v>118</v>
      </c>
      <c r="C175" s="16">
        <v>1693</v>
      </c>
      <c r="D175" s="16" t="s">
        <v>428</v>
      </c>
      <c r="E175" s="18">
        <f>_xlfn.IFNA(VLOOKUP(C:C,线上线下销售!B:D,3,0),0)</f>
        <v>1622.7013</v>
      </c>
      <c r="F175" s="18">
        <f>SUMIFS(线上订单!$E:$E,线上订单!$B:$B,美团日报!$C175,线上订单!$D:$D,"饿了么")</f>
        <v>0</v>
      </c>
      <c r="G175" s="19">
        <f t="shared" si="12"/>
        <v>0</v>
      </c>
      <c r="H175" s="18">
        <f>SUMIFS(线上订单!$F:$F,线上订单!$B:$B,美团日报!$C175,线上订单!$D:$D,"饿了么")</f>
        <v>0</v>
      </c>
      <c r="I175" s="18">
        <f>SUMIFS(线上订单!$F:$F,线上订单!$B:$B,美团日报!$C175,线上订单!$D:$D,"饿了么")</f>
        <v>0</v>
      </c>
      <c r="J175" s="21">
        <f t="shared" si="13"/>
        <v>0</v>
      </c>
      <c r="K175" s="22" t="e">
        <f t="shared" si="14"/>
        <v>#REF!</v>
      </c>
      <c r="L175" s="19" t="e">
        <f>SUMIFS(#REF!,#REF!,美团日报!$C175,#REF!,"饿了么")</f>
        <v>#REF!</v>
      </c>
      <c r="M175" s="23"/>
      <c r="N175" s="23"/>
      <c r="O175" s="22" t="e">
        <f t="shared" si="15"/>
        <v>#REF!</v>
      </c>
      <c r="P175" s="19" t="e">
        <f>SUMIFS(#REF!,#REF!,美团日报!$C175,#REF!,"饿了么")</f>
        <v>#REF!</v>
      </c>
      <c r="Q175" s="23"/>
      <c r="R175" s="23"/>
      <c r="S175" s="22" t="e">
        <f t="shared" si="16"/>
        <v>#REF!</v>
      </c>
      <c r="T175" s="19" t="e">
        <f>SUMIFS(#REF!,#REF!,美团日报!$C175,#REF!,"饿了么")</f>
        <v>#REF!</v>
      </c>
      <c r="U175" s="22" t="e">
        <f t="shared" si="17"/>
        <v>#REF!</v>
      </c>
      <c r="V175" s="19" t="e">
        <f>SUMIFS(#REF!,#REF!,美团日报!$C175,#REF!,"饿了么")</f>
        <v>#REF!</v>
      </c>
      <c r="W175" s="24" t="s">
        <v>19</v>
      </c>
    </row>
    <row r="176" ht="14.4" spans="1:23">
      <c r="A176" s="16" t="s">
        <v>264</v>
      </c>
      <c r="B176" s="16" t="s">
        <v>261</v>
      </c>
      <c r="C176" s="16">
        <v>1698</v>
      </c>
      <c r="D176" s="16" t="s">
        <v>430</v>
      </c>
      <c r="E176" s="18">
        <f>_xlfn.IFNA(VLOOKUP(C:C,线上线下销售!B:D,3,0),0)</f>
        <v>6187.1737</v>
      </c>
      <c r="F176" s="18">
        <f>SUMIFS(线上订单!$E:$E,线上订单!$B:$B,美团日报!$C176,线上订单!$D:$D,"饿了么")</f>
        <v>0</v>
      </c>
      <c r="G176" s="19">
        <f t="shared" si="12"/>
        <v>0</v>
      </c>
      <c r="H176" s="18">
        <f>SUMIFS(线上订单!$F:$F,线上订单!$B:$B,美团日报!$C176,线上订单!$D:$D,"饿了么")</f>
        <v>0</v>
      </c>
      <c r="I176" s="18">
        <f>SUMIFS(线上订单!$F:$F,线上订单!$B:$B,美团日报!$C176,线上订单!$D:$D,"饿了么")</f>
        <v>0</v>
      </c>
      <c r="J176" s="21">
        <f t="shared" si="13"/>
        <v>0</v>
      </c>
      <c r="K176" s="22" t="e">
        <f t="shared" si="14"/>
        <v>#REF!</v>
      </c>
      <c r="L176" s="19" t="e">
        <f>SUMIFS(#REF!,#REF!,美团日报!$C176,#REF!,"饿了么")</f>
        <v>#REF!</v>
      </c>
      <c r="M176" s="23"/>
      <c r="N176" s="23"/>
      <c r="O176" s="22" t="e">
        <f t="shared" si="15"/>
        <v>#REF!</v>
      </c>
      <c r="P176" s="19" t="e">
        <f>SUMIFS(#REF!,#REF!,美团日报!$C176,#REF!,"饿了么")</f>
        <v>#REF!</v>
      </c>
      <c r="Q176" s="23"/>
      <c r="R176" s="23"/>
      <c r="S176" s="22" t="e">
        <f t="shared" si="16"/>
        <v>#REF!</v>
      </c>
      <c r="T176" s="19" t="e">
        <f>SUMIFS(#REF!,#REF!,美团日报!$C176,#REF!,"饿了么")</f>
        <v>#REF!</v>
      </c>
      <c r="U176" s="22" t="e">
        <f t="shared" si="17"/>
        <v>#REF!</v>
      </c>
      <c r="V176" s="19" t="e">
        <f>SUMIFS(#REF!,#REF!,美团日报!$C176,#REF!,"饿了么")</f>
        <v>#REF!</v>
      </c>
      <c r="W176" s="24" t="s">
        <v>19</v>
      </c>
    </row>
    <row r="177" ht="14.4" spans="1:23">
      <c r="A177" s="16" t="s">
        <v>264</v>
      </c>
      <c r="B177" s="16" t="s">
        <v>327</v>
      </c>
      <c r="C177" s="16">
        <v>1708</v>
      </c>
      <c r="D177" s="16" t="s">
        <v>432</v>
      </c>
      <c r="E177" s="18">
        <f>_xlfn.IFNA(VLOOKUP(C:C,线上线下销售!B:D,3,0),0)</f>
        <v>1825.7516</v>
      </c>
      <c r="F177" s="18">
        <f>SUMIFS(线上订单!$E:$E,线上订单!$B:$B,美团日报!$C177,线上订单!$D:$D,"饿了么")</f>
        <v>0</v>
      </c>
      <c r="G177" s="19">
        <f t="shared" si="12"/>
        <v>0</v>
      </c>
      <c r="H177" s="18">
        <f>SUMIFS(线上订单!$F:$F,线上订单!$B:$B,美团日报!$C177,线上订单!$D:$D,"饿了么")</f>
        <v>0</v>
      </c>
      <c r="I177" s="18">
        <f>SUMIFS(线上订单!$F:$F,线上订单!$B:$B,美团日报!$C177,线上订单!$D:$D,"饿了么")</f>
        <v>0</v>
      </c>
      <c r="J177" s="21">
        <f t="shared" si="13"/>
        <v>0</v>
      </c>
      <c r="K177" s="22" t="e">
        <f t="shared" si="14"/>
        <v>#REF!</v>
      </c>
      <c r="L177" s="19" t="e">
        <f>SUMIFS(#REF!,#REF!,美团日报!$C177,#REF!,"饿了么")</f>
        <v>#REF!</v>
      </c>
      <c r="M177" s="23"/>
      <c r="N177" s="23"/>
      <c r="O177" s="22" t="e">
        <f t="shared" si="15"/>
        <v>#REF!</v>
      </c>
      <c r="P177" s="19" t="e">
        <f>SUMIFS(#REF!,#REF!,美团日报!$C177,#REF!,"饿了么")</f>
        <v>#REF!</v>
      </c>
      <c r="Q177" s="23"/>
      <c r="R177" s="23"/>
      <c r="S177" s="22" t="e">
        <f t="shared" si="16"/>
        <v>#REF!</v>
      </c>
      <c r="T177" s="19" t="e">
        <f>SUMIFS(#REF!,#REF!,美团日报!$C177,#REF!,"饿了么")</f>
        <v>#REF!</v>
      </c>
      <c r="U177" s="22" t="e">
        <f t="shared" si="17"/>
        <v>#REF!</v>
      </c>
      <c r="V177" s="19" t="e">
        <f>SUMIFS(#REF!,#REF!,美团日报!$C177,#REF!,"饿了么")</f>
        <v>#REF!</v>
      </c>
      <c r="W177" s="24" t="s">
        <v>19</v>
      </c>
    </row>
    <row r="178" ht="14.4" spans="1:23">
      <c r="A178" s="16" t="s">
        <v>264</v>
      </c>
      <c r="B178" s="16" t="s">
        <v>327</v>
      </c>
      <c r="C178" s="16">
        <v>1709</v>
      </c>
      <c r="D178" s="16" t="s">
        <v>434</v>
      </c>
      <c r="E178" s="18">
        <f>_xlfn.IFNA(VLOOKUP(C:C,线上线下销售!B:D,3,0),0)</f>
        <v>1187.8323</v>
      </c>
      <c r="F178" s="18">
        <f>SUMIFS(线上订单!$E:$E,线上订单!$B:$B,美团日报!$C178,线上订单!$D:$D,"饿了么")</f>
        <v>0</v>
      </c>
      <c r="G178" s="19">
        <f t="shared" si="12"/>
        <v>0</v>
      </c>
      <c r="H178" s="18">
        <f>SUMIFS(线上订单!$F:$F,线上订单!$B:$B,美团日报!$C178,线上订单!$D:$D,"饿了么")</f>
        <v>0</v>
      </c>
      <c r="I178" s="18">
        <f>SUMIFS(线上订单!$F:$F,线上订单!$B:$B,美团日报!$C178,线上订单!$D:$D,"饿了么")</f>
        <v>0</v>
      </c>
      <c r="J178" s="21">
        <f t="shared" si="13"/>
        <v>0</v>
      </c>
      <c r="K178" s="22" t="e">
        <f t="shared" si="14"/>
        <v>#REF!</v>
      </c>
      <c r="L178" s="19" t="e">
        <f>SUMIFS(#REF!,#REF!,美团日报!$C178,#REF!,"饿了么")</f>
        <v>#REF!</v>
      </c>
      <c r="M178" s="23"/>
      <c r="N178" s="23"/>
      <c r="O178" s="22" t="e">
        <f t="shared" si="15"/>
        <v>#REF!</v>
      </c>
      <c r="P178" s="19" t="e">
        <f>SUMIFS(#REF!,#REF!,美团日报!$C178,#REF!,"饿了么")</f>
        <v>#REF!</v>
      </c>
      <c r="Q178" s="23"/>
      <c r="R178" s="23"/>
      <c r="S178" s="22" t="e">
        <f t="shared" si="16"/>
        <v>#REF!</v>
      </c>
      <c r="T178" s="19" t="e">
        <f>SUMIFS(#REF!,#REF!,美团日报!$C178,#REF!,"饿了么")</f>
        <v>#REF!</v>
      </c>
      <c r="U178" s="22" t="e">
        <f t="shared" si="17"/>
        <v>#REF!</v>
      </c>
      <c r="V178" s="19" t="e">
        <f>SUMIFS(#REF!,#REF!,美团日报!$C178,#REF!,"饿了么")</f>
        <v>#REF!</v>
      </c>
      <c r="W178" s="24" t="s">
        <v>19</v>
      </c>
    </row>
    <row r="179" ht="14.4" spans="1:23">
      <c r="A179" s="16" t="s">
        <v>264</v>
      </c>
      <c r="B179" s="16" t="s">
        <v>370</v>
      </c>
      <c r="C179" s="16">
        <v>1726</v>
      </c>
      <c r="D179" s="16" t="s">
        <v>436</v>
      </c>
      <c r="E179" s="18">
        <f>_xlfn.IFNA(VLOOKUP(C:C,线上线下销售!B:D,3,0),0)</f>
        <v>3262.8704</v>
      </c>
      <c r="F179" s="18">
        <f>SUMIFS(线上订单!$E:$E,线上订单!$B:$B,美团日报!$C179,线上订单!$D:$D,"饿了么")</f>
        <v>0</v>
      </c>
      <c r="G179" s="19">
        <f t="shared" si="12"/>
        <v>0</v>
      </c>
      <c r="H179" s="18">
        <f>SUMIFS(线上订单!$F:$F,线上订单!$B:$B,美团日报!$C179,线上订单!$D:$D,"饿了么")</f>
        <v>0</v>
      </c>
      <c r="I179" s="18">
        <f>SUMIFS(线上订单!$F:$F,线上订单!$B:$B,美团日报!$C179,线上订单!$D:$D,"饿了么")</f>
        <v>0</v>
      </c>
      <c r="J179" s="21">
        <f t="shared" si="13"/>
        <v>0</v>
      </c>
      <c r="K179" s="22" t="e">
        <f t="shared" si="14"/>
        <v>#REF!</v>
      </c>
      <c r="L179" s="19" t="e">
        <f>SUMIFS(#REF!,#REF!,美团日报!$C179,#REF!,"饿了么")</f>
        <v>#REF!</v>
      </c>
      <c r="M179" s="23"/>
      <c r="N179" s="23"/>
      <c r="O179" s="22" t="e">
        <f t="shared" si="15"/>
        <v>#REF!</v>
      </c>
      <c r="P179" s="19" t="e">
        <f>SUMIFS(#REF!,#REF!,美团日报!$C179,#REF!,"饿了么")</f>
        <v>#REF!</v>
      </c>
      <c r="Q179" s="23"/>
      <c r="R179" s="23"/>
      <c r="S179" s="22" t="e">
        <f t="shared" si="16"/>
        <v>#REF!</v>
      </c>
      <c r="T179" s="19" t="e">
        <f>SUMIFS(#REF!,#REF!,美团日报!$C179,#REF!,"饿了么")</f>
        <v>#REF!</v>
      </c>
      <c r="U179" s="22" t="e">
        <f t="shared" si="17"/>
        <v>#REF!</v>
      </c>
      <c r="V179" s="19" t="e">
        <f>SUMIFS(#REF!,#REF!,美团日报!$C179,#REF!,"饿了么")</f>
        <v>#REF!</v>
      </c>
      <c r="W179" s="24" t="s">
        <v>19</v>
      </c>
    </row>
    <row r="180" ht="14.4" spans="1:23">
      <c r="A180" s="16" t="s">
        <v>264</v>
      </c>
      <c r="B180" s="16" t="s">
        <v>401</v>
      </c>
      <c r="C180" s="16">
        <v>1728</v>
      </c>
      <c r="D180" s="16" t="s">
        <v>438</v>
      </c>
      <c r="E180" s="18">
        <f>_xlfn.IFNA(VLOOKUP(C:C,线上线下销售!B:D,3,0),0)</f>
        <v>34718.0688</v>
      </c>
      <c r="F180" s="18">
        <f>SUMIFS(线上订单!$E:$E,线上订单!$B:$B,美团日报!$C180,线上订单!$D:$D,"饿了么")</f>
        <v>0</v>
      </c>
      <c r="G180" s="19">
        <f t="shared" si="12"/>
        <v>0</v>
      </c>
      <c r="H180" s="18">
        <f>SUMIFS(线上订单!$F:$F,线上订单!$B:$B,美团日报!$C180,线上订单!$D:$D,"饿了么")</f>
        <v>0</v>
      </c>
      <c r="I180" s="18">
        <f>SUMIFS(线上订单!$F:$F,线上订单!$B:$B,美团日报!$C180,线上订单!$D:$D,"饿了么")</f>
        <v>0</v>
      </c>
      <c r="J180" s="21">
        <f t="shared" si="13"/>
        <v>0</v>
      </c>
      <c r="K180" s="22" t="e">
        <f t="shared" si="14"/>
        <v>#REF!</v>
      </c>
      <c r="L180" s="19" t="e">
        <f>SUMIFS(#REF!,#REF!,美团日报!$C180,#REF!,"饿了么")</f>
        <v>#REF!</v>
      </c>
      <c r="M180" s="23"/>
      <c r="N180" s="23"/>
      <c r="O180" s="22" t="e">
        <f t="shared" si="15"/>
        <v>#REF!</v>
      </c>
      <c r="P180" s="19" t="e">
        <f>SUMIFS(#REF!,#REF!,美团日报!$C180,#REF!,"饿了么")</f>
        <v>#REF!</v>
      </c>
      <c r="Q180" s="23"/>
      <c r="R180" s="23"/>
      <c r="S180" s="22" t="e">
        <f t="shared" si="16"/>
        <v>#REF!</v>
      </c>
      <c r="T180" s="19" t="e">
        <f>SUMIFS(#REF!,#REF!,美团日报!$C180,#REF!,"饿了么")</f>
        <v>#REF!</v>
      </c>
      <c r="U180" s="22" t="e">
        <f t="shared" si="17"/>
        <v>#REF!</v>
      </c>
      <c r="V180" s="19" t="e">
        <f>SUMIFS(#REF!,#REF!,美团日报!$C180,#REF!,"饿了么")</f>
        <v>#REF!</v>
      </c>
      <c r="W180" s="24" t="s">
        <v>19</v>
      </c>
    </row>
    <row r="181" ht="14.4" spans="1:23">
      <c r="A181" s="16" t="s">
        <v>264</v>
      </c>
      <c r="B181" s="16" t="s">
        <v>350</v>
      </c>
      <c r="C181" s="16">
        <v>1730</v>
      </c>
      <c r="D181" s="16" t="s">
        <v>440</v>
      </c>
      <c r="E181" s="18">
        <f>_xlfn.IFNA(VLOOKUP(C:C,线上线下销售!B:D,3,0),0)</f>
        <v>3484.2904</v>
      </c>
      <c r="F181" s="18">
        <f>SUMIFS(线上订单!$E:$E,线上订单!$B:$B,美团日报!$C181,线上订单!$D:$D,"饿了么")</f>
        <v>0</v>
      </c>
      <c r="G181" s="19">
        <f t="shared" si="12"/>
        <v>0</v>
      </c>
      <c r="H181" s="18">
        <f>SUMIFS(线上订单!$F:$F,线上订单!$B:$B,美团日报!$C181,线上订单!$D:$D,"饿了么")</f>
        <v>0</v>
      </c>
      <c r="I181" s="18">
        <f>SUMIFS(线上订单!$F:$F,线上订单!$B:$B,美团日报!$C181,线上订单!$D:$D,"饿了么")</f>
        <v>0</v>
      </c>
      <c r="J181" s="21">
        <f t="shared" si="13"/>
        <v>0</v>
      </c>
      <c r="K181" s="22" t="e">
        <f t="shared" si="14"/>
        <v>#REF!</v>
      </c>
      <c r="L181" s="19" t="e">
        <f>SUMIFS(#REF!,#REF!,美团日报!$C181,#REF!,"饿了么")</f>
        <v>#REF!</v>
      </c>
      <c r="M181" s="23"/>
      <c r="N181" s="23"/>
      <c r="O181" s="22" t="e">
        <f t="shared" si="15"/>
        <v>#REF!</v>
      </c>
      <c r="P181" s="19" t="e">
        <f>SUMIFS(#REF!,#REF!,美团日报!$C181,#REF!,"饿了么")</f>
        <v>#REF!</v>
      </c>
      <c r="Q181" s="23"/>
      <c r="R181" s="23"/>
      <c r="S181" s="22" t="e">
        <f t="shared" si="16"/>
        <v>#REF!</v>
      </c>
      <c r="T181" s="19" t="e">
        <f>SUMIFS(#REF!,#REF!,美团日报!$C181,#REF!,"饿了么")</f>
        <v>#REF!</v>
      </c>
      <c r="U181" s="22" t="e">
        <f t="shared" si="17"/>
        <v>#REF!</v>
      </c>
      <c r="V181" s="19" t="e">
        <f>SUMIFS(#REF!,#REF!,美团日报!$C181,#REF!,"饿了么")</f>
        <v>#REF!</v>
      </c>
      <c r="W181" s="24" t="s">
        <v>19</v>
      </c>
    </row>
    <row r="182" ht="14.4" spans="1:23">
      <c r="A182" s="16" t="s">
        <v>264</v>
      </c>
      <c r="B182" s="16" t="s">
        <v>401</v>
      </c>
      <c r="C182" s="16">
        <v>1732</v>
      </c>
      <c r="D182" s="16" t="s">
        <v>442</v>
      </c>
      <c r="E182" s="18">
        <f>_xlfn.IFNA(VLOOKUP(C:C,线上线下销售!B:D,3,0),0)</f>
        <v>222.6283</v>
      </c>
      <c r="F182" s="18">
        <f>SUMIFS(线上订单!$E:$E,线上订单!$B:$B,美团日报!$C182,线上订单!$D:$D,"饿了么")</f>
        <v>0</v>
      </c>
      <c r="G182" s="19">
        <f t="shared" si="12"/>
        <v>0</v>
      </c>
      <c r="H182" s="18">
        <f>SUMIFS(线上订单!$F:$F,线上订单!$B:$B,美团日报!$C182,线上订单!$D:$D,"饿了么")</f>
        <v>0</v>
      </c>
      <c r="I182" s="18">
        <f>SUMIFS(线上订单!$F:$F,线上订单!$B:$B,美团日报!$C182,线上订单!$D:$D,"饿了么")</f>
        <v>0</v>
      </c>
      <c r="J182" s="21">
        <f t="shared" si="13"/>
        <v>0</v>
      </c>
      <c r="K182" s="22" t="e">
        <f t="shared" si="14"/>
        <v>#REF!</v>
      </c>
      <c r="L182" s="19" t="e">
        <f>SUMIFS(#REF!,#REF!,美团日报!$C182,#REF!,"饿了么")</f>
        <v>#REF!</v>
      </c>
      <c r="M182" s="23"/>
      <c r="N182" s="23"/>
      <c r="O182" s="22" t="e">
        <f t="shared" si="15"/>
        <v>#REF!</v>
      </c>
      <c r="P182" s="19" t="e">
        <f>SUMIFS(#REF!,#REF!,美团日报!$C182,#REF!,"饿了么")</f>
        <v>#REF!</v>
      </c>
      <c r="Q182" s="23"/>
      <c r="R182" s="23"/>
      <c r="S182" s="22" t="e">
        <f t="shared" si="16"/>
        <v>#REF!</v>
      </c>
      <c r="T182" s="19" t="e">
        <f>SUMIFS(#REF!,#REF!,美团日报!$C182,#REF!,"饿了么")</f>
        <v>#REF!</v>
      </c>
      <c r="U182" s="22" t="e">
        <f t="shared" si="17"/>
        <v>#REF!</v>
      </c>
      <c r="V182" s="19" t="e">
        <f>SUMIFS(#REF!,#REF!,美团日报!$C182,#REF!,"饿了么")</f>
        <v>#REF!</v>
      </c>
      <c r="W182" s="24" t="s">
        <v>19</v>
      </c>
    </row>
    <row r="183" ht="14.4" spans="1:23">
      <c r="A183" s="16" t="s">
        <v>56</v>
      </c>
      <c r="B183" s="16" t="s">
        <v>73</v>
      </c>
      <c r="C183" s="16">
        <v>1741</v>
      </c>
      <c r="D183" s="16" t="s">
        <v>443</v>
      </c>
      <c r="E183" s="18">
        <f>_xlfn.IFNA(VLOOKUP(C:C,线上线下销售!B:D,3,0),0)</f>
        <v>10039.5513</v>
      </c>
      <c r="F183" s="18">
        <f>SUMIFS(线上订单!$E:$E,线上订单!$B:$B,美团日报!$C183,线上订单!$D:$D,"饿了么")</f>
        <v>1826.47548916134</v>
      </c>
      <c r="G183" s="19">
        <f t="shared" si="12"/>
        <v>0.181928000025394</v>
      </c>
      <c r="H183" s="18">
        <f>SUMIFS(线上订单!$F:$F,线上订单!$B:$B,美团日报!$C183,线上订单!$D:$D,"饿了么")</f>
        <v>49</v>
      </c>
      <c r="I183" s="18">
        <f>SUMIFS(线上订单!$F:$F,线上订单!$B:$B,美团日报!$C183,线上订单!$D:$D,"饿了么")</f>
        <v>49</v>
      </c>
      <c r="J183" s="21">
        <f t="shared" si="13"/>
        <v>37.2750099828845</v>
      </c>
      <c r="K183" s="22" t="e">
        <f t="shared" si="14"/>
        <v>#REF!</v>
      </c>
      <c r="L183" s="19" t="e">
        <f>SUMIFS(#REF!,#REF!,美团日报!$C183,#REF!,"饿了么")</f>
        <v>#REF!</v>
      </c>
      <c r="M183" s="23"/>
      <c r="N183" s="23"/>
      <c r="O183" s="22" t="e">
        <f t="shared" si="15"/>
        <v>#REF!</v>
      </c>
      <c r="P183" s="19" t="e">
        <f>SUMIFS(#REF!,#REF!,美团日报!$C183,#REF!,"饿了么")</f>
        <v>#REF!</v>
      </c>
      <c r="Q183" s="23"/>
      <c r="R183" s="23"/>
      <c r="S183" s="22" t="e">
        <f t="shared" si="16"/>
        <v>#REF!</v>
      </c>
      <c r="T183" s="19" t="e">
        <f>SUMIFS(#REF!,#REF!,美团日报!$C183,#REF!,"饿了么")</f>
        <v>#REF!</v>
      </c>
      <c r="U183" s="22" t="e">
        <f t="shared" si="17"/>
        <v>#REF!</v>
      </c>
      <c r="V183" s="19" t="e">
        <f>SUMIFS(#REF!,#REF!,美团日报!$C183,#REF!,"饿了么")</f>
        <v>#REF!</v>
      </c>
      <c r="W183" s="24" t="s">
        <v>19</v>
      </c>
    </row>
    <row r="184" ht="14.4" spans="1:23">
      <c r="A184" s="16" t="s">
        <v>264</v>
      </c>
      <c r="B184" s="16" t="s">
        <v>350</v>
      </c>
      <c r="C184" s="16">
        <v>1752</v>
      </c>
      <c r="D184" s="16" t="s">
        <v>445</v>
      </c>
      <c r="E184" s="18">
        <f>_xlfn.IFNA(VLOOKUP(C:C,线上线下销售!B:D,3,0),0)</f>
        <v>2205.8491</v>
      </c>
      <c r="F184" s="18">
        <f>SUMIFS(线上订单!$E:$E,线上订单!$B:$B,美团日报!$C184,线上订单!$D:$D,"饿了么")</f>
        <v>144.85840707964</v>
      </c>
      <c r="G184" s="19">
        <f t="shared" si="12"/>
        <v>0.0656701344981576</v>
      </c>
      <c r="H184" s="18">
        <f>SUMIFS(线上订单!$F:$F,线上订单!$B:$B,美团日报!$C184,线上订单!$D:$D,"饿了么")</f>
        <v>4</v>
      </c>
      <c r="I184" s="18">
        <f>SUMIFS(线上订单!$F:$F,线上订单!$B:$B,美团日报!$C184,线上订单!$D:$D,"饿了么")</f>
        <v>4</v>
      </c>
      <c r="J184" s="21">
        <f t="shared" si="13"/>
        <v>36.21460176991</v>
      </c>
      <c r="K184" s="22" t="e">
        <f t="shared" si="14"/>
        <v>#REF!</v>
      </c>
      <c r="L184" s="19" t="e">
        <f>SUMIFS(#REF!,#REF!,美团日报!$C184,#REF!,"饿了么")</f>
        <v>#REF!</v>
      </c>
      <c r="M184" s="23"/>
      <c r="N184" s="23"/>
      <c r="O184" s="22" t="e">
        <f t="shared" si="15"/>
        <v>#REF!</v>
      </c>
      <c r="P184" s="19" t="e">
        <f>SUMIFS(#REF!,#REF!,美团日报!$C184,#REF!,"饿了么")</f>
        <v>#REF!</v>
      </c>
      <c r="Q184" s="23"/>
      <c r="R184" s="23"/>
      <c r="S184" s="22" t="e">
        <f t="shared" si="16"/>
        <v>#REF!</v>
      </c>
      <c r="T184" s="19" t="e">
        <f>SUMIFS(#REF!,#REF!,美团日报!$C184,#REF!,"饿了么")</f>
        <v>#REF!</v>
      </c>
      <c r="U184" s="22" t="e">
        <f t="shared" si="17"/>
        <v>#REF!</v>
      </c>
      <c r="V184" s="19" t="e">
        <f>SUMIFS(#REF!,#REF!,美团日报!$C184,#REF!,"饿了么")</f>
        <v>#REF!</v>
      </c>
      <c r="W184" s="24" t="s">
        <v>19</v>
      </c>
    </row>
    <row r="185" ht="14.4" spans="1:23">
      <c r="A185" s="16" t="s">
        <v>264</v>
      </c>
      <c r="B185" s="16" t="s">
        <v>350</v>
      </c>
      <c r="C185" s="16">
        <v>1814</v>
      </c>
      <c r="D185" s="16" t="s">
        <v>447</v>
      </c>
      <c r="E185" s="18">
        <f>_xlfn.IFNA(VLOOKUP(C:C,线上线下销售!B:D,3,0),0)</f>
        <v>713.7654</v>
      </c>
      <c r="F185" s="18">
        <f>SUMIFS(线上订单!$E:$E,线上订单!$B:$B,美团日报!$C185,线上订单!$D:$D,"饿了么")</f>
        <v>0</v>
      </c>
      <c r="G185" s="19">
        <f t="shared" si="12"/>
        <v>0</v>
      </c>
      <c r="H185" s="18">
        <f>SUMIFS(线上订单!$F:$F,线上订单!$B:$B,美团日报!$C185,线上订单!$D:$D,"饿了么")</f>
        <v>0</v>
      </c>
      <c r="I185" s="18">
        <f>SUMIFS(线上订单!$F:$F,线上订单!$B:$B,美团日报!$C185,线上订单!$D:$D,"饿了么")</f>
        <v>0</v>
      </c>
      <c r="J185" s="21">
        <f t="shared" si="13"/>
        <v>0</v>
      </c>
      <c r="K185" s="22" t="e">
        <f t="shared" si="14"/>
        <v>#REF!</v>
      </c>
      <c r="L185" s="19" t="e">
        <f>SUMIFS(#REF!,#REF!,美团日报!$C185,#REF!,"饿了么")</f>
        <v>#REF!</v>
      </c>
      <c r="M185" s="23"/>
      <c r="N185" s="23"/>
      <c r="O185" s="22" t="e">
        <f t="shared" si="15"/>
        <v>#REF!</v>
      </c>
      <c r="P185" s="19" t="e">
        <f>SUMIFS(#REF!,#REF!,美团日报!$C185,#REF!,"饿了么")</f>
        <v>#REF!</v>
      </c>
      <c r="Q185" s="23"/>
      <c r="R185" s="23"/>
      <c r="S185" s="22" t="e">
        <f t="shared" si="16"/>
        <v>#REF!</v>
      </c>
      <c r="T185" s="19" t="e">
        <f>SUMIFS(#REF!,#REF!,美团日报!$C185,#REF!,"饿了么")</f>
        <v>#REF!</v>
      </c>
      <c r="U185" s="22" t="e">
        <f t="shared" si="17"/>
        <v>#REF!</v>
      </c>
      <c r="V185" s="19" t="e">
        <f>SUMIFS(#REF!,#REF!,美团日报!$C185,#REF!,"饿了么")</f>
        <v>#REF!</v>
      </c>
      <c r="W185" s="24" t="s">
        <v>19</v>
      </c>
    </row>
    <row r="186" ht="14.4" spans="1:23">
      <c r="A186" s="16" t="s">
        <v>264</v>
      </c>
      <c r="B186" s="16" t="s">
        <v>296</v>
      </c>
      <c r="C186" s="16">
        <v>1826</v>
      </c>
      <c r="D186" s="16" t="s">
        <v>449</v>
      </c>
      <c r="E186" s="18">
        <f>_xlfn.IFNA(VLOOKUP(C:C,线上线下销售!B:D,3,0),0)</f>
        <v>1504.2081</v>
      </c>
      <c r="F186" s="18">
        <f>SUMIFS(线上订单!$E:$E,线上订单!$B:$B,美团日报!$C186,线上订单!$D:$D,"饿了么")</f>
        <v>0</v>
      </c>
      <c r="G186" s="19">
        <f t="shared" si="12"/>
        <v>0</v>
      </c>
      <c r="H186" s="18">
        <f>SUMIFS(线上订单!$F:$F,线上订单!$B:$B,美团日报!$C186,线上订单!$D:$D,"饿了么")</f>
        <v>0</v>
      </c>
      <c r="I186" s="18">
        <f>SUMIFS(线上订单!$F:$F,线上订单!$B:$B,美团日报!$C186,线上订单!$D:$D,"饿了么")</f>
        <v>0</v>
      </c>
      <c r="J186" s="21">
        <f t="shared" si="13"/>
        <v>0</v>
      </c>
      <c r="K186" s="22" t="e">
        <f t="shared" si="14"/>
        <v>#REF!</v>
      </c>
      <c r="L186" s="19" t="e">
        <f>SUMIFS(#REF!,#REF!,美团日报!$C186,#REF!,"饿了么")</f>
        <v>#REF!</v>
      </c>
      <c r="M186" s="23"/>
      <c r="N186" s="23"/>
      <c r="O186" s="22" t="e">
        <f t="shared" si="15"/>
        <v>#REF!</v>
      </c>
      <c r="P186" s="19" t="e">
        <f>SUMIFS(#REF!,#REF!,美团日报!$C186,#REF!,"饿了么")</f>
        <v>#REF!</v>
      </c>
      <c r="Q186" s="23"/>
      <c r="R186" s="23"/>
      <c r="S186" s="22" t="e">
        <f t="shared" si="16"/>
        <v>#REF!</v>
      </c>
      <c r="T186" s="19" t="e">
        <f>SUMIFS(#REF!,#REF!,美团日报!$C186,#REF!,"饿了么")</f>
        <v>#REF!</v>
      </c>
      <c r="U186" s="22" t="e">
        <f t="shared" si="17"/>
        <v>#REF!</v>
      </c>
      <c r="V186" s="19" t="e">
        <f>SUMIFS(#REF!,#REF!,美团日报!$C186,#REF!,"饿了么")</f>
        <v>#REF!</v>
      </c>
      <c r="W186" s="24" t="s">
        <v>19</v>
      </c>
    </row>
    <row r="187" ht="14.4" spans="1:23">
      <c r="A187" s="16" t="s">
        <v>264</v>
      </c>
      <c r="B187" s="16" t="s">
        <v>350</v>
      </c>
      <c r="C187" s="16">
        <v>1837</v>
      </c>
      <c r="D187" s="16" t="s">
        <v>451</v>
      </c>
      <c r="E187" s="18">
        <f>_xlfn.IFNA(VLOOKUP(C:C,线上线下销售!B:D,3,0),0)</f>
        <v>10350.2519</v>
      </c>
      <c r="F187" s="18">
        <f>SUMIFS(线上订单!$E:$E,线上订单!$B:$B,美团日报!$C187,线上订单!$D:$D,"饿了么")</f>
        <v>1315.31858407078</v>
      </c>
      <c r="G187" s="19">
        <f t="shared" si="12"/>
        <v>0.127080828252188</v>
      </c>
      <c r="H187" s="18">
        <f>SUMIFS(线上订单!$F:$F,线上订单!$B:$B,美团日报!$C187,线上订单!$D:$D,"饿了么")</f>
        <v>36</v>
      </c>
      <c r="I187" s="18">
        <f>SUMIFS(线上订单!$F:$F,线上订单!$B:$B,美团日报!$C187,线上订单!$D:$D,"饿了么")</f>
        <v>36</v>
      </c>
      <c r="J187" s="21">
        <f t="shared" si="13"/>
        <v>36.5366273352994</v>
      </c>
      <c r="K187" s="22" t="e">
        <f t="shared" si="14"/>
        <v>#REF!</v>
      </c>
      <c r="L187" s="19" t="e">
        <f>SUMIFS(#REF!,#REF!,美团日报!$C187,#REF!,"饿了么")</f>
        <v>#REF!</v>
      </c>
      <c r="M187" s="23"/>
      <c r="N187" s="23"/>
      <c r="O187" s="22" t="e">
        <f t="shared" si="15"/>
        <v>#REF!</v>
      </c>
      <c r="P187" s="19" t="e">
        <f>SUMIFS(#REF!,#REF!,美团日报!$C187,#REF!,"饿了么")</f>
        <v>#REF!</v>
      </c>
      <c r="Q187" s="23"/>
      <c r="R187" s="23"/>
      <c r="S187" s="22" t="e">
        <f t="shared" si="16"/>
        <v>#REF!</v>
      </c>
      <c r="T187" s="19" t="e">
        <f>SUMIFS(#REF!,#REF!,美团日报!$C187,#REF!,"饿了么")</f>
        <v>#REF!</v>
      </c>
      <c r="U187" s="22" t="e">
        <f t="shared" si="17"/>
        <v>#REF!</v>
      </c>
      <c r="V187" s="19" t="e">
        <f>SUMIFS(#REF!,#REF!,美团日报!$C187,#REF!,"饿了么")</f>
        <v>#REF!</v>
      </c>
      <c r="W187" s="24" t="s">
        <v>19</v>
      </c>
    </row>
    <row r="188" ht="14.4" spans="1:23">
      <c r="A188" s="16" t="s">
        <v>264</v>
      </c>
      <c r="B188" s="16" t="s">
        <v>370</v>
      </c>
      <c r="C188" s="16">
        <v>1867</v>
      </c>
      <c r="D188" s="16" t="s">
        <v>453</v>
      </c>
      <c r="E188" s="18">
        <f>_xlfn.IFNA(VLOOKUP(C:C,线上线下销售!B:D,3,0),0)</f>
        <v>5169.2332</v>
      </c>
      <c r="F188" s="18">
        <f>SUMIFS(线上订单!$E:$E,线上订单!$B:$B,美团日报!$C188,线上订单!$D:$D,"饿了么")</f>
        <v>0</v>
      </c>
      <c r="G188" s="19">
        <f t="shared" si="12"/>
        <v>0</v>
      </c>
      <c r="H188" s="18">
        <f>SUMIFS(线上订单!$F:$F,线上订单!$B:$B,美团日报!$C188,线上订单!$D:$D,"饿了么")</f>
        <v>0</v>
      </c>
      <c r="I188" s="18">
        <f>SUMIFS(线上订单!$F:$F,线上订单!$B:$B,美团日报!$C188,线上订单!$D:$D,"饿了么")</f>
        <v>0</v>
      </c>
      <c r="J188" s="21">
        <f t="shared" si="13"/>
        <v>0</v>
      </c>
      <c r="K188" s="22" t="e">
        <f t="shared" si="14"/>
        <v>#REF!</v>
      </c>
      <c r="L188" s="19" t="e">
        <f>SUMIFS(#REF!,#REF!,美团日报!$C188,#REF!,"饿了么")</f>
        <v>#REF!</v>
      </c>
      <c r="M188" s="23"/>
      <c r="N188" s="23"/>
      <c r="O188" s="22" t="e">
        <f t="shared" si="15"/>
        <v>#REF!</v>
      </c>
      <c r="P188" s="19" t="e">
        <f>SUMIFS(#REF!,#REF!,美团日报!$C188,#REF!,"饿了么")</f>
        <v>#REF!</v>
      </c>
      <c r="Q188" s="23"/>
      <c r="R188" s="23"/>
      <c r="S188" s="22" t="e">
        <f t="shared" si="16"/>
        <v>#REF!</v>
      </c>
      <c r="T188" s="19" t="e">
        <f>SUMIFS(#REF!,#REF!,美团日报!$C188,#REF!,"饿了么")</f>
        <v>#REF!</v>
      </c>
      <c r="U188" s="22" t="e">
        <f t="shared" si="17"/>
        <v>#REF!</v>
      </c>
      <c r="V188" s="19" t="e">
        <f>SUMIFS(#REF!,#REF!,美团日报!$C188,#REF!,"饿了么")</f>
        <v>#REF!</v>
      </c>
      <c r="W188" s="24" t="s">
        <v>19</v>
      </c>
    </row>
    <row r="189" ht="14.4" spans="1:23">
      <c r="A189" s="16" t="s">
        <v>264</v>
      </c>
      <c r="B189" s="16" t="s">
        <v>370</v>
      </c>
      <c r="C189" s="16">
        <v>1868</v>
      </c>
      <c r="D189" s="16" t="s">
        <v>455</v>
      </c>
      <c r="E189" s="18">
        <f>_xlfn.IFNA(VLOOKUP(C:C,线上线下销售!B:D,3,0),0)</f>
        <v>1778.9884</v>
      </c>
      <c r="F189" s="18">
        <f>SUMIFS(线上订单!$E:$E,线上订单!$B:$B,美团日报!$C189,线上订单!$D:$D,"饿了么")</f>
        <v>0</v>
      </c>
      <c r="G189" s="19">
        <f t="shared" si="12"/>
        <v>0</v>
      </c>
      <c r="H189" s="18">
        <f>SUMIFS(线上订单!$F:$F,线上订单!$B:$B,美团日报!$C189,线上订单!$D:$D,"饿了么")</f>
        <v>0</v>
      </c>
      <c r="I189" s="18">
        <f>SUMIFS(线上订单!$F:$F,线上订单!$B:$B,美团日报!$C189,线上订单!$D:$D,"饿了么")</f>
        <v>0</v>
      </c>
      <c r="J189" s="21">
        <f t="shared" si="13"/>
        <v>0</v>
      </c>
      <c r="K189" s="22" t="e">
        <f t="shared" si="14"/>
        <v>#REF!</v>
      </c>
      <c r="L189" s="19" t="e">
        <f>SUMIFS(#REF!,#REF!,美团日报!$C189,#REF!,"饿了么")</f>
        <v>#REF!</v>
      </c>
      <c r="M189" s="23"/>
      <c r="N189" s="23"/>
      <c r="O189" s="22" t="e">
        <f t="shared" si="15"/>
        <v>#REF!</v>
      </c>
      <c r="P189" s="19" t="e">
        <f>SUMIFS(#REF!,#REF!,美团日报!$C189,#REF!,"饿了么")</f>
        <v>#REF!</v>
      </c>
      <c r="Q189" s="23"/>
      <c r="R189" s="23"/>
      <c r="S189" s="22" t="e">
        <f t="shared" si="16"/>
        <v>#REF!</v>
      </c>
      <c r="T189" s="19" t="e">
        <f>SUMIFS(#REF!,#REF!,美团日报!$C189,#REF!,"饿了么")</f>
        <v>#REF!</v>
      </c>
      <c r="U189" s="22" t="e">
        <f t="shared" si="17"/>
        <v>#REF!</v>
      </c>
      <c r="V189" s="19" t="e">
        <f>SUMIFS(#REF!,#REF!,美团日报!$C189,#REF!,"饿了么")</f>
        <v>#REF!</v>
      </c>
      <c r="W189" s="24" t="s">
        <v>19</v>
      </c>
    </row>
    <row r="190" ht="14.4" spans="1:23">
      <c r="A190" s="16" t="s">
        <v>48</v>
      </c>
      <c r="B190" s="16" t="s">
        <v>64</v>
      </c>
      <c r="C190" s="16">
        <v>1880</v>
      </c>
      <c r="D190" s="16" t="s">
        <v>457</v>
      </c>
      <c r="E190" s="18">
        <f>_xlfn.IFNA(VLOOKUP(C:C,线上线下销售!B:D,3,0),0)</f>
        <v>5766.639</v>
      </c>
      <c r="F190" s="18">
        <f>SUMIFS(线上订单!$E:$E,线上订单!$B:$B,美团日报!$C190,线上订单!$D:$D,"饿了么")</f>
        <v>836.53081107401</v>
      </c>
      <c r="G190" s="19">
        <f t="shared" si="12"/>
        <v>0.145063842400055</v>
      </c>
      <c r="H190" s="18">
        <f>SUMIFS(线上订单!$F:$F,线上订单!$B:$B,美团日报!$C190,线上订单!$D:$D,"饿了么")</f>
        <v>22</v>
      </c>
      <c r="I190" s="18">
        <f>SUMIFS(线上订单!$F:$F,线上订单!$B:$B,美团日报!$C190,线上订单!$D:$D,"饿了么")</f>
        <v>22</v>
      </c>
      <c r="J190" s="21">
        <f t="shared" si="13"/>
        <v>38.0241277760914</v>
      </c>
      <c r="K190" s="22" t="e">
        <f t="shared" si="14"/>
        <v>#REF!</v>
      </c>
      <c r="L190" s="19" t="e">
        <f>SUMIFS(#REF!,#REF!,美团日报!$C190,#REF!,"饿了么")</f>
        <v>#REF!</v>
      </c>
      <c r="M190" s="23"/>
      <c r="N190" s="23"/>
      <c r="O190" s="22" t="e">
        <f t="shared" si="15"/>
        <v>#REF!</v>
      </c>
      <c r="P190" s="19" t="e">
        <f>SUMIFS(#REF!,#REF!,美团日报!$C190,#REF!,"饿了么")</f>
        <v>#REF!</v>
      </c>
      <c r="Q190" s="23"/>
      <c r="R190" s="23"/>
      <c r="S190" s="22" t="e">
        <f t="shared" si="16"/>
        <v>#REF!</v>
      </c>
      <c r="T190" s="19" t="e">
        <f>SUMIFS(#REF!,#REF!,美团日报!$C190,#REF!,"饿了么")</f>
        <v>#REF!</v>
      </c>
      <c r="U190" s="22" t="e">
        <f t="shared" si="17"/>
        <v>#REF!</v>
      </c>
      <c r="V190" s="19" t="e">
        <f>SUMIFS(#REF!,#REF!,美团日报!$C190,#REF!,"饿了么")</f>
        <v>#REF!</v>
      </c>
      <c r="W190" s="24" t="s">
        <v>19</v>
      </c>
    </row>
    <row r="191" ht="14.4" spans="1:23">
      <c r="A191" s="16" t="s">
        <v>264</v>
      </c>
      <c r="B191" s="16" t="s">
        <v>304</v>
      </c>
      <c r="C191" s="16">
        <v>2120</v>
      </c>
      <c r="D191" s="16" t="s">
        <v>459</v>
      </c>
      <c r="E191" s="18">
        <f>_xlfn.IFNA(VLOOKUP(C:C,线上线下销售!B:D,3,0),0)</f>
        <v>3960.8435</v>
      </c>
      <c r="F191" s="18">
        <f>SUMIFS(线上订单!$E:$E,线上订单!$B:$B,美团日报!$C191,线上订单!$D:$D,"饿了么")</f>
        <v>0</v>
      </c>
      <c r="G191" s="19">
        <f t="shared" si="12"/>
        <v>0</v>
      </c>
      <c r="H191" s="18">
        <f>SUMIFS(线上订单!$F:$F,线上订单!$B:$B,美团日报!$C191,线上订单!$D:$D,"饿了么")</f>
        <v>0</v>
      </c>
      <c r="I191" s="18">
        <f>SUMIFS(线上订单!$F:$F,线上订单!$B:$B,美团日报!$C191,线上订单!$D:$D,"饿了么")</f>
        <v>0</v>
      </c>
      <c r="J191" s="21">
        <f t="shared" si="13"/>
        <v>0</v>
      </c>
      <c r="K191" s="22" t="e">
        <f t="shared" si="14"/>
        <v>#REF!</v>
      </c>
      <c r="L191" s="19" t="e">
        <f>SUMIFS(#REF!,#REF!,美团日报!$C191,#REF!,"饿了么")</f>
        <v>#REF!</v>
      </c>
      <c r="M191" s="23"/>
      <c r="N191" s="23"/>
      <c r="O191" s="22" t="e">
        <f t="shared" si="15"/>
        <v>#REF!</v>
      </c>
      <c r="P191" s="19" t="e">
        <f>SUMIFS(#REF!,#REF!,美团日报!$C191,#REF!,"饿了么")</f>
        <v>#REF!</v>
      </c>
      <c r="Q191" s="23"/>
      <c r="R191" s="23"/>
      <c r="S191" s="22" t="e">
        <f t="shared" si="16"/>
        <v>#REF!</v>
      </c>
      <c r="T191" s="19" t="e">
        <f>SUMIFS(#REF!,#REF!,美团日报!$C191,#REF!,"饿了么")</f>
        <v>#REF!</v>
      </c>
      <c r="U191" s="22" t="e">
        <f t="shared" si="17"/>
        <v>#REF!</v>
      </c>
      <c r="V191" s="19" t="e">
        <f>SUMIFS(#REF!,#REF!,美团日报!$C191,#REF!,"饿了么")</f>
        <v>#REF!</v>
      </c>
      <c r="W191" s="24" t="s">
        <v>19</v>
      </c>
    </row>
    <row r="192" ht="14.4" spans="1:23">
      <c r="A192" s="16" t="s">
        <v>264</v>
      </c>
      <c r="B192" s="16" t="s">
        <v>296</v>
      </c>
      <c r="C192" s="16">
        <v>2130</v>
      </c>
      <c r="D192" s="16" t="s">
        <v>461</v>
      </c>
      <c r="E192" s="18">
        <f>_xlfn.IFNA(VLOOKUP(C:C,线上线下销售!B:D,3,0),0)</f>
        <v>3749.9287</v>
      </c>
      <c r="F192" s="18">
        <f>SUMIFS(线上订单!$E:$E,线上订单!$B:$B,美团日报!$C192,线上订单!$D:$D,"饿了么")</f>
        <v>492.35398230084</v>
      </c>
      <c r="G192" s="19">
        <f t="shared" si="12"/>
        <v>0.131296891671791</v>
      </c>
      <c r="H192" s="18">
        <f>SUMIFS(线上订单!$F:$F,线上订单!$B:$B,美团日报!$C192,线上订单!$D:$D,"饿了么")</f>
        <v>17</v>
      </c>
      <c r="I192" s="18">
        <f>SUMIFS(线上订单!$F:$F,线上订单!$B:$B,美团日报!$C192,线上订单!$D:$D,"饿了么")</f>
        <v>17</v>
      </c>
      <c r="J192" s="21">
        <f t="shared" si="13"/>
        <v>28.9619989588729</v>
      </c>
      <c r="K192" s="22" t="e">
        <f t="shared" si="14"/>
        <v>#REF!</v>
      </c>
      <c r="L192" s="19" t="e">
        <f>SUMIFS(#REF!,#REF!,美团日报!$C192,#REF!,"饿了么")</f>
        <v>#REF!</v>
      </c>
      <c r="M192" s="23"/>
      <c r="N192" s="23"/>
      <c r="O192" s="22" t="e">
        <f t="shared" si="15"/>
        <v>#REF!</v>
      </c>
      <c r="P192" s="19" t="e">
        <f>SUMIFS(#REF!,#REF!,美团日报!$C192,#REF!,"饿了么")</f>
        <v>#REF!</v>
      </c>
      <c r="Q192" s="23"/>
      <c r="R192" s="23"/>
      <c r="S192" s="22" t="e">
        <f t="shared" si="16"/>
        <v>#REF!</v>
      </c>
      <c r="T192" s="19" t="e">
        <f>SUMIFS(#REF!,#REF!,美团日报!$C192,#REF!,"饿了么")</f>
        <v>#REF!</v>
      </c>
      <c r="U192" s="22" t="e">
        <f t="shared" si="17"/>
        <v>#REF!</v>
      </c>
      <c r="V192" s="19" t="e">
        <f>SUMIFS(#REF!,#REF!,美团日报!$C192,#REF!,"饿了么")</f>
        <v>#REF!</v>
      </c>
      <c r="W192" s="24" t="s">
        <v>19</v>
      </c>
    </row>
    <row r="193" ht="14.4" spans="1:23">
      <c r="A193" s="16" t="s">
        <v>264</v>
      </c>
      <c r="B193" s="16" t="s">
        <v>359</v>
      </c>
      <c r="C193" s="16">
        <v>2149</v>
      </c>
      <c r="D193" s="16" t="s">
        <v>463</v>
      </c>
      <c r="E193" s="18">
        <f>_xlfn.IFNA(VLOOKUP(C:C,线上线下销售!B:D,3,0),0)</f>
        <v>6856.9406</v>
      </c>
      <c r="F193" s="18">
        <f>SUMIFS(线上订单!$E:$E,线上订单!$B:$B,美团日报!$C193,线上订单!$D:$D,"饿了么")</f>
        <v>0</v>
      </c>
      <c r="G193" s="19">
        <f t="shared" si="12"/>
        <v>0</v>
      </c>
      <c r="H193" s="18">
        <f>SUMIFS(线上订单!$F:$F,线上订单!$B:$B,美团日报!$C193,线上订单!$D:$D,"饿了么")</f>
        <v>0</v>
      </c>
      <c r="I193" s="18">
        <f>SUMIFS(线上订单!$F:$F,线上订单!$B:$B,美团日报!$C193,线上订单!$D:$D,"饿了么")</f>
        <v>0</v>
      </c>
      <c r="J193" s="21">
        <f t="shared" si="13"/>
        <v>0</v>
      </c>
      <c r="K193" s="22" t="e">
        <f t="shared" si="14"/>
        <v>#REF!</v>
      </c>
      <c r="L193" s="19" t="e">
        <f>SUMIFS(#REF!,#REF!,美团日报!$C193,#REF!,"饿了么")</f>
        <v>#REF!</v>
      </c>
      <c r="M193" s="23"/>
      <c r="N193" s="23"/>
      <c r="O193" s="22" t="e">
        <f t="shared" si="15"/>
        <v>#REF!</v>
      </c>
      <c r="P193" s="19" t="e">
        <f>SUMIFS(#REF!,#REF!,美团日报!$C193,#REF!,"饿了么")</f>
        <v>#REF!</v>
      </c>
      <c r="Q193" s="23"/>
      <c r="R193" s="23"/>
      <c r="S193" s="22" t="e">
        <f t="shared" si="16"/>
        <v>#REF!</v>
      </c>
      <c r="T193" s="19" t="e">
        <f>SUMIFS(#REF!,#REF!,美团日报!$C193,#REF!,"饿了么")</f>
        <v>#REF!</v>
      </c>
      <c r="U193" s="22" t="e">
        <f t="shared" si="17"/>
        <v>#REF!</v>
      </c>
      <c r="V193" s="19" t="e">
        <f>SUMIFS(#REF!,#REF!,美团日报!$C193,#REF!,"饿了么")</f>
        <v>#REF!</v>
      </c>
      <c r="W193" s="24" t="s">
        <v>19</v>
      </c>
    </row>
    <row r="194" ht="14.4" spans="1:23">
      <c r="A194" s="16" t="s">
        <v>264</v>
      </c>
      <c r="B194" s="16" t="s">
        <v>359</v>
      </c>
      <c r="C194" s="16">
        <v>2150</v>
      </c>
      <c r="D194" s="16" t="s">
        <v>465</v>
      </c>
      <c r="E194" s="18">
        <f>_xlfn.IFNA(VLOOKUP(C:C,线上线下销售!B:D,3,0),0)</f>
        <v>6986.1254</v>
      </c>
      <c r="F194" s="18">
        <f>SUMIFS(线上订单!$E:$E,线上订单!$B:$B,美团日报!$C194,线上订单!$D:$D,"饿了么")</f>
        <v>0</v>
      </c>
      <c r="G194" s="19">
        <f t="shared" si="12"/>
        <v>0</v>
      </c>
      <c r="H194" s="18">
        <f>SUMIFS(线上订单!$F:$F,线上订单!$B:$B,美团日报!$C194,线上订单!$D:$D,"饿了么")</f>
        <v>0</v>
      </c>
      <c r="I194" s="18">
        <f>SUMIFS(线上订单!$F:$F,线上订单!$B:$B,美团日报!$C194,线上订单!$D:$D,"饿了么")</f>
        <v>0</v>
      </c>
      <c r="J194" s="21">
        <f t="shared" si="13"/>
        <v>0</v>
      </c>
      <c r="K194" s="22" t="e">
        <f t="shared" si="14"/>
        <v>#REF!</v>
      </c>
      <c r="L194" s="19" t="e">
        <f>SUMIFS(#REF!,#REF!,美团日报!$C194,#REF!,"饿了么")</f>
        <v>#REF!</v>
      </c>
      <c r="M194" s="23"/>
      <c r="N194" s="23"/>
      <c r="O194" s="22" t="e">
        <f t="shared" si="15"/>
        <v>#REF!</v>
      </c>
      <c r="P194" s="19" t="e">
        <f>SUMIFS(#REF!,#REF!,美团日报!$C194,#REF!,"饿了么")</f>
        <v>#REF!</v>
      </c>
      <c r="Q194" s="23"/>
      <c r="R194" s="23"/>
      <c r="S194" s="22" t="e">
        <f t="shared" si="16"/>
        <v>#REF!</v>
      </c>
      <c r="T194" s="19" t="e">
        <f>SUMIFS(#REF!,#REF!,美团日报!$C194,#REF!,"饿了么")</f>
        <v>#REF!</v>
      </c>
      <c r="U194" s="22" t="e">
        <f t="shared" si="17"/>
        <v>#REF!</v>
      </c>
      <c r="V194" s="19" t="e">
        <f>SUMIFS(#REF!,#REF!,美团日报!$C194,#REF!,"饿了么")</f>
        <v>#REF!</v>
      </c>
      <c r="W194" s="24" t="s">
        <v>19</v>
      </c>
    </row>
    <row r="195" ht="14.4" spans="1:23">
      <c r="A195" s="16" t="s">
        <v>48</v>
      </c>
      <c r="B195" s="16" t="s">
        <v>49</v>
      </c>
      <c r="C195" s="16">
        <v>2207</v>
      </c>
      <c r="D195" s="16" t="s">
        <v>467</v>
      </c>
      <c r="E195" s="18">
        <f>_xlfn.IFNA(VLOOKUP(C:C,线上线下销售!B:D,3,0),0)</f>
        <v>4252.3534</v>
      </c>
      <c r="F195" s="18">
        <f>SUMIFS(线上订单!$E:$E,线上订单!$B:$B,美团日报!$C195,线上订单!$D:$D,"饿了么")</f>
        <v>443.13858894205</v>
      </c>
      <c r="G195" s="19">
        <f t="shared" ref="G195:G258" si="18">IFERROR(F195/E195,0)</f>
        <v>0.104210197802951</v>
      </c>
      <c r="H195" s="18">
        <f>SUMIFS(线上订单!$F:$F,线上订单!$B:$B,美团日报!$C195,线上订单!$D:$D,"饿了么")</f>
        <v>11</v>
      </c>
      <c r="I195" s="18">
        <f>SUMIFS(线上订单!$F:$F,线上订单!$B:$B,美团日报!$C195,线上订单!$D:$D,"饿了么")</f>
        <v>11</v>
      </c>
      <c r="J195" s="21">
        <f t="shared" ref="J195:J258" si="19">IFERROR(F195/I195,0)</f>
        <v>40.2853262674591</v>
      </c>
      <c r="K195" s="22" t="e">
        <f t="shared" ref="K195:K258" si="20">H195*L195</f>
        <v>#REF!</v>
      </c>
      <c r="L195" s="19" t="e">
        <f>SUMIFS(#REF!,#REF!,美团日报!$C195,#REF!,"饿了么")</f>
        <v>#REF!</v>
      </c>
      <c r="M195" s="23"/>
      <c r="N195" s="23"/>
      <c r="O195" s="22" t="e">
        <f t="shared" ref="O195:O258" si="21">H195*(1-P195)</f>
        <v>#REF!</v>
      </c>
      <c r="P195" s="19" t="e">
        <f>SUMIFS(#REF!,#REF!,美团日报!$C195,#REF!,"饿了么")</f>
        <v>#REF!</v>
      </c>
      <c r="Q195" s="23"/>
      <c r="R195" s="23"/>
      <c r="S195" s="22" t="e">
        <f t="shared" ref="S195:S258" si="22">H195*T195</f>
        <v>#REF!</v>
      </c>
      <c r="T195" s="19" t="e">
        <f>SUMIFS(#REF!,#REF!,美团日报!$C195,#REF!,"饿了么")</f>
        <v>#REF!</v>
      </c>
      <c r="U195" s="22" t="e">
        <f t="shared" ref="U195:U258" si="23">H195*V195</f>
        <v>#REF!</v>
      </c>
      <c r="V195" s="19" t="e">
        <f>SUMIFS(#REF!,#REF!,美团日报!$C195,#REF!,"饿了么")</f>
        <v>#REF!</v>
      </c>
      <c r="W195" s="24" t="s">
        <v>19</v>
      </c>
    </row>
    <row r="196" ht="14.4" spans="1:23">
      <c r="A196" s="16" t="s">
        <v>264</v>
      </c>
      <c r="B196" s="16" t="s">
        <v>576</v>
      </c>
      <c r="C196" s="16">
        <v>2213</v>
      </c>
      <c r="D196" s="16" t="s">
        <v>469</v>
      </c>
      <c r="E196" s="18">
        <f>_xlfn.IFNA(VLOOKUP(C:C,线上线下销售!B:D,3,0),0)</f>
        <v>6238.8782</v>
      </c>
      <c r="F196" s="18">
        <f>SUMIFS(线上订单!$E:$E,线上订单!$B:$B,美团日报!$C196,线上订单!$D:$D,"饿了么")</f>
        <v>0</v>
      </c>
      <c r="G196" s="19">
        <f t="shared" si="18"/>
        <v>0</v>
      </c>
      <c r="H196" s="18">
        <f>SUMIFS(线上订单!$F:$F,线上订单!$B:$B,美团日报!$C196,线上订单!$D:$D,"饿了么")</f>
        <v>0</v>
      </c>
      <c r="I196" s="18">
        <f>SUMIFS(线上订单!$F:$F,线上订单!$B:$B,美团日报!$C196,线上订单!$D:$D,"饿了么")</f>
        <v>0</v>
      </c>
      <c r="J196" s="21">
        <f t="shared" si="19"/>
        <v>0</v>
      </c>
      <c r="K196" s="22" t="e">
        <f t="shared" si="20"/>
        <v>#REF!</v>
      </c>
      <c r="L196" s="19" t="e">
        <f>SUMIFS(#REF!,#REF!,美团日报!$C196,#REF!,"饿了么")</f>
        <v>#REF!</v>
      </c>
      <c r="M196" s="23"/>
      <c r="N196" s="23"/>
      <c r="O196" s="22" t="e">
        <f t="shared" si="21"/>
        <v>#REF!</v>
      </c>
      <c r="P196" s="19" t="e">
        <f>SUMIFS(#REF!,#REF!,美团日报!$C196,#REF!,"饿了么")</f>
        <v>#REF!</v>
      </c>
      <c r="Q196" s="23"/>
      <c r="R196" s="23"/>
      <c r="S196" s="22" t="e">
        <f t="shared" si="22"/>
        <v>#REF!</v>
      </c>
      <c r="T196" s="19" t="e">
        <f>SUMIFS(#REF!,#REF!,美团日报!$C196,#REF!,"饿了么")</f>
        <v>#REF!</v>
      </c>
      <c r="U196" s="22" t="e">
        <f t="shared" si="23"/>
        <v>#REF!</v>
      </c>
      <c r="V196" s="19" t="e">
        <f>SUMIFS(#REF!,#REF!,美团日报!$C196,#REF!,"饿了么")</f>
        <v>#REF!</v>
      </c>
      <c r="W196" s="24" t="s">
        <v>19</v>
      </c>
    </row>
    <row r="197" ht="14.4" spans="1:23">
      <c r="A197" s="16" t="s">
        <v>264</v>
      </c>
      <c r="B197" s="16" t="s">
        <v>296</v>
      </c>
      <c r="C197" s="16">
        <v>2215</v>
      </c>
      <c r="D197" s="16" t="s">
        <v>471</v>
      </c>
      <c r="E197" s="18">
        <f>_xlfn.IFNA(VLOOKUP(C:C,线上线下销售!B:D,3,0),0)</f>
        <v>4388.977</v>
      </c>
      <c r="F197" s="18">
        <f>SUMIFS(线上订单!$E:$E,线上订单!$B:$B,美团日报!$C197,线上订单!$D:$D,"饿了么")</f>
        <v>101.93805309734</v>
      </c>
      <c r="G197" s="19">
        <f t="shared" si="18"/>
        <v>0.0232259255624579</v>
      </c>
      <c r="H197" s="18">
        <f>SUMIFS(线上订单!$F:$F,线上订单!$B:$B,美团日报!$C197,线上订单!$D:$D,"饿了么")</f>
        <v>3</v>
      </c>
      <c r="I197" s="18">
        <f>SUMIFS(线上订单!$F:$F,线上订单!$B:$B,美团日报!$C197,线上订单!$D:$D,"饿了么")</f>
        <v>3</v>
      </c>
      <c r="J197" s="21">
        <f t="shared" si="19"/>
        <v>33.9793510324467</v>
      </c>
      <c r="K197" s="22" t="e">
        <f t="shared" si="20"/>
        <v>#REF!</v>
      </c>
      <c r="L197" s="19" t="e">
        <f>SUMIFS(#REF!,#REF!,美团日报!$C197,#REF!,"饿了么")</f>
        <v>#REF!</v>
      </c>
      <c r="M197" s="23"/>
      <c r="N197" s="23"/>
      <c r="O197" s="22" t="e">
        <f t="shared" si="21"/>
        <v>#REF!</v>
      </c>
      <c r="P197" s="19" t="e">
        <f>SUMIFS(#REF!,#REF!,美团日报!$C197,#REF!,"饿了么")</f>
        <v>#REF!</v>
      </c>
      <c r="Q197" s="23"/>
      <c r="R197" s="23"/>
      <c r="S197" s="22" t="e">
        <f t="shared" si="22"/>
        <v>#REF!</v>
      </c>
      <c r="T197" s="19" t="e">
        <f>SUMIFS(#REF!,#REF!,美团日报!$C197,#REF!,"饿了么")</f>
        <v>#REF!</v>
      </c>
      <c r="U197" s="22" t="e">
        <f t="shared" si="23"/>
        <v>#REF!</v>
      </c>
      <c r="V197" s="19" t="e">
        <f>SUMIFS(#REF!,#REF!,美团日报!$C197,#REF!,"饿了么")</f>
        <v>#REF!</v>
      </c>
      <c r="W197" s="24" t="s">
        <v>19</v>
      </c>
    </row>
    <row r="198" ht="14.4" spans="1:23">
      <c r="A198" s="16" t="s">
        <v>264</v>
      </c>
      <c r="B198" s="16" t="s">
        <v>304</v>
      </c>
      <c r="C198" s="16">
        <v>2223</v>
      </c>
      <c r="D198" s="16" t="s">
        <v>473</v>
      </c>
      <c r="E198" s="18">
        <f>_xlfn.IFNA(VLOOKUP(C:C,线上线下销售!B:D,3,0),0)</f>
        <v>2775.4281</v>
      </c>
      <c r="F198" s="18">
        <f>SUMIFS(线上订单!$E:$E,线上订单!$B:$B,美团日报!$C198,线上订单!$D:$D,"饿了么")</f>
        <v>0</v>
      </c>
      <c r="G198" s="19">
        <f t="shared" si="18"/>
        <v>0</v>
      </c>
      <c r="H198" s="18">
        <f>SUMIFS(线上订单!$F:$F,线上订单!$B:$B,美团日报!$C198,线上订单!$D:$D,"饿了么")</f>
        <v>0</v>
      </c>
      <c r="I198" s="18">
        <f>SUMIFS(线上订单!$F:$F,线上订单!$B:$B,美团日报!$C198,线上订单!$D:$D,"饿了么")</f>
        <v>0</v>
      </c>
      <c r="J198" s="21">
        <f t="shared" si="19"/>
        <v>0</v>
      </c>
      <c r="K198" s="22" t="e">
        <f t="shared" si="20"/>
        <v>#REF!</v>
      </c>
      <c r="L198" s="19" t="e">
        <f>SUMIFS(#REF!,#REF!,美团日报!$C198,#REF!,"饿了么")</f>
        <v>#REF!</v>
      </c>
      <c r="M198" s="23"/>
      <c r="N198" s="23"/>
      <c r="O198" s="22" t="e">
        <f t="shared" si="21"/>
        <v>#REF!</v>
      </c>
      <c r="P198" s="19" t="e">
        <f>SUMIFS(#REF!,#REF!,美团日报!$C198,#REF!,"饿了么")</f>
        <v>#REF!</v>
      </c>
      <c r="Q198" s="23"/>
      <c r="R198" s="23"/>
      <c r="S198" s="22" t="e">
        <f t="shared" si="22"/>
        <v>#REF!</v>
      </c>
      <c r="T198" s="19" t="e">
        <f>SUMIFS(#REF!,#REF!,美团日报!$C198,#REF!,"饿了么")</f>
        <v>#REF!</v>
      </c>
      <c r="U198" s="22" t="e">
        <f t="shared" si="23"/>
        <v>#REF!</v>
      </c>
      <c r="V198" s="19" t="e">
        <f>SUMIFS(#REF!,#REF!,美团日报!$C198,#REF!,"饿了么")</f>
        <v>#REF!</v>
      </c>
      <c r="W198" s="24" t="s">
        <v>19</v>
      </c>
    </row>
    <row r="199" ht="14.4" spans="1:23">
      <c r="A199" s="16" t="s">
        <v>264</v>
      </c>
      <c r="B199" s="16" t="s">
        <v>370</v>
      </c>
      <c r="C199" s="16">
        <v>2241</v>
      </c>
      <c r="D199" s="16" t="s">
        <v>475</v>
      </c>
      <c r="E199" s="18">
        <f>_xlfn.IFNA(VLOOKUP(C:C,线上线下销售!B:D,3,0),0)</f>
        <v>0</v>
      </c>
      <c r="F199" s="18">
        <f>SUMIFS(线上订单!$E:$E,线上订单!$B:$B,美团日报!$C199,线上订单!$D:$D,"饿了么")</f>
        <v>0</v>
      </c>
      <c r="G199" s="19">
        <f t="shared" si="18"/>
        <v>0</v>
      </c>
      <c r="H199" s="18">
        <f>SUMIFS(线上订单!$F:$F,线上订单!$B:$B,美团日报!$C199,线上订单!$D:$D,"饿了么")</f>
        <v>0</v>
      </c>
      <c r="I199" s="18">
        <f>SUMIFS(线上订单!$F:$F,线上订单!$B:$B,美团日报!$C199,线上订单!$D:$D,"饿了么")</f>
        <v>0</v>
      </c>
      <c r="J199" s="21">
        <f t="shared" si="19"/>
        <v>0</v>
      </c>
      <c r="K199" s="22" t="e">
        <f t="shared" si="20"/>
        <v>#REF!</v>
      </c>
      <c r="L199" s="19" t="e">
        <f>SUMIFS(#REF!,#REF!,美团日报!$C199,#REF!,"饿了么")</f>
        <v>#REF!</v>
      </c>
      <c r="M199" s="23"/>
      <c r="N199" s="23"/>
      <c r="O199" s="22" t="e">
        <f t="shared" si="21"/>
        <v>#REF!</v>
      </c>
      <c r="P199" s="19" t="e">
        <f>SUMIFS(#REF!,#REF!,美团日报!$C199,#REF!,"饿了么")</f>
        <v>#REF!</v>
      </c>
      <c r="Q199" s="23"/>
      <c r="R199" s="23"/>
      <c r="S199" s="22" t="e">
        <f t="shared" si="22"/>
        <v>#REF!</v>
      </c>
      <c r="T199" s="19" t="e">
        <f>SUMIFS(#REF!,#REF!,美团日报!$C199,#REF!,"饿了么")</f>
        <v>#REF!</v>
      </c>
      <c r="U199" s="22" t="e">
        <f t="shared" si="23"/>
        <v>#REF!</v>
      </c>
      <c r="V199" s="19" t="e">
        <f>SUMIFS(#REF!,#REF!,美团日报!$C199,#REF!,"饿了么")</f>
        <v>#REF!</v>
      </c>
      <c r="W199" s="24" t="s">
        <v>19</v>
      </c>
    </row>
    <row r="200" ht="14.4" spans="1:23">
      <c r="A200" s="16" t="s">
        <v>264</v>
      </c>
      <c r="B200" s="16" t="s">
        <v>370</v>
      </c>
      <c r="C200" s="16">
        <v>2244</v>
      </c>
      <c r="D200" s="16" t="s">
        <v>477</v>
      </c>
      <c r="E200" s="18">
        <f>_xlfn.IFNA(VLOOKUP(C:C,线上线下销售!B:D,3,0),0)</f>
        <v>13853.7463</v>
      </c>
      <c r="F200" s="18">
        <f>SUMIFS(线上订单!$E:$E,线上订单!$B:$B,美团日报!$C200,线上订单!$D:$D,"饿了么")</f>
        <v>0</v>
      </c>
      <c r="G200" s="19">
        <f t="shared" si="18"/>
        <v>0</v>
      </c>
      <c r="H200" s="18">
        <f>SUMIFS(线上订单!$F:$F,线上订单!$B:$B,美团日报!$C200,线上订单!$D:$D,"饿了么")</f>
        <v>0</v>
      </c>
      <c r="I200" s="18">
        <f>SUMIFS(线上订单!$F:$F,线上订单!$B:$B,美团日报!$C200,线上订单!$D:$D,"饿了么")</f>
        <v>0</v>
      </c>
      <c r="J200" s="21">
        <f t="shared" si="19"/>
        <v>0</v>
      </c>
      <c r="K200" s="22" t="e">
        <f t="shared" si="20"/>
        <v>#REF!</v>
      </c>
      <c r="L200" s="19" t="e">
        <f>SUMIFS(#REF!,#REF!,美团日报!$C200,#REF!,"饿了么")</f>
        <v>#REF!</v>
      </c>
      <c r="M200" s="23"/>
      <c r="N200" s="23"/>
      <c r="O200" s="22" t="e">
        <f t="shared" si="21"/>
        <v>#REF!</v>
      </c>
      <c r="P200" s="19" t="e">
        <f>SUMIFS(#REF!,#REF!,美团日报!$C200,#REF!,"饿了么")</f>
        <v>#REF!</v>
      </c>
      <c r="Q200" s="23"/>
      <c r="R200" s="23"/>
      <c r="S200" s="22" t="e">
        <f t="shared" si="22"/>
        <v>#REF!</v>
      </c>
      <c r="T200" s="19" t="e">
        <f>SUMIFS(#REF!,#REF!,美团日报!$C200,#REF!,"饿了么")</f>
        <v>#REF!</v>
      </c>
      <c r="U200" s="22" t="e">
        <f t="shared" si="23"/>
        <v>#REF!</v>
      </c>
      <c r="V200" s="19" t="e">
        <f>SUMIFS(#REF!,#REF!,美团日报!$C200,#REF!,"饿了么")</f>
        <v>#REF!</v>
      </c>
      <c r="W200" s="24" t="s">
        <v>19</v>
      </c>
    </row>
    <row r="201" ht="14.4" spans="1:23">
      <c r="A201" s="16" t="s">
        <v>264</v>
      </c>
      <c r="B201" s="16" t="s">
        <v>576</v>
      </c>
      <c r="C201" s="16">
        <v>2278</v>
      </c>
      <c r="D201" s="16" t="s">
        <v>479</v>
      </c>
      <c r="E201" s="18">
        <f>_xlfn.IFNA(VLOOKUP(C:C,线上线下销售!B:D,3,0),0)</f>
        <v>9721.1621</v>
      </c>
      <c r="F201" s="18">
        <f>SUMIFS(线上订单!$E:$E,线上订单!$B:$B,美团日报!$C201,线上订单!$D:$D,"饿了么")</f>
        <v>0</v>
      </c>
      <c r="G201" s="19">
        <f t="shared" si="18"/>
        <v>0</v>
      </c>
      <c r="H201" s="18">
        <f>SUMIFS(线上订单!$F:$F,线上订单!$B:$B,美团日报!$C201,线上订单!$D:$D,"饿了么")</f>
        <v>0</v>
      </c>
      <c r="I201" s="18">
        <f>SUMIFS(线上订单!$F:$F,线上订单!$B:$B,美团日报!$C201,线上订单!$D:$D,"饿了么")</f>
        <v>0</v>
      </c>
      <c r="J201" s="21">
        <f t="shared" si="19"/>
        <v>0</v>
      </c>
      <c r="K201" s="22" t="e">
        <f t="shared" si="20"/>
        <v>#REF!</v>
      </c>
      <c r="L201" s="19" t="e">
        <f>SUMIFS(#REF!,#REF!,美团日报!$C201,#REF!,"饿了么")</f>
        <v>#REF!</v>
      </c>
      <c r="M201" s="23"/>
      <c r="N201" s="23"/>
      <c r="O201" s="22" t="e">
        <f t="shared" si="21"/>
        <v>#REF!</v>
      </c>
      <c r="P201" s="19" t="e">
        <f>SUMIFS(#REF!,#REF!,美团日报!$C201,#REF!,"饿了么")</f>
        <v>#REF!</v>
      </c>
      <c r="Q201" s="23"/>
      <c r="R201" s="23"/>
      <c r="S201" s="22" t="e">
        <f t="shared" si="22"/>
        <v>#REF!</v>
      </c>
      <c r="T201" s="19" t="e">
        <f>SUMIFS(#REF!,#REF!,美团日报!$C201,#REF!,"饿了么")</f>
        <v>#REF!</v>
      </c>
      <c r="U201" s="22" t="e">
        <f t="shared" si="23"/>
        <v>#REF!</v>
      </c>
      <c r="V201" s="19" t="e">
        <f>SUMIFS(#REF!,#REF!,美团日报!$C201,#REF!,"饿了么")</f>
        <v>#REF!</v>
      </c>
      <c r="W201" s="24" t="s">
        <v>19</v>
      </c>
    </row>
    <row r="202" ht="14.4" spans="1:23">
      <c r="A202" s="16" t="s">
        <v>48</v>
      </c>
      <c r="B202" s="16" t="s">
        <v>89</v>
      </c>
      <c r="C202" s="16">
        <v>8747</v>
      </c>
      <c r="D202" s="16" t="s">
        <v>481</v>
      </c>
      <c r="E202" s="18">
        <f>_xlfn.IFNA(VLOOKUP(C:C,线上线下销售!B:D,3,0),0)</f>
        <v>12010.6812</v>
      </c>
      <c r="F202" s="18">
        <f>SUMIFS(线上订单!$E:$E,线上订单!$B:$B,美团日报!$C202,线上订单!$D:$D,"饿了么")</f>
        <v>249.86283185841</v>
      </c>
      <c r="G202" s="19">
        <f t="shared" si="18"/>
        <v>0.0208033855613793</v>
      </c>
      <c r="H202" s="18">
        <f>SUMIFS(线上订单!$F:$F,线上订单!$B:$B,美团日报!$C202,线上订单!$D:$D,"饿了么")</f>
        <v>7</v>
      </c>
      <c r="I202" s="18">
        <f>SUMIFS(线上订单!$F:$F,线上订单!$B:$B,美团日报!$C202,线上订单!$D:$D,"饿了么")</f>
        <v>7</v>
      </c>
      <c r="J202" s="21">
        <f t="shared" si="19"/>
        <v>35.6946902654871</v>
      </c>
      <c r="K202" s="22" t="e">
        <f t="shared" si="20"/>
        <v>#REF!</v>
      </c>
      <c r="L202" s="19" t="e">
        <f>SUMIFS(#REF!,#REF!,美团日报!$C202,#REF!,"饿了么")</f>
        <v>#REF!</v>
      </c>
      <c r="M202" s="23"/>
      <c r="N202" s="23"/>
      <c r="O202" s="22" t="e">
        <f t="shared" si="21"/>
        <v>#REF!</v>
      </c>
      <c r="P202" s="19" t="e">
        <f>SUMIFS(#REF!,#REF!,美团日报!$C202,#REF!,"饿了么")</f>
        <v>#REF!</v>
      </c>
      <c r="Q202" s="23"/>
      <c r="R202" s="23"/>
      <c r="S202" s="22" t="e">
        <f t="shared" si="22"/>
        <v>#REF!</v>
      </c>
      <c r="T202" s="19" t="e">
        <f>SUMIFS(#REF!,#REF!,美团日报!$C202,#REF!,"饿了么")</f>
        <v>#REF!</v>
      </c>
      <c r="U202" s="22" t="e">
        <f t="shared" si="23"/>
        <v>#REF!</v>
      </c>
      <c r="V202" s="19" t="e">
        <f>SUMIFS(#REF!,#REF!,美团日报!$C202,#REF!,"饿了么")</f>
        <v>#REF!</v>
      </c>
      <c r="W202" s="24" t="s">
        <v>13</v>
      </c>
    </row>
    <row r="203" ht="14.4" spans="1:23">
      <c r="A203" s="16" t="s">
        <v>43</v>
      </c>
      <c r="B203" s="16" t="s">
        <v>143</v>
      </c>
      <c r="C203" s="16">
        <v>8749</v>
      </c>
      <c r="D203" s="16" t="s">
        <v>483</v>
      </c>
      <c r="E203" s="18">
        <f>_xlfn.IFNA(VLOOKUP(C:C,线上线下销售!B:D,3,0),0)</f>
        <v>2141.2804</v>
      </c>
      <c r="F203" s="18">
        <f>SUMIFS(线上订单!$E:$E,线上订单!$B:$B,美团日报!$C203,线上订单!$D:$D,"饿了么")</f>
        <v>51.67256637169</v>
      </c>
      <c r="G203" s="19">
        <f t="shared" si="18"/>
        <v>0.0241316206750363</v>
      </c>
      <c r="H203" s="18">
        <f>SUMIFS(线上订单!$F:$F,线上订单!$B:$B,美团日报!$C203,线上订单!$D:$D,"饿了么")</f>
        <v>2</v>
      </c>
      <c r="I203" s="18">
        <f>SUMIFS(线上订单!$F:$F,线上订单!$B:$B,美团日报!$C203,线上订单!$D:$D,"饿了么")</f>
        <v>2</v>
      </c>
      <c r="J203" s="21">
        <f t="shared" si="19"/>
        <v>25.836283185845</v>
      </c>
      <c r="K203" s="22" t="e">
        <f t="shared" si="20"/>
        <v>#REF!</v>
      </c>
      <c r="L203" s="19" t="e">
        <f>SUMIFS(#REF!,#REF!,美团日报!$C203,#REF!,"饿了么")</f>
        <v>#REF!</v>
      </c>
      <c r="M203" s="23"/>
      <c r="N203" s="23"/>
      <c r="O203" s="22" t="e">
        <f t="shared" si="21"/>
        <v>#REF!</v>
      </c>
      <c r="P203" s="19" t="e">
        <f>SUMIFS(#REF!,#REF!,美团日报!$C203,#REF!,"饿了么")</f>
        <v>#REF!</v>
      </c>
      <c r="Q203" s="23"/>
      <c r="R203" s="23"/>
      <c r="S203" s="22" t="e">
        <f t="shared" si="22"/>
        <v>#REF!</v>
      </c>
      <c r="T203" s="19" t="e">
        <f>SUMIFS(#REF!,#REF!,美团日报!$C203,#REF!,"饿了么")</f>
        <v>#REF!</v>
      </c>
      <c r="U203" s="22" t="e">
        <f t="shared" si="23"/>
        <v>#REF!</v>
      </c>
      <c r="V203" s="19" t="e">
        <f>SUMIFS(#REF!,#REF!,美团日报!$C203,#REF!,"饿了么")</f>
        <v>#REF!</v>
      </c>
      <c r="W203" s="24" t="s">
        <v>13</v>
      </c>
    </row>
    <row r="204" ht="14.4" spans="1:23">
      <c r="A204" s="16" t="s">
        <v>48</v>
      </c>
      <c r="B204" s="16" t="s">
        <v>49</v>
      </c>
      <c r="C204" s="16">
        <v>8748</v>
      </c>
      <c r="D204" s="16" t="s">
        <v>485</v>
      </c>
      <c r="E204" s="18">
        <f>_xlfn.IFNA(VLOOKUP(C:C,线上线下销售!B:D,3,0),0)</f>
        <v>7281.8675</v>
      </c>
      <c r="F204" s="18">
        <f>SUMIFS(线上订单!$E:$E,线上订单!$B:$B,美团日报!$C204,线上订单!$D:$D,"饿了么")</f>
        <v>515.51327433625</v>
      </c>
      <c r="G204" s="19">
        <f t="shared" si="18"/>
        <v>0.0707941025205759</v>
      </c>
      <c r="H204" s="18">
        <f>SUMIFS(线上订单!$F:$F,线上订单!$B:$B,美团日报!$C204,线上订单!$D:$D,"饿了么")</f>
        <v>13</v>
      </c>
      <c r="I204" s="18">
        <f>SUMIFS(线上订单!$F:$F,线上订单!$B:$B,美团日报!$C204,线上订单!$D:$D,"饿了么")</f>
        <v>13</v>
      </c>
      <c r="J204" s="21">
        <f t="shared" si="19"/>
        <v>39.6548672566346</v>
      </c>
      <c r="K204" s="22" t="e">
        <f t="shared" si="20"/>
        <v>#REF!</v>
      </c>
      <c r="L204" s="19" t="e">
        <f>SUMIFS(#REF!,#REF!,美团日报!$C204,#REF!,"饿了么")</f>
        <v>#REF!</v>
      </c>
      <c r="M204" s="23"/>
      <c r="N204" s="23"/>
      <c r="O204" s="22" t="e">
        <f t="shared" si="21"/>
        <v>#REF!</v>
      </c>
      <c r="P204" s="19" t="e">
        <f>SUMIFS(#REF!,#REF!,美团日报!$C204,#REF!,"饿了么")</f>
        <v>#REF!</v>
      </c>
      <c r="Q204" s="23"/>
      <c r="R204" s="23"/>
      <c r="S204" s="22" t="e">
        <f t="shared" si="22"/>
        <v>#REF!</v>
      </c>
      <c r="T204" s="19" t="e">
        <f>SUMIFS(#REF!,#REF!,美团日报!$C204,#REF!,"饿了么")</f>
        <v>#REF!</v>
      </c>
      <c r="U204" s="22" t="e">
        <f t="shared" si="23"/>
        <v>#REF!</v>
      </c>
      <c r="V204" s="19" t="e">
        <f>SUMIFS(#REF!,#REF!,美团日报!$C204,#REF!,"饿了么")</f>
        <v>#REF!</v>
      </c>
      <c r="W204" s="24" t="s">
        <v>13</v>
      </c>
    </row>
    <row r="205" ht="14.4" spans="1:23">
      <c r="A205" s="16" t="s">
        <v>264</v>
      </c>
      <c r="B205" s="16" t="s">
        <v>304</v>
      </c>
      <c r="C205" s="16">
        <v>8753</v>
      </c>
      <c r="D205" s="16" t="s">
        <v>487</v>
      </c>
      <c r="E205" s="18">
        <f>_xlfn.IFNA(VLOOKUP(C:C,线上线下销售!B:D,3,0),0)</f>
        <v>5915.681</v>
      </c>
      <c r="F205" s="18">
        <f>SUMIFS(线上订单!$E:$E,线上订单!$B:$B,美团日报!$C205,线上订单!$D:$D,"饿了么")</f>
        <v>0</v>
      </c>
      <c r="G205" s="19">
        <f t="shared" si="18"/>
        <v>0</v>
      </c>
      <c r="H205" s="18">
        <f>SUMIFS(线上订单!$F:$F,线上订单!$B:$B,美团日报!$C205,线上订单!$D:$D,"饿了么")</f>
        <v>0</v>
      </c>
      <c r="I205" s="18">
        <f>SUMIFS(线上订单!$F:$F,线上订单!$B:$B,美团日报!$C205,线上订单!$D:$D,"饿了么")</f>
        <v>0</v>
      </c>
      <c r="J205" s="21">
        <f t="shared" si="19"/>
        <v>0</v>
      </c>
      <c r="K205" s="22" t="e">
        <f t="shared" si="20"/>
        <v>#REF!</v>
      </c>
      <c r="L205" s="19" t="e">
        <f>SUMIFS(#REF!,#REF!,美团日报!$C205,#REF!,"饿了么")</f>
        <v>#REF!</v>
      </c>
      <c r="M205" s="23"/>
      <c r="N205" s="23"/>
      <c r="O205" s="22" t="e">
        <f t="shared" si="21"/>
        <v>#REF!</v>
      </c>
      <c r="P205" s="19" t="e">
        <f>SUMIFS(#REF!,#REF!,美团日报!$C205,#REF!,"饿了么")</f>
        <v>#REF!</v>
      </c>
      <c r="Q205" s="23"/>
      <c r="R205" s="23"/>
      <c r="S205" s="22" t="e">
        <f t="shared" si="22"/>
        <v>#REF!</v>
      </c>
      <c r="T205" s="19" t="e">
        <f>SUMIFS(#REF!,#REF!,美团日报!$C205,#REF!,"饿了么")</f>
        <v>#REF!</v>
      </c>
      <c r="U205" s="22" t="e">
        <f t="shared" si="23"/>
        <v>#REF!</v>
      </c>
      <c r="V205" s="19" t="e">
        <f>SUMIFS(#REF!,#REF!,美团日报!$C205,#REF!,"饿了么")</f>
        <v>#REF!</v>
      </c>
      <c r="W205" s="24" t="s">
        <v>13</v>
      </c>
    </row>
    <row r="206" ht="14.4" spans="1:23">
      <c r="A206" s="16" t="s">
        <v>43</v>
      </c>
      <c r="B206" s="16" t="s">
        <v>161</v>
      </c>
      <c r="C206" s="16">
        <v>8755</v>
      </c>
      <c r="D206" s="16" t="s">
        <v>489</v>
      </c>
      <c r="E206" s="18">
        <f>_xlfn.IFNA(VLOOKUP(C:C,线上线下销售!B:D,3,0),0)</f>
        <v>17865.9022</v>
      </c>
      <c r="F206" s="18">
        <f>SUMIFS(线上订单!$E:$E,线上订单!$B:$B,美团日报!$C206,线上订单!$D:$D,"饿了么")</f>
        <v>370.51879516114</v>
      </c>
      <c r="G206" s="19">
        <f t="shared" si="18"/>
        <v>0.0207388796274246</v>
      </c>
      <c r="H206" s="18">
        <f>SUMIFS(线上订单!$F:$F,线上订单!$B:$B,美团日报!$C206,线上订单!$D:$D,"饿了么")</f>
        <v>11</v>
      </c>
      <c r="I206" s="18">
        <f>SUMIFS(线上订单!$F:$F,线上订单!$B:$B,美团日报!$C206,线上订单!$D:$D,"饿了么")</f>
        <v>11</v>
      </c>
      <c r="J206" s="21">
        <f t="shared" si="19"/>
        <v>33.6835268328309</v>
      </c>
      <c r="K206" s="22" t="e">
        <f t="shared" si="20"/>
        <v>#REF!</v>
      </c>
      <c r="L206" s="19" t="e">
        <f>SUMIFS(#REF!,#REF!,美团日报!$C206,#REF!,"饿了么")</f>
        <v>#REF!</v>
      </c>
      <c r="M206" s="23"/>
      <c r="N206" s="23"/>
      <c r="O206" s="22" t="e">
        <f t="shared" si="21"/>
        <v>#REF!</v>
      </c>
      <c r="P206" s="19" t="e">
        <f>SUMIFS(#REF!,#REF!,美团日报!$C206,#REF!,"饿了么")</f>
        <v>#REF!</v>
      </c>
      <c r="Q206" s="23"/>
      <c r="R206" s="23"/>
      <c r="S206" s="22" t="e">
        <f t="shared" si="22"/>
        <v>#REF!</v>
      </c>
      <c r="T206" s="19" t="e">
        <f>SUMIFS(#REF!,#REF!,美团日报!$C206,#REF!,"饿了么")</f>
        <v>#REF!</v>
      </c>
      <c r="U206" s="22" t="e">
        <f t="shared" si="23"/>
        <v>#REF!</v>
      </c>
      <c r="V206" s="19" t="e">
        <f>SUMIFS(#REF!,#REF!,美团日报!$C206,#REF!,"饿了么")</f>
        <v>#REF!</v>
      </c>
      <c r="W206" s="24" t="s">
        <v>13</v>
      </c>
    </row>
    <row r="207" ht="14.4" spans="1:23">
      <c r="A207" s="16" t="s">
        <v>63</v>
      </c>
      <c r="B207" s="16" t="s">
        <v>60</v>
      </c>
      <c r="C207" s="16">
        <v>8750</v>
      </c>
      <c r="D207" s="16" t="s">
        <v>491</v>
      </c>
      <c r="E207" s="18">
        <f>_xlfn.IFNA(VLOOKUP(C:C,线上线下销售!B:D,3,0),0)</f>
        <v>7242.8559</v>
      </c>
      <c r="F207" s="18">
        <f>SUMIFS(线上订单!$E:$E,线上订单!$B:$B,美团日报!$C207,线上订单!$D:$D,"饿了么")</f>
        <v>1098.80230575623</v>
      </c>
      <c r="G207" s="19">
        <f t="shared" si="18"/>
        <v>0.151708431166804</v>
      </c>
      <c r="H207" s="18">
        <f>SUMIFS(线上订单!$F:$F,线上订单!$B:$B,美团日报!$C207,线上订单!$D:$D,"饿了么")</f>
        <v>27</v>
      </c>
      <c r="I207" s="18">
        <f>SUMIFS(线上订单!$F:$F,线上订单!$B:$B,美团日报!$C207,线上订单!$D:$D,"饿了么")</f>
        <v>27</v>
      </c>
      <c r="J207" s="21">
        <f t="shared" si="19"/>
        <v>40.6963816946752</v>
      </c>
      <c r="K207" s="22" t="e">
        <f t="shared" si="20"/>
        <v>#REF!</v>
      </c>
      <c r="L207" s="19" t="e">
        <f>SUMIFS(#REF!,#REF!,美团日报!$C207,#REF!,"饿了么")</f>
        <v>#REF!</v>
      </c>
      <c r="M207" s="23"/>
      <c r="N207" s="23"/>
      <c r="O207" s="22" t="e">
        <f t="shared" si="21"/>
        <v>#REF!</v>
      </c>
      <c r="P207" s="19" t="e">
        <f>SUMIFS(#REF!,#REF!,美团日报!$C207,#REF!,"饿了么")</f>
        <v>#REF!</v>
      </c>
      <c r="Q207" s="23"/>
      <c r="R207" s="23"/>
      <c r="S207" s="22" t="e">
        <f t="shared" si="22"/>
        <v>#REF!</v>
      </c>
      <c r="T207" s="19" t="e">
        <f>SUMIFS(#REF!,#REF!,美团日报!$C207,#REF!,"饿了么")</f>
        <v>#REF!</v>
      </c>
      <c r="U207" s="22" t="e">
        <f t="shared" si="23"/>
        <v>#REF!</v>
      </c>
      <c r="V207" s="19" t="e">
        <f>SUMIFS(#REF!,#REF!,美团日报!$C207,#REF!,"饿了么")</f>
        <v>#REF!</v>
      </c>
      <c r="W207" s="24" t="s">
        <v>13</v>
      </c>
    </row>
    <row r="208" ht="14.4" spans="1:23">
      <c r="A208" s="16" t="s">
        <v>56</v>
      </c>
      <c r="B208" s="16" t="s">
        <v>70</v>
      </c>
      <c r="C208" s="16">
        <v>8744</v>
      </c>
      <c r="D208" s="16" t="s">
        <v>493</v>
      </c>
      <c r="E208" s="18">
        <f>_xlfn.IFNA(VLOOKUP(C:C,线上线下销售!B:D,3,0),0)</f>
        <v>5621.8587</v>
      </c>
      <c r="F208" s="18">
        <f>SUMIFS(线上订单!$E:$E,线上订单!$B:$B,美团日报!$C208,线上订单!$D:$D,"饿了么")</f>
        <v>1153.26161402939</v>
      </c>
      <c r="G208" s="19">
        <f t="shared" si="18"/>
        <v>0.205138847411691</v>
      </c>
      <c r="H208" s="18">
        <f>SUMIFS(线上订单!$F:$F,线上订单!$B:$B,美团日报!$C208,线上订单!$D:$D,"饿了么")</f>
        <v>36</v>
      </c>
      <c r="I208" s="18">
        <f>SUMIFS(线上订单!$F:$F,线上订单!$B:$B,美团日报!$C208,线上订单!$D:$D,"饿了么")</f>
        <v>36</v>
      </c>
      <c r="J208" s="21">
        <f t="shared" si="19"/>
        <v>32.0350448341497</v>
      </c>
      <c r="K208" s="22" t="e">
        <f t="shared" si="20"/>
        <v>#REF!</v>
      </c>
      <c r="L208" s="19" t="e">
        <f>SUMIFS(#REF!,#REF!,美团日报!$C208,#REF!,"饿了么")</f>
        <v>#REF!</v>
      </c>
      <c r="M208" s="23"/>
      <c r="N208" s="23"/>
      <c r="O208" s="22" t="e">
        <f t="shared" si="21"/>
        <v>#REF!</v>
      </c>
      <c r="P208" s="19" t="e">
        <f>SUMIFS(#REF!,#REF!,美团日报!$C208,#REF!,"饿了么")</f>
        <v>#REF!</v>
      </c>
      <c r="Q208" s="23"/>
      <c r="R208" s="23"/>
      <c r="S208" s="22" t="e">
        <f t="shared" si="22"/>
        <v>#REF!</v>
      </c>
      <c r="T208" s="19" t="e">
        <f>SUMIFS(#REF!,#REF!,美团日报!$C208,#REF!,"饿了么")</f>
        <v>#REF!</v>
      </c>
      <c r="U208" s="22" t="e">
        <f t="shared" si="23"/>
        <v>#REF!</v>
      </c>
      <c r="V208" s="19" t="e">
        <f>SUMIFS(#REF!,#REF!,美团日报!$C208,#REF!,"饿了么")</f>
        <v>#REF!</v>
      </c>
      <c r="W208" s="24" t="s">
        <v>13</v>
      </c>
    </row>
    <row r="209" ht="14.4" spans="1:23">
      <c r="A209" s="16" t="s">
        <v>43</v>
      </c>
      <c r="B209" s="16" t="s">
        <v>131</v>
      </c>
      <c r="C209" s="16">
        <v>8751</v>
      </c>
      <c r="D209" s="16" t="s">
        <v>495</v>
      </c>
      <c r="E209" s="18">
        <f>_xlfn.IFNA(VLOOKUP(C:C,线上线下销售!B:D,3,0),0)</f>
        <v>7464.214</v>
      </c>
      <c r="F209" s="18">
        <f>SUMIFS(线上订单!$E:$E,线上订单!$B:$B,美团日报!$C209,线上订单!$D:$D,"饿了么")</f>
        <v>571.50807826579</v>
      </c>
      <c r="G209" s="19">
        <f t="shared" si="18"/>
        <v>0.076566411180841</v>
      </c>
      <c r="H209" s="18">
        <f>SUMIFS(线上订单!$F:$F,线上订单!$B:$B,美团日报!$C209,线上订单!$D:$D,"饿了么")</f>
        <v>17</v>
      </c>
      <c r="I209" s="18">
        <f>SUMIFS(线上订单!$F:$F,线上订单!$B:$B,美团日报!$C209,线上订单!$D:$D,"饿了么")</f>
        <v>17</v>
      </c>
      <c r="J209" s="21">
        <f t="shared" si="19"/>
        <v>33.6181222509288</v>
      </c>
      <c r="K209" s="22" t="e">
        <f t="shared" si="20"/>
        <v>#REF!</v>
      </c>
      <c r="L209" s="19" t="e">
        <f>SUMIFS(#REF!,#REF!,美团日报!$C209,#REF!,"饿了么")</f>
        <v>#REF!</v>
      </c>
      <c r="M209" s="23"/>
      <c r="N209" s="23"/>
      <c r="O209" s="22" t="e">
        <f t="shared" si="21"/>
        <v>#REF!</v>
      </c>
      <c r="P209" s="19" t="e">
        <f>SUMIFS(#REF!,#REF!,美团日报!$C209,#REF!,"饿了么")</f>
        <v>#REF!</v>
      </c>
      <c r="Q209" s="23"/>
      <c r="R209" s="23"/>
      <c r="S209" s="22" t="e">
        <f t="shared" si="22"/>
        <v>#REF!</v>
      </c>
      <c r="T209" s="19" t="e">
        <f>SUMIFS(#REF!,#REF!,美团日报!$C209,#REF!,"饿了么")</f>
        <v>#REF!</v>
      </c>
      <c r="U209" s="22" t="e">
        <f t="shared" si="23"/>
        <v>#REF!</v>
      </c>
      <c r="V209" s="19" t="e">
        <f>SUMIFS(#REF!,#REF!,美团日报!$C209,#REF!,"饿了么")</f>
        <v>#REF!</v>
      </c>
      <c r="W209" s="24" t="s">
        <v>13</v>
      </c>
    </row>
    <row r="210" ht="14.4" spans="1:23">
      <c r="A210" s="16" t="s">
        <v>48</v>
      </c>
      <c r="B210" s="16" t="s">
        <v>89</v>
      </c>
      <c r="C210" s="16">
        <v>8754</v>
      </c>
      <c r="D210" s="16" t="s">
        <v>497</v>
      </c>
      <c r="E210" s="18">
        <f>_xlfn.IFNA(VLOOKUP(C:C,线上线下销售!B:D,3,0),0)</f>
        <v>8707.4412</v>
      </c>
      <c r="F210" s="18">
        <f>SUMIFS(线上订单!$E:$E,线上订单!$B:$B,美团日报!$C210,线上订单!$D:$D,"饿了么")</f>
        <v>129.36283185841</v>
      </c>
      <c r="G210" s="19">
        <f t="shared" si="18"/>
        <v>0.0148565840281999</v>
      </c>
      <c r="H210" s="18">
        <f>SUMIFS(线上订单!$F:$F,线上订单!$B:$B,美团日报!$C210,线上订单!$D:$D,"饿了么")</f>
        <v>3</v>
      </c>
      <c r="I210" s="18">
        <f>SUMIFS(线上订单!$F:$F,线上订单!$B:$B,美团日报!$C210,线上订单!$D:$D,"饿了么")</f>
        <v>3</v>
      </c>
      <c r="J210" s="21">
        <f t="shared" si="19"/>
        <v>43.1209439528033</v>
      </c>
      <c r="K210" s="22" t="e">
        <f t="shared" si="20"/>
        <v>#REF!</v>
      </c>
      <c r="L210" s="19" t="e">
        <f>SUMIFS(#REF!,#REF!,美团日报!$C210,#REF!,"饿了么")</f>
        <v>#REF!</v>
      </c>
      <c r="M210" s="23"/>
      <c r="N210" s="23"/>
      <c r="O210" s="22" t="e">
        <f t="shared" si="21"/>
        <v>#REF!</v>
      </c>
      <c r="P210" s="19" t="e">
        <f>SUMIFS(#REF!,#REF!,美团日报!$C210,#REF!,"饿了么")</f>
        <v>#REF!</v>
      </c>
      <c r="Q210" s="23"/>
      <c r="R210" s="23"/>
      <c r="S210" s="22" t="e">
        <f t="shared" si="22"/>
        <v>#REF!</v>
      </c>
      <c r="T210" s="19" t="e">
        <f>SUMIFS(#REF!,#REF!,美团日报!$C210,#REF!,"饿了么")</f>
        <v>#REF!</v>
      </c>
      <c r="U210" s="22" t="e">
        <f t="shared" si="23"/>
        <v>#REF!</v>
      </c>
      <c r="V210" s="19" t="e">
        <f>SUMIFS(#REF!,#REF!,美团日报!$C210,#REF!,"饿了么")</f>
        <v>#REF!</v>
      </c>
      <c r="W210" s="24" t="s">
        <v>13</v>
      </c>
    </row>
    <row r="211" ht="14.4" spans="1:23">
      <c r="A211" s="16" t="s">
        <v>63</v>
      </c>
      <c r="B211" s="16" t="s">
        <v>60</v>
      </c>
      <c r="C211" s="16">
        <v>8756</v>
      </c>
      <c r="D211" s="16" t="s">
        <v>499</v>
      </c>
      <c r="E211" s="18">
        <f>_xlfn.IFNA(VLOOKUP(C:C,线上线下销售!B:D,3,0),0)</f>
        <v>7614.8041</v>
      </c>
      <c r="F211" s="18">
        <f>SUMIFS(线上订单!$E:$E,线上订单!$B:$B,美团日报!$C211,线上订单!$D:$D,"饿了么")</f>
        <v>886.15718113178</v>
      </c>
      <c r="G211" s="19">
        <f t="shared" si="18"/>
        <v>0.116372945317369</v>
      </c>
      <c r="H211" s="18">
        <f>SUMIFS(线上订单!$F:$F,线上订单!$B:$B,美团日报!$C211,线上订单!$D:$D,"饿了么")</f>
        <v>23</v>
      </c>
      <c r="I211" s="18">
        <f>SUMIFS(线上订单!$F:$F,线上订单!$B:$B,美团日报!$C211,线上订单!$D:$D,"饿了么")</f>
        <v>23</v>
      </c>
      <c r="J211" s="21">
        <f t="shared" si="19"/>
        <v>38.5285730926861</v>
      </c>
      <c r="K211" s="22" t="e">
        <f t="shared" si="20"/>
        <v>#REF!</v>
      </c>
      <c r="L211" s="19" t="e">
        <f>SUMIFS(#REF!,#REF!,美团日报!$C211,#REF!,"饿了么")</f>
        <v>#REF!</v>
      </c>
      <c r="M211" s="23"/>
      <c r="N211" s="23"/>
      <c r="O211" s="22" t="e">
        <f t="shared" si="21"/>
        <v>#REF!</v>
      </c>
      <c r="P211" s="19" t="e">
        <f>SUMIFS(#REF!,#REF!,美团日报!$C211,#REF!,"饿了么")</f>
        <v>#REF!</v>
      </c>
      <c r="Q211" s="23"/>
      <c r="R211" s="23"/>
      <c r="S211" s="22" t="e">
        <f t="shared" si="22"/>
        <v>#REF!</v>
      </c>
      <c r="T211" s="19" t="e">
        <f>SUMIFS(#REF!,#REF!,美团日报!$C211,#REF!,"饿了么")</f>
        <v>#REF!</v>
      </c>
      <c r="U211" s="22" t="e">
        <f t="shared" si="23"/>
        <v>#REF!</v>
      </c>
      <c r="V211" s="19" t="e">
        <f>SUMIFS(#REF!,#REF!,美团日报!$C211,#REF!,"饿了么")</f>
        <v>#REF!</v>
      </c>
      <c r="W211" s="24" t="s">
        <v>13</v>
      </c>
    </row>
    <row r="212" ht="14.4" spans="1:23">
      <c r="A212" s="16" t="s">
        <v>264</v>
      </c>
      <c r="B212" s="16" t="s">
        <v>359</v>
      </c>
      <c r="C212" s="16">
        <v>8758</v>
      </c>
      <c r="D212" s="16" t="s">
        <v>501</v>
      </c>
      <c r="E212" s="18">
        <f>_xlfn.IFNA(VLOOKUP(C:C,线上线下销售!B:D,3,0),0)</f>
        <v>855.3635</v>
      </c>
      <c r="F212" s="18">
        <f>SUMIFS(线上订单!$E:$E,线上订单!$B:$B,美团日报!$C212,线上订单!$D:$D,"饿了么")</f>
        <v>0</v>
      </c>
      <c r="G212" s="19">
        <f t="shared" si="18"/>
        <v>0</v>
      </c>
      <c r="H212" s="18">
        <f>SUMIFS(线上订单!$F:$F,线上订单!$B:$B,美团日报!$C212,线上订单!$D:$D,"饿了么")</f>
        <v>0</v>
      </c>
      <c r="I212" s="18">
        <f>SUMIFS(线上订单!$F:$F,线上订单!$B:$B,美团日报!$C212,线上订单!$D:$D,"饿了么")</f>
        <v>0</v>
      </c>
      <c r="J212" s="21">
        <f t="shared" si="19"/>
        <v>0</v>
      </c>
      <c r="K212" s="22" t="e">
        <f t="shared" si="20"/>
        <v>#REF!</v>
      </c>
      <c r="L212" s="19" t="e">
        <f>SUMIFS(#REF!,#REF!,美团日报!$C212,#REF!,"饿了么")</f>
        <v>#REF!</v>
      </c>
      <c r="M212" s="23"/>
      <c r="N212" s="23"/>
      <c r="O212" s="22" t="e">
        <f t="shared" si="21"/>
        <v>#REF!</v>
      </c>
      <c r="P212" s="19" t="e">
        <f>SUMIFS(#REF!,#REF!,美团日报!$C212,#REF!,"饿了么")</f>
        <v>#REF!</v>
      </c>
      <c r="Q212" s="23"/>
      <c r="R212" s="23"/>
      <c r="S212" s="22" t="e">
        <f t="shared" si="22"/>
        <v>#REF!</v>
      </c>
      <c r="T212" s="19" t="e">
        <f>SUMIFS(#REF!,#REF!,美团日报!$C212,#REF!,"饿了么")</f>
        <v>#REF!</v>
      </c>
      <c r="U212" s="22" t="e">
        <f t="shared" si="23"/>
        <v>#REF!</v>
      </c>
      <c r="V212" s="19" t="e">
        <f>SUMIFS(#REF!,#REF!,美团日报!$C212,#REF!,"饿了么")</f>
        <v>#REF!</v>
      </c>
      <c r="W212" s="24" t="s">
        <v>13</v>
      </c>
    </row>
    <row r="213" ht="14.4" spans="1:23">
      <c r="A213" s="16" t="s">
        <v>264</v>
      </c>
      <c r="B213" s="16" t="s">
        <v>261</v>
      </c>
      <c r="C213" s="16">
        <v>8759</v>
      </c>
      <c r="D213" s="16" t="s">
        <v>503</v>
      </c>
      <c r="E213" s="18">
        <f>_xlfn.IFNA(VLOOKUP(C:C,线上线下销售!B:D,3,0),0)</f>
        <v>120.7078</v>
      </c>
      <c r="F213" s="18">
        <f>SUMIFS(线上订单!$E:$E,线上订单!$B:$B,美团日报!$C213,线上订单!$D:$D,"饿了么")</f>
        <v>0</v>
      </c>
      <c r="G213" s="19">
        <f t="shared" si="18"/>
        <v>0</v>
      </c>
      <c r="H213" s="18">
        <f>SUMIFS(线上订单!$F:$F,线上订单!$B:$B,美团日报!$C213,线上订单!$D:$D,"饿了么")</f>
        <v>0</v>
      </c>
      <c r="I213" s="18">
        <f>SUMIFS(线上订单!$F:$F,线上订单!$B:$B,美团日报!$C213,线上订单!$D:$D,"饿了么")</f>
        <v>0</v>
      </c>
      <c r="J213" s="21">
        <f t="shared" si="19"/>
        <v>0</v>
      </c>
      <c r="K213" s="22" t="e">
        <f t="shared" si="20"/>
        <v>#REF!</v>
      </c>
      <c r="L213" s="19" t="e">
        <f>SUMIFS(#REF!,#REF!,美团日报!$C213,#REF!,"饿了么")</f>
        <v>#REF!</v>
      </c>
      <c r="M213" s="23"/>
      <c r="N213" s="23"/>
      <c r="O213" s="22" t="e">
        <f t="shared" si="21"/>
        <v>#REF!</v>
      </c>
      <c r="P213" s="19" t="e">
        <f>SUMIFS(#REF!,#REF!,美团日报!$C213,#REF!,"饿了么")</f>
        <v>#REF!</v>
      </c>
      <c r="Q213" s="23"/>
      <c r="R213" s="23"/>
      <c r="S213" s="22" t="e">
        <f t="shared" si="22"/>
        <v>#REF!</v>
      </c>
      <c r="T213" s="19" t="e">
        <f>SUMIFS(#REF!,#REF!,美团日报!$C213,#REF!,"饿了么")</f>
        <v>#REF!</v>
      </c>
      <c r="U213" s="22" t="e">
        <f t="shared" si="23"/>
        <v>#REF!</v>
      </c>
      <c r="V213" s="19" t="e">
        <f>SUMIFS(#REF!,#REF!,美团日报!$C213,#REF!,"饿了么")</f>
        <v>#REF!</v>
      </c>
      <c r="W213" s="24" t="s">
        <v>13</v>
      </c>
    </row>
    <row r="214" ht="14.4" spans="1:23">
      <c r="A214" s="16" t="s">
        <v>264</v>
      </c>
      <c r="B214" s="16" t="s">
        <v>261</v>
      </c>
      <c r="C214" s="16">
        <v>8760</v>
      </c>
      <c r="D214" s="16" t="s">
        <v>505</v>
      </c>
      <c r="E214" s="18">
        <f>_xlfn.IFNA(VLOOKUP(C:C,线上线下销售!B:D,3,0),0)</f>
        <v>11283.0733</v>
      </c>
      <c r="F214" s="18">
        <f>SUMIFS(线上订单!$E:$E,线上订单!$B:$B,美团日报!$C214,线上订单!$D:$D,"饿了么")</f>
        <v>0</v>
      </c>
      <c r="G214" s="19">
        <f t="shared" si="18"/>
        <v>0</v>
      </c>
      <c r="H214" s="18">
        <f>SUMIFS(线上订单!$F:$F,线上订单!$B:$B,美团日报!$C214,线上订单!$D:$D,"饿了么")</f>
        <v>0</v>
      </c>
      <c r="I214" s="18">
        <f>SUMIFS(线上订单!$F:$F,线上订单!$B:$B,美团日报!$C214,线上订单!$D:$D,"饿了么")</f>
        <v>0</v>
      </c>
      <c r="J214" s="21">
        <f t="shared" si="19"/>
        <v>0</v>
      </c>
      <c r="K214" s="22" t="e">
        <f t="shared" si="20"/>
        <v>#REF!</v>
      </c>
      <c r="L214" s="19" t="e">
        <f>SUMIFS(#REF!,#REF!,美团日报!$C214,#REF!,"饿了么")</f>
        <v>#REF!</v>
      </c>
      <c r="M214" s="23"/>
      <c r="N214" s="23"/>
      <c r="O214" s="22" t="e">
        <f t="shared" si="21"/>
        <v>#REF!</v>
      </c>
      <c r="P214" s="19" t="e">
        <f>SUMIFS(#REF!,#REF!,美团日报!$C214,#REF!,"饿了么")</f>
        <v>#REF!</v>
      </c>
      <c r="Q214" s="23"/>
      <c r="R214" s="23"/>
      <c r="S214" s="22" t="e">
        <f t="shared" si="22"/>
        <v>#REF!</v>
      </c>
      <c r="T214" s="19" t="e">
        <f>SUMIFS(#REF!,#REF!,美团日报!$C214,#REF!,"饿了么")</f>
        <v>#REF!</v>
      </c>
      <c r="U214" s="22" t="e">
        <f t="shared" si="23"/>
        <v>#REF!</v>
      </c>
      <c r="V214" s="19" t="e">
        <f>SUMIFS(#REF!,#REF!,美团日报!$C214,#REF!,"饿了么")</f>
        <v>#REF!</v>
      </c>
      <c r="W214" s="24" t="s">
        <v>13</v>
      </c>
    </row>
    <row r="215" ht="14.4" spans="1:23">
      <c r="A215" s="16" t="s">
        <v>264</v>
      </c>
      <c r="B215" s="16" t="s">
        <v>401</v>
      </c>
      <c r="C215" s="16">
        <v>8761</v>
      </c>
      <c r="D215" s="16" t="s">
        <v>507</v>
      </c>
      <c r="E215" s="18">
        <f>_xlfn.IFNA(VLOOKUP(C:C,线上线下销售!B:D,3,0),0)</f>
        <v>2974.729</v>
      </c>
      <c r="F215" s="18">
        <f>SUMIFS(线上订单!$E:$E,线上订单!$B:$B,美团日报!$C215,线上订单!$D:$D,"饿了么")</f>
        <v>17.61061946902</v>
      </c>
      <c r="G215" s="19">
        <f t="shared" si="18"/>
        <v>0.00592007523005289</v>
      </c>
      <c r="H215" s="18">
        <f>SUMIFS(线上订单!$F:$F,线上订单!$B:$B,美团日报!$C215,线上订单!$D:$D,"饿了么")</f>
        <v>1</v>
      </c>
      <c r="I215" s="18">
        <f>SUMIFS(线上订单!$F:$F,线上订单!$B:$B,美团日报!$C215,线上订单!$D:$D,"饿了么")</f>
        <v>1</v>
      </c>
      <c r="J215" s="21">
        <f t="shared" si="19"/>
        <v>17.61061946902</v>
      </c>
      <c r="K215" s="22" t="e">
        <f t="shared" si="20"/>
        <v>#REF!</v>
      </c>
      <c r="L215" s="19" t="e">
        <f>SUMIFS(#REF!,#REF!,美团日报!$C215,#REF!,"饿了么")</f>
        <v>#REF!</v>
      </c>
      <c r="M215" s="23"/>
      <c r="N215" s="23"/>
      <c r="O215" s="22" t="e">
        <f t="shared" si="21"/>
        <v>#REF!</v>
      </c>
      <c r="P215" s="19" t="e">
        <f>SUMIFS(#REF!,#REF!,美团日报!$C215,#REF!,"饿了么")</f>
        <v>#REF!</v>
      </c>
      <c r="Q215" s="23"/>
      <c r="R215" s="23"/>
      <c r="S215" s="22" t="e">
        <f t="shared" si="22"/>
        <v>#REF!</v>
      </c>
      <c r="T215" s="19" t="e">
        <f>SUMIFS(#REF!,#REF!,美团日报!$C215,#REF!,"饿了么")</f>
        <v>#REF!</v>
      </c>
      <c r="U215" s="22" t="e">
        <f t="shared" si="23"/>
        <v>#REF!</v>
      </c>
      <c r="V215" s="19" t="e">
        <f>SUMIFS(#REF!,#REF!,美团日报!$C215,#REF!,"饿了么")</f>
        <v>#REF!</v>
      </c>
      <c r="W215" s="24" t="s">
        <v>13</v>
      </c>
    </row>
    <row r="216" ht="14.4" spans="1:23">
      <c r="A216" s="16" t="s">
        <v>48</v>
      </c>
      <c r="B216" s="16" t="s">
        <v>111</v>
      </c>
      <c r="C216" s="16">
        <v>8764</v>
      </c>
      <c r="D216" s="16" t="s">
        <v>509</v>
      </c>
      <c r="E216" s="18">
        <f>_xlfn.IFNA(VLOOKUP(C:C,线上线下销售!B:D,3,0),0)</f>
        <v>12454.5095</v>
      </c>
      <c r="F216" s="18">
        <f>SUMIFS(线上订单!$E:$E,线上订单!$B:$B,美团日报!$C216,线上订单!$D:$D,"饿了么")</f>
        <v>0</v>
      </c>
      <c r="G216" s="19">
        <f t="shared" si="18"/>
        <v>0</v>
      </c>
      <c r="H216" s="18">
        <f>SUMIFS(线上订单!$F:$F,线上订单!$B:$B,美团日报!$C216,线上订单!$D:$D,"饿了么")</f>
        <v>0</v>
      </c>
      <c r="I216" s="18">
        <f>SUMIFS(线上订单!$F:$F,线上订单!$B:$B,美团日报!$C216,线上订单!$D:$D,"饿了么")</f>
        <v>0</v>
      </c>
      <c r="J216" s="21">
        <f t="shared" si="19"/>
        <v>0</v>
      </c>
      <c r="K216" s="22" t="e">
        <f t="shared" si="20"/>
        <v>#REF!</v>
      </c>
      <c r="L216" s="19" t="e">
        <f>SUMIFS(#REF!,#REF!,美团日报!$C216,#REF!,"饿了么")</f>
        <v>#REF!</v>
      </c>
      <c r="M216" s="23"/>
      <c r="N216" s="23"/>
      <c r="O216" s="22" t="e">
        <f t="shared" si="21"/>
        <v>#REF!</v>
      </c>
      <c r="P216" s="19" t="e">
        <f>SUMIFS(#REF!,#REF!,美团日报!$C216,#REF!,"饿了么")</f>
        <v>#REF!</v>
      </c>
      <c r="Q216" s="23"/>
      <c r="R216" s="23"/>
      <c r="S216" s="22" t="e">
        <f t="shared" si="22"/>
        <v>#REF!</v>
      </c>
      <c r="T216" s="19" t="e">
        <f>SUMIFS(#REF!,#REF!,美团日报!$C216,#REF!,"饿了么")</f>
        <v>#REF!</v>
      </c>
      <c r="U216" s="22" t="e">
        <f t="shared" si="23"/>
        <v>#REF!</v>
      </c>
      <c r="V216" s="19" t="e">
        <f>SUMIFS(#REF!,#REF!,美团日报!$C216,#REF!,"饿了么")</f>
        <v>#REF!</v>
      </c>
      <c r="W216" s="24" t="s">
        <v>13</v>
      </c>
    </row>
    <row r="217" ht="14.4" spans="1:23">
      <c r="A217" s="16" t="s">
        <v>43</v>
      </c>
      <c r="B217" s="16" t="s">
        <v>38</v>
      </c>
      <c r="C217" s="16">
        <v>8763</v>
      </c>
      <c r="D217" s="16" t="s">
        <v>510</v>
      </c>
      <c r="E217" s="18">
        <f>_xlfn.IFNA(VLOOKUP(C:C,线上线下销售!B:D,3,0),0)</f>
        <v>1327.6932</v>
      </c>
      <c r="F217" s="18">
        <f>SUMIFS(线上订单!$E:$E,线上订单!$B:$B,美团日报!$C217,线上订单!$D:$D,"饿了么")</f>
        <v>0</v>
      </c>
      <c r="G217" s="19">
        <f t="shared" si="18"/>
        <v>0</v>
      </c>
      <c r="H217" s="18">
        <f>SUMIFS(线上订单!$F:$F,线上订单!$B:$B,美团日报!$C217,线上订单!$D:$D,"饿了么")</f>
        <v>0</v>
      </c>
      <c r="I217" s="18">
        <f>SUMIFS(线上订单!$F:$F,线上订单!$B:$B,美团日报!$C217,线上订单!$D:$D,"饿了么")</f>
        <v>0</v>
      </c>
      <c r="J217" s="21">
        <f t="shared" si="19"/>
        <v>0</v>
      </c>
      <c r="K217" s="22" t="e">
        <f t="shared" si="20"/>
        <v>#REF!</v>
      </c>
      <c r="L217" s="19" t="e">
        <f>SUMIFS(#REF!,#REF!,美团日报!$C217,#REF!,"饿了么")</f>
        <v>#REF!</v>
      </c>
      <c r="M217" s="23"/>
      <c r="N217" s="23"/>
      <c r="O217" s="22" t="e">
        <f t="shared" si="21"/>
        <v>#REF!</v>
      </c>
      <c r="P217" s="19" t="e">
        <f>SUMIFS(#REF!,#REF!,美团日报!$C217,#REF!,"饿了么")</f>
        <v>#REF!</v>
      </c>
      <c r="Q217" s="23"/>
      <c r="R217" s="23"/>
      <c r="S217" s="22" t="e">
        <f t="shared" si="22"/>
        <v>#REF!</v>
      </c>
      <c r="T217" s="19" t="e">
        <f>SUMIFS(#REF!,#REF!,美团日报!$C217,#REF!,"饿了么")</f>
        <v>#REF!</v>
      </c>
      <c r="U217" s="22" t="e">
        <f t="shared" si="23"/>
        <v>#REF!</v>
      </c>
      <c r="V217" s="19" t="e">
        <f>SUMIFS(#REF!,#REF!,美团日报!$C217,#REF!,"饿了么")</f>
        <v>#REF!</v>
      </c>
      <c r="W217" s="24" t="s">
        <v>13</v>
      </c>
    </row>
    <row r="218" ht="14.4" spans="1:23">
      <c r="A218" s="16" t="s">
        <v>264</v>
      </c>
      <c r="B218" s="16" t="s">
        <v>401</v>
      </c>
      <c r="C218" s="16">
        <v>8767</v>
      </c>
      <c r="D218" s="16" t="s">
        <v>511</v>
      </c>
      <c r="E218" s="18">
        <f>_xlfn.IFNA(VLOOKUP(C:C,线上线下销售!B:D,3,0),0)</f>
        <v>51490.8945</v>
      </c>
      <c r="F218" s="18">
        <f>SUMIFS(线上订单!$E:$E,线上订单!$B:$B,美团日报!$C218,线上订单!$D:$D,"饿了么")</f>
        <v>0</v>
      </c>
      <c r="G218" s="19">
        <f t="shared" si="18"/>
        <v>0</v>
      </c>
      <c r="H218" s="18">
        <f>SUMIFS(线上订单!$F:$F,线上订单!$B:$B,美团日报!$C218,线上订单!$D:$D,"饿了么")</f>
        <v>0</v>
      </c>
      <c r="I218" s="18">
        <f>SUMIFS(线上订单!$F:$F,线上订单!$B:$B,美团日报!$C218,线上订单!$D:$D,"饿了么")</f>
        <v>0</v>
      </c>
      <c r="J218" s="21">
        <f t="shared" si="19"/>
        <v>0</v>
      </c>
      <c r="K218" s="22" t="e">
        <f t="shared" si="20"/>
        <v>#REF!</v>
      </c>
      <c r="L218" s="19" t="e">
        <f>SUMIFS(#REF!,#REF!,美团日报!$C218,#REF!,"饿了么")</f>
        <v>#REF!</v>
      </c>
      <c r="M218" s="23"/>
      <c r="N218" s="23"/>
      <c r="O218" s="22" t="e">
        <f t="shared" si="21"/>
        <v>#REF!</v>
      </c>
      <c r="P218" s="19" t="e">
        <f>SUMIFS(#REF!,#REF!,美团日报!$C218,#REF!,"饿了么")</f>
        <v>#REF!</v>
      </c>
      <c r="Q218" s="23"/>
      <c r="R218" s="23"/>
      <c r="S218" s="22" t="e">
        <f t="shared" si="22"/>
        <v>#REF!</v>
      </c>
      <c r="T218" s="19" t="e">
        <f>SUMIFS(#REF!,#REF!,美团日报!$C218,#REF!,"饿了么")</f>
        <v>#REF!</v>
      </c>
      <c r="U218" s="22" t="e">
        <f t="shared" si="23"/>
        <v>#REF!</v>
      </c>
      <c r="V218" s="19" t="e">
        <f>SUMIFS(#REF!,#REF!,美团日报!$C218,#REF!,"饿了么")</f>
        <v>#REF!</v>
      </c>
      <c r="W218" s="24" t="s">
        <v>13</v>
      </c>
    </row>
    <row r="219" ht="14.4" spans="1:23">
      <c r="A219" s="16" t="s">
        <v>48</v>
      </c>
      <c r="B219" s="16"/>
      <c r="C219" s="16">
        <v>8762</v>
      </c>
      <c r="D219" s="16" t="s">
        <v>512</v>
      </c>
      <c r="E219" s="18">
        <f>_xlfn.IFNA(VLOOKUP(C:C,线上线下销售!B:D,3,0),0)</f>
        <v>3111.6859</v>
      </c>
      <c r="F219" s="18">
        <f>SUMIFS(线上订单!$E:$E,线上订单!$B:$B,美团日报!$C219,线上订单!$D:$D,"饿了么")</f>
        <v>0</v>
      </c>
      <c r="G219" s="19">
        <f t="shared" si="18"/>
        <v>0</v>
      </c>
      <c r="H219" s="18">
        <f>SUMIFS(线上订单!$F:$F,线上订单!$B:$B,美团日报!$C219,线上订单!$D:$D,"饿了么")</f>
        <v>0</v>
      </c>
      <c r="I219" s="18">
        <f>SUMIFS(线上订单!$F:$F,线上订单!$B:$B,美团日报!$C219,线上订单!$D:$D,"饿了么")</f>
        <v>0</v>
      </c>
      <c r="J219" s="21">
        <f t="shared" si="19"/>
        <v>0</v>
      </c>
      <c r="K219" s="22" t="e">
        <f t="shared" si="20"/>
        <v>#REF!</v>
      </c>
      <c r="L219" s="19" t="e">
        <f>SUMIFS(#REF!,#REF!,美团日报!$C219,#REF!,"饿了么")</f>
        <v>#REF!</v>
      </c>
      <c r="M219" s="23"/>
      <c r="N219" s="23"/>
      <c r="O219" s="22" t="e">
        <f t="shared" si="21"/>
        <v>#REF!</v>
      </c>
      <c r="P219" s="19" t="e">
        <f>SUMIFS(#REF!,#REF!,美团日报!$C219,#REF!,"饿了么")</f>
        <v>#REF!</v>
      </c>
      <c r="Q219" s="23"/>
      <c r="R219" s="23"/>
      <c r="S219" s="22" t="e">
        <f t="shared" si="22"/>
        <v>#REF!</v>
      </c>
      <c r="T219" s="19" t="e">
        <f>SUMIFS(#REF!,#REF!,美团日报!$C219,#REF!,"饿了么")</f>
        <v>#REF!</v>
      </c>
      <c r="U219" s="22" t="e">
        <f t="shared" si="23"/>
        <v>#REF!</v>
      </c>
      <c r="V219" s="19" t="e">
        <f>SUMIFS(#REF!,#REF!,美团日报!$C219,#REF!,"饿了么")</f>
        <v>#REF!</v>
      </c>
      <c r="W219" s="24" t="s">
        <v>13</v>
      </c>
    </row>
    <row r="220" ht="14.4" spans="1:23">
      <c r="A220" s="16" t="s">
        <v>48</v>
      </c>
      <c r="B220" s="16" t="s">
        <v>49</v>
      </c>
      <c r="C220" s="16">
        <v>8699</v>
      </c>
      <c r="D220" s="16" t="s">
        <v>513</v>
      </c>
      <c r="E220" s="18">
        <f>_xlfn.IFNA(VLOOKUP(C:C,线上线下销售!B:D,3,0),0)</f>
        <v>0</v>
      </c>
      <c r="F220" s="18">
        <f>SUMIFS(线上订单!$E:$E,线上订单!$B:$B,美团日报!$C220,线上订单!$D:$D,"饿了么")</f>
        <v>0</v>
      </c>
      <c r="G220" s="19">
        <f t="shared" si="18"/>
        <v>0</v>
      </c>
      <c r="H220" s="18">
        <f>SUMIFS(线上订单!$F:$F,线上订单!$B:$B,美团日报!$C220,线上订单!$D:$D,"饿了么")</f>
        <v>0</v>
      </c>
      <c r="I220" s="18">
        <f>SUMIFS(线上订单!$F:$F,线上订单!$B:$B,美团日报!$C220,线上订单!$D:$D,"饿了么")</f>
        <v>0</v>
      </c>
      <c r="J220" s="21">
        <f t="shared" si="19"/>
        <v>0</v>
      </c>
      <c r="K220" s="22" t="e">
        <f t="shared" si="20"/>
        <v>#REF!</v>
      </c>
      <c r="L220" s="19" t="e">
        <f>SUMIFS(#REF!,#REF!,美团日报!$C220,#REF!,"饿了么")</f>
        <v>#REF!</v>
      </c>
      <c r="M220" s="23"/>
      <c r="N220" s="23"/>
      <c r="O220" s="22" t="e">
        <f t="shared" si="21"/>
        <v>#REF!</v>
      </c>
      <c r="P220" s="19" t="e">
        <f>SUMIFS(#REF!,#REF!,美团日报!$C220,#REF!,"饿了么")</f>
        <v>#REF!</v>
      </c>
      <c r="Q220" s="23"/>
      <c r="R220" s="23"/>
      <c r="S220" s="22" t="e">
        <f t="shared" si="22"/>
        <v>#REF!</v>
      </c>
      <c r="T220" s="19" t="e">
        <f>SUMIFS(#REF!,#REF!,美团日报!$C220,#REF!,"饿了么")</f>
        <v>#REF!</v>
      </c>
      <c r="U220" s="22" t="e">
        <f t="shared" si="23"/>
        <v>#REF!</v>
      </c>
      <c r="V220" s="19" t="e">
        <f>SUMIFS(#REF!,#REF!,美团日报!$C220,#REF!,"饿了么")</f>
        <v>#REF!</v>
      </c>
      <c r="W220" s="24" t="s">
        <v>13</v>
      </c>
    </row>
    <row r="221" ht="14.4" spans="1:23">
      <c r="A221" s="16" t="s">
        <v>63</v>
      </c>
      <c r="B221" s="16" t="s">
        <v>60</v>
      </c>
      <c r="C221" s="16">
        <v>8712</v>
      </c>
      <c r="D221" s="16" t="s">
        <v>514</v>
      </c>
      <c r="E221" s="18">
        <f>_xlfn.IFNA(VLOOKUP(C:C,线上线下销售!B:D,3,0),0)</f>
        <v>0</v>
      </c>
      <c r="F221" s="18">
        <f>SUMIFS(线上订单!$E:$E,线上订单!$B:$B,美团日报!$C221,线上订单!$D:$D,"饿了么")</f>
        <v>0</v>
      </c>
      <c r="G221" s="19">
        <f t="shared" si="18"/>
        <v>0</v>
      </c>
      <c r="H221" s="18">
        <f>SUMIFS(线上订单!$F:$F,线上订单!$B:$B,美团日报!$C221,线上订单!$D:$D,"饿了么")</f>
        <v>0</v>
      </c>
      <c r="I221" s="18">
        <f>SUMIFS(线上订单!$F:$F,线上订单!$B:$B,美团日报!$C221,线上订单!$D:$D,"饿了么")</f>
        <v>0</v>
      </c>
      <c r="J221" s="21">
        <f t="shared" si="19"/>
        <v>0</v>
      </c>
      <c r="K221" s="22" t="e">
        <f t="shared" si="20"/>
        <v>#REF!</v>
      </c>
      <c r="L221" s="19" t="e">
        <f>SUMIFS(#REF!,#REF!,美团日报!$C221,#REF!,"饿了么")</f>
        <v>#REF!</v>
      </c>
      <c r="M221" s="23"/>
      <c r="N221" s="23"/>
      <c r="O221" s="22" t="e">
        <f t="shared" si="21"/>
        <v>#REF!</v>
      </c>
      <c r="P221" s="19" t="e">
        <f>SUMIFS(#REF!,#REF!,美团日报!$C221,#REF!,"饿了么")</f>
        <v>#REF!</v>
      </c>
      <c r="Q221" s="23"/>
      <c r="R221" s="23"/>
      <c r="S221" s="22" t="e">
        <f t="shared" si="22"/>
        <v>#REF!</v>
      </c>
      <c r="T221" s="19" t="e">
        <f>SUMIFS(#REF!,#REF!,美团日报!$C221,#REF!,"饿了么")</f>
        <v>#REF!</v>
      </c>
      <c r="U221" s="22" t="e">
        <f t="shared" si="23"/>
        <v>#REF!</v>
      </c>
      <c r="V221" s="19" t="e">
        <f>SUMIFS(#REF!,#REF!,美团日报!$C221,#REF!,"饿了么")</f>
        <v>#REF!</v>
      </c>
      <c r="W221" s="24" t="s">
        <v>13</v>
      </c>
    </row>
    <row r="222" ht="14.4" spans="1:23">
      <c r="A222" s="16"/>
      <c r="B222" s="16"/>
      <c r="C222" s="25">
        <v>8780</v>
      </c>
      <c r="D222" s="26" t="s">
        <v>515</v>
      </c>
      <c r="E222" s="18">
        <f>_xlfn.IFNA(VLOOKUP(C:C,线上线下销售!B:D,3,0),0)</f>
        <v>7416.5769</v>
      </c>
      <c r="F222" s="18">
        <f>SUMIFS(线上订单!$E:$E,线上订单!$B:$B,美团日报!$C222,线上订单!$D:$D,"饿了么")</f>
        <v>0</v>
      </c>
      <c r="G222" s="19">
        <f t="shared" si="18"/>
        <v>0</v>
      </c>
      <c r="H222" s="18">
        <f>SUMIFS(线上订单!$F:$F,线上订单!$B:$B,美团日报!$C222,线上订单!$D:$D,"饿了么")</f>
        <v>0</v>
      </c>
      <c r="I222" s="18">
        <f>SUMIFS(线上订单!$F:$F,线上订单!$B:$B,美团日报!$C222,线上订单!$D:$D,"饿了么")</f>
        <v>0</v>
      </c>
      <c r="J222" s="21">
        <f t="shared" si="19"/>
        <v>0</v>
      </c>
      <c r="K222" s="22" t="e">
        <f t="shared" si="20"/>
        <v>#REF!</v>
      </c>
      <c r="L222" s="19" t="e">
        <f>SUMIFS(#REF!,#REF!,美团日报!$C222,#REF!,"饿了么")</f>
        <v>#REF!</v>
      </c>
      <c r="M222" s="23"/>
      <c r="N222" s="23"/>
      <c r="O222" s="22" t="e">
        <f t="shared" si="21"/>
        <v>#REF!</v>
      </c>
      <c r="P222" s="19" t="e">
        <f>SUMIFS(#REF!,#REF!,美团日报!$C222,#REF!,"饿了么")</f>
        <v>#REF!</v>
      </c>
      <c r="Q222" s="23"/>
      <c r="R222" s="23"/>
      <c r="S222" s="22" t="e">
        <f t="shared" si="22"/>
        <v>#REF!</v>
      </c>
      <c r="T222" s="19" t="e">
        <f>SUMIFS(#REF!,#REF!,美团日报!$C222,#REF!,"饿了么")</f>
        <v>#REF!</v>
      </c>
      <c r="U222" s="22" t="e">
        <f t="shared" si="23"/>
        <v>#REF!</v>
      </c>
      <c r="V222" s="19" t="e">
        <f>SUMIFS(#REF!,#REF!,美团日报!$C222,#REF!,"饿了么")</f>
        <v>#REF!</v>
      </c>
      <c r="W222" s="24" t="s">
        <v>13</v>
      </c>
    </row>
    <row r="223" ht="14.4" spans="1:23">
      <c r="A223" s="16"/>
      <c r="B223" s="16"/>
      <c r="C223" s="25">
        <v>8768</v>
      </c>
      <c r="D223" s="26" t="s">
        <v>516</v>
      </c>
      <c r="E223" s="18">
        <f>_xlfn.IFNA(VLOOKUP(C:C,线上线下销售!B:D,3,0),0)</f>
        <v>0</v>
      </c>
      <c r="F223" s="18">
        <f>SUMIFS(线上订单!$E:$E,线上订单!$B:$B,美团日报!$C223,线上订单!$D:$D,"饿了么")</f>
        <v>0</v>
      </c>
      <c r="G223" s="19">
        <f t="shared" si="18"/>
        <v>0</v>
      </c>
      <c r="H223" s="18">
        <f>SUMIFS(线上订单!$F:$F,线上订单!$B:$B,美团日报!$C223,线上订单!$D:$D,"饿了么")</f>
        <v>0</v>
      </c>
      <c r="I223" s="18">
        <f>SUMIFS(线上订单!$F:$F,线上订单!$B:$B,美团日报!$C223,线上订单!$D:$D,"饿了么")</f>
        <v>0</v>
      </c>
      <c r="J223" s="21">
        <f t="shared" si="19"/>
        <v>0</v>
      </c>
      <c r="K223" s="22" t="e">
        <f t="shared" si="20"/>
        <v>#REF!</v>
      </c>
      <c r="L223" s="19" t="e">
        <f>SUMIFS(#REF!,#REF!,美团日报!$C223,#REF!,"饿了么")</f>
        <v>#REF!</v>
      </c>
      <c r="M223" s="23"/>
      <c r="N223" s="23"/>
      <c r="O223" s="22" t="e">
        <f t="shared" si="21"/>
        <v>#REF!</v>
      </c>
      <c r="P223" s="19" t="e">
        <f>SUMIFS(#REF!,#REF!,美团日报!$C223,#REF!,"饿了么")</f>
        <v>#REF!</v>
      </c>
      <c r="Q223" s="23"/>
      <c r="R223" s="23"/>
      <c r="S223" s="22" t="e">
        <f t="shared" si="22"/>
        <v>#REF!</v>
      </c>
      <c r="T223" s="19" t="e">
        <f>SUMIFS(#REF!,#REF!,美团日报!$C223,#REF!,"饿了么")</f>
        <v>#REF!</v>
      </c>
      <c r="U223" s="22" t="e">
        <f t="shared" si="23"/>
        <v>#REF!</v>
      </c>
      <c r="V223" s="19" t="e">
        <f>SUMIFS(#REF!,#REF!,美团日报!$C223,#REF!,"饿了么")</f>
        <v>#REF!</v>
      </c>
      <c r="W223" s="24" t="s">
        <v>13</v>
      </c>
    </row>
    <row r="224" ht="14.4" spans="1:23">
      <c r="A224" s="27" t="s">
        <v>43</v>
      </c>
      <c r="B224" s="27" t="s">
        <v>131</v>
      </c>
      <c r="C224" s="28">
        <v>8766</v>
      </c>
      <c r="D224" s="29" t="s">
        <v>517</v>
      </c>
      <c r="E224" s="18">
        <f>_xlfn.IFNA(VLOOKUP(C:C,线上线下销售!B:D,3,0),0)</f>
        <v>7161.6856</v>
      </c>
      <c r="F224" s="18">
        <f>SUMIFS(线上订单!$E:$E,线上订单!$B:$B,美团日报!$C224,线上订单!$D:$D,"饿了么")</f>
        <v>467.5810668182</v>
      </c>
      <c r="G224" s="19">
        <f t="shared" si="18"/>
        <v>0.0652892479416019</v>
      </c>
      <c r="H224" s="18">
        <f>SUMIFS(线上订单!$F:$F,线上订单!$B:$B,美团日报!$C224,线上订单!$D:$D,"饿了么")</f>
        <v>13</v>
      </c>
      <c r="I224" s="18">
        <f>SUMIFS(线上订单!$F:$F,线上订单!$B:$B,美团日报!$C224,线上订单!$D:$D,"饿了么")</f>
        <v>13</v>
      </c>
      <c r="J224" s="21">
        <f t="shared" si="19"/>
        <v>35.9677743706308</v>
      </c>
      <c r="K224" s="22" t="e">
        <f t="shared" si="20"/>
        <v>#REF!</v>
      </c>
      <c r="L224" s="19" t="e">
        <f>SUMIFS(#REF!,#REF!,美团日报!$C224,#REF!,"饿了么")</f>
        <v>#REF!</v>
      </c>
      <c r="M224" s="23"/>
      <c r="N224" s="23"/>
      <c r="O224" s="22" t="e">
        <f t="shared" si="21"/>
        <v>#REF!</v>
      </c>
      <c r="P224" s="19" t="e">
        <f>SUMIFS(#REF!,#REF!,美团日报!$C224,#REF!,"饿了么")</f>
        <v>#REF!</v>
      </c>
      <c r="Q224" s="23"/>
      <c r="R224" s="23"/>
      <c r="S224" s="22" t="e">
        <f t="shared" si="22"/>
        <v>#REF!</v>
      </c>
      <c r="T224" s="19" t="e">
        <f>SUMIFS(#REF!,#REF!,美团日报!$C224,#REF!,"饿了么")</f>
        <v>#REF!</v>
      </c>
      <c r="U224" s="22" t="e">
        <f t="shared" si="23"/>
        <v>#REF!</v>
      </c>
      <c r="V224" s="19" t="e">
        <f>SUMIFS(#REF!,#REF!,美团日报!$C224,#REF!,"饿了么")</f>
        <v>#REF!</v>
      </c>
      <c r="W224" s="24" t="s">
        <v>13</v>
      </c>
    </row>
    <row r="225" ht="14.4" spans="1:23">
      <c r="A225" s="29" t="s">
        <v>63</v>
      </c>
      <c r="B225" s="29" t="s">
        <v>168</v>
      </c>
      <c r="C225" s="28">
        <v>8765</v>
      </c>
      <c r="D225" s="26" t="s">
        <v>577</v>
      </c>
      <c r="E225" s="18">
        <f>_xlfn.IFNA(VLOOKUP(C:C,线上线下销售!B:D,3,0),0)</f>
        <v>16482.8543</v>
      </c>
      <c r="F225" s="18">
        <f>SUMIFS(线上订单!$E:$E,线上订单!$B:$B,美团日报!$C225,线上订单!$D:$D,"饿了么")</f>
        <v>549.60639766172</v>
      </c>
      <c r="G225" s="19">
        <f t="shared" si="18"/>
        <v>0.0333441276406672</v>
      </c>
      <c r="H225" s="18">
        <f>SUMIFS(线上订单!$F:$F,线上订单!$B:$B,美团日报!$C225,线上订单!$D:$D,"饿了么")</f>
        <v>13</v>
      </c>
      <c r="I225" s="18">
        <f>SUMIFS(线上订单!$F:$F,线上订单!$B:$B,美团日报!$C225,线上订单!$D:$D,"饿了么")</f>
        <v>13</v>
      </c>
      <c r="J225" s="21">
        <f t="shared" si="19"/>
        <v>42.2774152047477</v>
      </c>
      <c r="K225" s="22" t="e">
        <f t="shared" si="20"/>
        <v>#REF!</v>
      </c>
      <c r="L225" s="19" t="e">
        <f>SUMIFS(#REF!,#REF!,美团日报!$C262,#REF!,"饿了么")</f>
        <v>#REF!</v>
      </c>
      <c r="M225" s="23"/>
      <c r="N225" s="23"/>
      <c r="O225" s="22" t="e">
        <f t="shared" si="21"/>
        <v>#REF!</v>
      </c>
      <c r="P225" s="19" t="e">
        <f>SUMIFS(#REF!,#REF!,美团日报!$C262,#REF!,"饿了么")</f>
        <v>#REF!</v>
      </c>
      <c r="Q225" s="23"/>
      <c r="R225" s="23"/>
      <c r="S225" s="22" t="e">
        <f t="shared" si="22"/>
        <v>#REF!</v>
      </c>
      <c r="T225" s="19" t="e">
        <f>SUMIFS(#REF!,#REF!,美团日报!$C262,#REF!,"饿了么")</f>
        <v>#REF!</v>
      </c>
      <c r="U225" s="22" t="e">
        <f t="shared" si="23"/>
        <v>#REF!</v>
      </c>
      <c r="V225" s="19" t="e">
        <f>SUMIFS(#REF!,#REF!,美团日报!$C262,#REF!,"饿了么")</f>
        <v>#REF!</v>
      </c>
      <c r="W225" s="24" t="s">
        <v>13</v>
      </c>
    </row>
    <row r="226" ht="14.4" spans="1:23">
      <c r="A226" s="29" t="s">
        <v>56</v>
      </c>
      <c r="B226" s="29" t="s">
        <v>52</v>
      </c>
      <c r="C226" s="16">
        <v>8772</v>
      </c>
      <c r="D226" s="29" t="s">
        <v>519</v>
      </c>
      <c r="E226" s="18">
        <f>_xlfn.IFNA(VLOOKUP(C:C,线上线下销售!B:D,3,0),0)</f>
        <v>4597.4832</v>
      </c>
      <c r="F226" s="18">
        <f>SUMIFS(线上订单!$E:$E,线上订单!$B:$B,美团日报!$C226,线上订单!$D:$D,"饿了么")</f>
        <v>559.75805796872</v>
      </c>
      <c r="G226" s="19">
        <f t="shared" si="18"/>
        <v>0.121753149194481</v>
      </c>
      <c r="H226" s="18">
        <f>SUMIFS(线上订单!$F:$F,线上订单!$B:$B,美团日报!$C226,线上订单!$D:$D,"饿了么")</f>
        <v>14</v>
      </c>
      <c r="I226" s="18">
        <f>SUMIFS(线上订单!$F:$F,线上订单!$B:$B,美团日报!$C226,线上订单!$D:$D,"饿了么")</f>
        <v>14</v>
      </c>
      <c r="J226" s="21">
        <f t="shared" si="19"/>
        <v>39.9827184263371</v>
      </c>
      <c r="K226" s="22" t="e">
        <f t="shared" si="20"/>
        <v>#REF!</v>
      </c>
      <c r="L226" s="19" t="e">
        <f>SUMIFS(#REF!,#REF!,美团日报!$C263,#REF!,"饿了么")</f>
        <v>#REF!</v>
      </c>
      <c r="M226" s="23"/>
      <c r="N226" s="23"/>
      <c r="O226" s="22" t="e">
        <f t="shared" si="21"/>
        <v>#REF!</v>
      </c>
      <c r="P226" s="19" t="e">
        <f>SUMIFS(#REF!,#REF!,美团日报!$C263,#REF!,"饿了么")</f>
        <v>#REF!</v>
      </c>
      <c r="Q226" s="23"/>
      <c r="R226" s="23"/>
      <c r="S226" s="22" t="e">
        <f t="shared" si="22"/>
        <v>#REF!</v>
      </c>
      <c r="T226" s="19" t="e">
        <f>SUMIFS(#REF!,#REF!,美团日报!$C263,#REF!,"饿了么")</f>
        <v>#REF!</v>
      </c>
      <c r="U226" s="22" t="e">
        <f t="shared" si="23"/>
        <v>#REF!</v>
      </c>
      <c r="V226" s="19" t="e">
        <f>SUMIFS(#REF!,#REF!,美团日报!$C263,#REF!,"饿了么")</f>
        <v>#REF!</v>
      </c>
      <c r="W226" s="24" t="s">
        <v>13</v>
      </c>
    </row>
    <row r="227" ht="14.4" spans="1:23">
      <c r="A227" s="29" t="s">
        <v>56</v>
      </c>
      <c r="B227" s="29" t="s">
        <v>70</v>
      </c>
      <c r="C227" s="16">
        <v>8773</v>
      </c>
      <c r="D227" s="29" t="s">
        <v>520</v>
      </c>
      <c r="E227" s="18">
        <f>_xlfn.IFNA(VLOOKUP(C:C,线上线下销售!B:D,3,0),0)</f>
        <v>6674.0584</v>
      </c>
      <c r="F227" s="18">
        <f>SUMIFS(线上订单!$E:$E,线上订单!$B:$B,美团日报!$C227,线上订单!$D:$D,"饿了么")</f>
        <v>938.13420475756</v>
      </c>
      <c r="G227" s="19">
        <f t="shared" si="18"/>
        <v>0.140564278664022</v>
      </c>
      <c r="H227" s="18">
        <f>SUMIFS(线上订单!$F:$F,线上订单!$B:$B,美团日报!$C227,线上订单!$D:$D,"饿了么")</f>
        <v>26</v>
      </c>
      <c r="I227" s="18">
        <f>SUMIFS(线上订单!$F:$F,线上订单!$B:$B,美团日报!$C227,线上订单!$D:$D,"饿了么")</f>
        <v>26</v>
      </c>
      <c r="J227" s="21">
        <f t="shared" si="19"/>
        <v>36.0820847983677</v>
      </c>
      <c r="K227" s="22" t="e">
        <f t="shared" si="20"/>
        <v>#REF!</v>
      </c>
      <c r="L227" s="19" t="e">
        <f>SUMIFS(#REF!,#REF!,美团日报!$C264,#REF!,"饿了么")</f>
        <v>#REF!</v>
      </c>
      <c r="M227" s="23"/>
      <c r="N227" s="23"/>
      <c r="O227" s="22" t="e">
        <f t="shared" si="21"/>
        <v>#REF!</v>
      </c>
      <c r="P227" s="19" t="e">
        <f>SUMIFS(#REF!,#REF!,美团日报!$C264,#REF!,"饿了么")</f>
        <v>#REF!</v>
      </c>
      <c r="Q227" s="23"/>
      <c r="R227" s="23"/>
      <c r="S227" s="22" t="e">
        <f t="shared" si="22"/>
        <v>#REF!</v>
      </c>
      <c r="T227" s="19" t="e">
        <f>SUMIFS(#REF!,#REF!,美团日报!$C264,#REF!,"饿了么")</f>
        <v>#REF!</v>
      </c>
      <c r="U227" s="22" t="e">
        <f t="shared" si="23"/>
        <v>#REF!</v>
      </c>
      <c r="V227" s="19" t="e">
        <f>SUMIFS(#REF!,#REF!,美团日报!$C264,#REF!,"饿了么")</f>
        <v>#REF!</v>
      </c>
      <c r="W227" s="24" t="s">
        <v>13</v>
      </c>
    </row>
    <row r="228" ht="14.4" spans="1:23">
      <c r="A228" s="29" t="s">
        <v>48</v>
      </c>
      <c r="B228" s="29" t="s">
        <v>111</v>
      </c>
      <c r="C228" s="16">
        <v>8778</v>
      </c>
      <c r="D228" s="29" t="s">
        <v>521</v>
      </c>
      <c r="E228" s="18">
        <f>_xlfn.IFNA(VLOOKUP(C:C,线上线下销售!B:D,3,0),0)</f>
        <v>5334.5526</v>
      </c>
      <c r="F228" s="18">
        <f>SUMIFS(线上订单!$E:$E,线上订单!$B:$B,美团日报!$C228,线上订单!$D:$D,"饿了么")</f>
        <v>0</v>
      </c>
      <c r="G228" s="19">
        <f t="shared" si="18"/>
        <v>0</v>
      </c>
      <c r="H228" s="18">
        <f>SUMIFS(线上订单!$F:$F,线上订单!$B:$B,美团日报!$C228,线上订单!$D:$D,"饿了么")</f>
        <v>0</v>
      </c>
      <c r="I228" s="18">
        <f>SUMIFS(线上订单!$F:$F,线上订单!$B:$B,美团日报!$C228,线上订单!$D:$D,"饿了么")</f>
        <v>0</v>
      </c>
      <c r="J228" s="21">
        <f t="shared" si="19"/>
        <v>0</v>
      </c>
      <c r="K228" s="22" t="e">
        <f t="shared" si="20"/>
        <v>#REF!</v>
      </c>
      <c r="L228" s="19" t="e">
        <f>SUMIFS(#REF!,#REF!,美团日报!$C265,#REF!,"饿了么")</f>
        <v>#REF!</v>
      </c>
      <c r="M228" s="23"/>
      <c r="N228" s="23"/>
      <c r="O228" s="22" t="e">
        <f t="shared" si="21"/>
        <v>#REF!</v>
      </c>
      <c r="P228" s="19" t="e">
        <f>SUMIFS(#REF!,#REF!,美团日报!$C265,#REF!,"饿了么")</f>
        <v>#REF!</v>
      </c>
      <c r="Q228" s="23"/>
      <c r="R228" s="23"/>
      <c r="S228" s="22" t="e">
        <f t="shared" si="22"/>
        <v>#REF!</v>
      </c>
      <c r="T228" s="19" t="e">
        <f>SUMIFS(#REF!,#REF!,美团日报!$C265,#REF!,"饿了么")</f>
        <v>#REF!</v>
      </c>
      <c r="U228" s="22" t="e">
        <f t="shared" si="23"/>
        <v>#REF!</v>
      </c>
      <c r="V228" s="19" t="e">
        <f>SUMIFS(#REF!,#REF!,美团日报!$C265,#REF!,"饿了么")</f>
        <v>#REF!</v>
      </c>
      <c r="W228" s="24" t="s">
        <v>13</v>
      </c>
    </row>
    <row r="229" ht="14.4" spans="1:23">
      <c r="A229" s="29" t="s">
        <v>56</v>
      </c>
      <c r="B229" s="29" t="s">
        <v>57</v>
      </c>
      <c r="C229" s="16">
        <v>8732</v>
      </c>
      <c r="D229" s="29" t="s">
        <v>522</v>
      </c>
      <c r="E229" s="18">
        <f>_xlfn.IFNA(VLOOKUP(C:C,线上线下销售!B:D,3,0),0)</f>
        <v>9888.7962</v>
      </c>
      <c r="F229" s="18">
        <f>SUMIFS(线上订单!$E:$E,线上订单!$B:$B,美团日报!$C229,线上订单!$D:$D,"饿了么")</f>
        <v>297.0295526508</v>
      </c>
      <c r="G229" s="19">
        <f t="shared" si="18"/>
        <v>0.0300369778730802</v>
      </c>
      <c r="H229" s="18">
        <f>SUMIFS(线上订单!$F:$F,线上订单!$B:$B,美团日报!$C229,线上订单!$D:$D,"饿了么")</f>
        <v>8</v>
      </c>
      <c r="I229" s="18">
        <f>SUMIFS(线上订单!$F:$F,线上订单!$B:$B,美团日报!$C229,线上订单!$D:$D,"饿了么")</f>
        <v>8</v>
      </c>
      <c r="J229" s="21">
        <f t="shared" si="19"/>
        <v>37.12869408135</v>
      </c>
      <c r="K229" s="22" t="e">
        <f t="shared" si="20"/>
        <v>#REF!</v>
      </c>
      <c r="L229" s="19" t="e">
        <f>SUMIFS(#REF!,#REF!,美团日报!$C266,#REF!,"饿了么")</f>
        <v>#REF!</v>
      </c>
      <c r="M229" s="23"/>
      <c r="N229" s="23"/>
      <c r="O229" s="22" t="e">
        <f t="shared" si="21"/>
        <v>#REF!</v>
      </c>
      <c r="P229" s="19" t="e">
        <f>SUMIFS(#REF!,#REF!,美团日报!$C266,#REF!,"饿了么")</f>
        <v>#REF!</v>
      </c>
      <c r="Q229" s="23"/>
      <c r="R229" s="23"/>
      <c r="S229" s="22" t="e">
        <f t="shared" si="22"/>
        <v>#REF!</v>
      </c>
      <c r="T229" s="19" t="e">
        <f>SUMIFS(#REF!,#REF!,美团日报!$C266,#REF!,"饿了么")</f>
        <v>#REF!</v>
      </c>
      <c r="U229" s="22" t="e">
        <f t="shared" si="23"/>
        <v>#REF!</v>
      </c>
      <c r="V229" s="19" t="e">
        <f>SUMIFS(#REF!,#REF!,美团日报!$C266,#REF!,"饿了么")</f>
        <v>#REF!</v>
      </c>
      <c r="W229" s="24" t="s">
        <v>13</v>
      </c>
    </row>
    <row r="230" ht="14.4" spans="1:23">
      <c r="A230" s="29" t="s">
        <v>48</v>
      </c>
      <c r="B230" s="29" t="s">
        <v>64</v>
      </c>
      <c r="C230" s="16">
        <v>8776</v>
      </c>
      <c r="D230" s="29" t="s">
        <v>523</v>
      </c>
      <c r="E230" s="18">
        <f>_xlfn.IFNA(VLOOKUP(C:C,线上线下销售!B:D,3,0),0)</f>
        <v>533.071</v>
      </c>
      <c r="F230" s="18">
        <f>SUMIFS(线上订单!$E:$E,线上订单!$B:$B,美团日报!$C230,线上订单!$D:$D,"饿了么")</f>
        <v>0</v>
      </c>
      <c r="G230" s="19">
        <f t="shared" si="18"/>
        <v>0</v>
      </c>
      <c r="H230" s="18">
        <f>SUMIFS(线上订单!$F:$F,线上订单!$B:$B,美团日报!$C230,线上订单!$D:$D,"饿了么")</f>
        <v>0</v>
      </c>
      <c r="I230" s="18">
        <f>SUMIFS(线上订单!$F:$F,线上订单!$B:$B,美团日报!$C230,线上订单!$D:$D,"饿了么")</f>
        <v>0</v>
      </c>
      <c r="J230" s="21">
        <f t="shared" si="19"/>
        <v>0</v>
      </c>
      <c r="K230" s="22" t="e">
        <f t="shared" si="20"/>
        <v>#REF!</v>
      </c>
      <c r="L230" s="19" t="e">
        <f>SUMIFS(#REF!,#REF!,美团日报!$C267,#REF!,"饿了么")</f>
        <v>#REF!</v>
      </c>
      <c r="M230" s="23"/>
      <c r="N230" s="23"/>
      <c r="O230" s="22" t="e">
        <f t="shared" si="21"/>
        <v>#REF!</v>
      </c>
      <c r="P230" s="19" t="e">
        <f>SUMIFS(#REF!,#REF!,美团日报!$C267,#REF!,"饿了么")</f>
        <v>#REF!</v>
      </c>
      <c r="Q230" s="23"/>
      <c r="R230" s="23"/>
      <c r="S230" s="22" t="e">
        <f t="shared" si="22"/>
        <v>#REF!</v>
      </c>
      <c r="T230" s="19" t="e">
        <f>SUMIFS(#REF!,#REF!,美团日报!$C267,#REF!,"饿了么")</f>
        <v>#REF!</v>
      </c>
      <c r="U230" s="22" t="e">
        <f t="shared" si="23"/>
        <v>#REF!</v>
      </c>
      <c r="V230" s="19" t="e">
        <f>SUMIFS(#REF!,#REF!,美团日报!$C267,#REF!,"饿了么")</f>
        <v>#REF!</v>
      </c>
      <c r="W230" s="24" t="s">
        <v>13</v>
      </c>
    </row>
    <row r="231" ht="14.4" spans="1:23">
      <c r="A231" s="29" t="s">
        <v>264</v>
      </c>
      <c r="B231" s="29" t="s">
        <v>301</v>
      </c>
      <c r="C231" s="16">
        <v>8777</v>
      </c>
      <c r="D231" s="29" t="s">
        <v>525</v>
      </c>
      <c r="E231" s="18">
        <f>_xlfn.IFNA(VLOOKUP(C:C,线上线下销售!B:D,3,0),0)</f>
        <v>314.0535</v>
      </c>
      <c r="F231" s="18">
        <f>SUMIFS(线上订单!$E:$E,线上订单!$B:$B,美团日报!$C231,线上订单!$D:$D,"饿了么")</f>
        <v>0</v>
      </c>
      <c r="G231" s="19">
        <f t="shared" si="18"/>
        <v>0</v>
      </c>
      <c r="H231" s="18">
        <f>SUMIFS(线上订单!$F:$F,线上订单!$B:$B,美团日报!$C231,线上订单!$D:$D,"饿了么")</f>
        <v>0</v>
      </c>
      <c r="I231" s="18">
        <f>SUMIFS(线上订单!$F:$F,线上订单!$B:$B,美团日报!$C231,线上订单!$D:$D,"饿了么")</f>
        <v>0</v>
      </c>
      <c r="J231" s="21">
        <f t="shared" si="19"/>
        <v>0</v>
      </c>
      <c r="K231" s="22" t="e">
        <f t="shared" si="20"/>
        <v>#REF!</v>
      </c>
      <c r="L231" s="19" t="e">
        <f>SUMIFS(#REF!,#REF!,美团日报!$C268,#REF!,"饿了么")</f>
        <v>#REF!</v>
      </c>
      <c r="M231" s="23"/>
      <c r="N231" s="23"/>
      <c r="O231" s="22" t="e">
        <f t="shared" si="21"/>
        <v>#REF!</v>
      </c>
      <c r="P231" s="19" t="e">
        <f>SUMIFS(#REF!,#REF!,美团日报!$C268,#REF!,"饿了么")</f>
        <v>#REF!</v>
      </c>
      <c r="Q231" s="23"/>
      <c r="R231" s="23"/>
      <c r="S231" s="22" t="e">
        <f t="shared" si="22"/>
        <v>#REF!</v>
      </c>
      <c r="T231" s="19" t="e">
        <f>SUMIFS(#REF!,#REF!,美团日报!$C268,#REF!,"饿了么")</f>
        <v>#REF!</v>
      </c>
      <c r="U231" s="22" t="e">
        <f t="shared" si="23"/>
        <v>#REF!</v>
      </c>
      <c r="V231" s="19" t="e">
        <f>SUMIFS(#REF!,#REF!,美团日报!$C268,#REF!,"饿了么")</f>
        <v>#REF!</v>
      </c>
      <c r="W231" s="24" t="s">
        <v>13</v>
      </c>
    </row>
    <row r="232" ht="14.4" spans="1:23">
      <c r="A232" s="29" t="s">
        <v>264</v>
      </c>
      <c r="B232" s="29" t="s">
        <v>401</v>
      </c>
      <c r="C232" s="16">
        <v>8781</v>
      </c>
      <c r="D232" s="29" t="s">
        <v>526</v>
      </c>
      <c r="E232" s="18">
        <f>_xlfn.IFNA(VLOOKUP(C:C,线上线下销售!B:D,3,0),0)</f>
        <v>64906.9152</v>
      </c>
      <c r="F232" s="18">
        <f>SUMIFS(线上订单!$E:$E,线上订单!$B:$B,美团日报!$C232,线上订单!$D:$D,"饿了么")</f>
        <v>0</v>
      </c>
      <c r="G232" s="19">
        <f t="shared" si="18"/>
        <v>0</v>
      </c>
      <c r="H232" s="18">
        <f>SUMIFS(线上订单!$F:$F,线上订单!$B:$B,美团日报!$C232,线上订单!$D:$D,"饿了么")</f>
        <v>0</v>
      </c>
      <c r="I232" s="18">
        <f>SUMIFS(线上订单!$F:$F,线上订单!$B:$B,美团日报!$C232,线上订单!$D:$D,"饿了么")</f>
        <v>0</v>
      </c>
      <c r="J232" s="21">
        <f t="shared" si="19"/>
        <v>0</v>
      </c>
      <c r="K232" s="22" t="e">
        <f t="shared" si="20"/>
        <v>#REF!</v>
      </c>
      <c r="L232" s="19" t="e">
        <f>SUMIFS(#REF!,#REF!,美团日报!$C265,#REF!,"饿了么")</f>
        <v>#REF!</v>
      </c>
      <c r="M232" s="23"/>
      <c r="N232" s="23"/>
      <c r="O232" s="22" t="e">
        <f t="shared" si="21"/>
        <v>#REF!</v>
      </c>
      <c r="P232" s="19" t="e">
        <f>SUMIFS(#REF!,#REF!,美团日报!$C265,#REF!,"饿了么")</f>
        <v>#REF!</v>
      </c>
      <c r="Q232" s="23"/>
      <c r="R232" s="23"/>
      <c r="S232" s="22" t="e">
        <f t="shared" si="22"/>
        <v>#REF!</v>
      </c>
      <c r="T232" s="19" t="e">
        <f>SUMIFS(#REF!,#REF!,美团日报!$C265,#REF!,"饿了么")</f>
        <v>#REF!</v>
      </c>
      <c r="U232" s="22" t="e">
        <f t="shared" si="23"/>
        <v>#REF!</v>
      </c>
      <c r="V232" s="19" t="e">
        <f>SUMIFS(#REF!,#REF!,美团日报!$C265,#REF!,"饿了么")</f>
        <v>#REF!</v>
      </c>
      <c r="W232" s="24" t="s">
        <v>13</v>
      </c>
    </row>
    <row r="233" ht="14.4" spans="1:23">
      <c r="A233" s="30" t="s">
        <v>63</v>
      </c>
      <c r="B233" s="30" t="s">
        <v>86</v>
      </c>
      <c r="C233" s="31">
        <v>8779</v>
      </c>
      <c r="D233" s="30" t="s">
        <v>527</v>
      </c>
      <c r="E233" s="18">
        <f>_xlfn.IFNA(VLOOKUP(C:C,线上线下销售!B:D,3,0),0)</f>
        <v>2895.3975</v>
      </c>
      <c r="F233" s="18">
        <f>SUMIFS(线上订单!$E:$E,线上订单!$B:$B,美团日报!$C233,线上订单!$D:$D,"饿了么")</f>
        <v>0</v>
      </c>
      <c r="G233" s="19">
        <f t="shared" si="18"/>
        <v>0</v>
      </c>
      <c r="H233" s="18">
        <f>SUMIFS(线上订单!$F:$F,线上订单!$B:$B,美团日报!$C233,线上订单!$D:$D,"饿了么")</f>
        <v>0</v>
      </c>
      <c r="I233" s="18">
        <f>SUMIFS(线上订单!$F:$F,线上订单!$B:$B,美团日报!$C233,线上订单!$D:$D,"饿了么")</f>
        <v>0</v>
      </c>
      <c r="J233" s="21">
        <f t="shared" si="19"/>
        <v>0</v>
      </c>
      <c r="K233" s="22" t="e">
        <f t="shared" si="20"/>
        <v>#REF!</v>
      </c>
      <c r="L233" s="19" t="e">
        <f>SUMIFS(#REF!,#REF!,美团日报!$C266,#REF!,"饿了么")</f>
        <v>#REF!</v>
      </c>
      <c r="M233" s="23"/>
      <c r="N233" s="23"/>
      <c r="O233" s="22" t="e">
        <f t="shared" si="21"/>
        <v>#REF!</v>
      </c>
      <c r="P233" s="19" t="e">
        <f>SUMIFS(#REF!,#REF!,美团日报!$C266,#REF!,"饿了么")</f>
        <v>#REF!</v>
      </c>
      <c r="Q233" s="23"/>
      <c r="R233" s="23"/>
      <c r="S233" s="22" t="e">
        <f t="shared" si="22"/>
        <v>#REF!</v>
      </c>
      <c r="T233" s="19" t="e">
        <f>SUMIFS(#REF!,#REF!,美团日报!$C266,#REF!,"饿了么")</f>
        <v>#REF!</v>
      </c>
      <c r="U233" s="22" t="e">
        <f t="shared" si="23"/>
        <v>#REF!</v>
      </c>
      <c r="V233" s="19" t="e">
        <f>SUMIFS(#REF!,#REF!,美团日报!$C266,#REF!,"饿了么")</f>
        <v>#REF!</v>
      </c>
      <c r="W233" s="24" t="s">
        <v>13</v>
      </c>
    </row>
    <row r="234" ht="14.4" spans="1:23">
      <c r="A234" s="30" t="s">
        <v>63</v>
      </c>
      <c r="B234" s="30" t="s">
        <v>168</v>
      </c>
      <c r="C234" s="31">
        <v>8792</v>
      </c>
      <c r="D234" s="30" t="s">
        <v>528</v>
      </c>
      <c r="E234" s="18">
        <f>_xlfn.IFNA(VLOOKUP(C:C,线上线下销售!B:D,3,0),0)</f>
        <v>8377.1846</v>
      </c>
      <c r="F234" s="18">
        <f>SUMIFS(线上订单!$E:$E,线上订单!$B:$B,美团日报!$C234,线上订单!$D:$D,"饿了么")</f>
        <v>0</v>
      </c>
      <c r="G234" s="19">
        <f t="shared" si="18"/>
        <v>0</v>
      </c>
      <c r="H234" s="18">
        <f>SUMIFS(线上订单!$F:$F,线上订单!$B:$B,美团日报!$C234,线上订单!$D:$D,"饿了么")</f>
        <v>0</v>
      </c>
      <c r="I234" s="18">
        <f>SUMIFS(线上订单!$F:$F,线上订单!$B:$B,美团日报!$C234,线上订单!$D:$D,"饿了么")</f>
        <v>0</v>
      </c>
      <c r="J234" s="21">
        <f t="shared" si="19"/>
        <v>0</v>
      </c>
      <c r="K234" s="22" t="e">
        <f t="shared" si="20"/>
        <v>#REF!</v>
      </c>
      <c r="L234" s="19" t="e">
        <f>SUMIFS(#REF!,#REF!,美团日报!$C267,#REF!,"饿了么")</f>
        <v>#REF!</v>
      </c>
      <c r="M234" s="23"/>
      <c r="N234" s="23"/>
      <c r="O234" s="22" t="e">
        <f t="shared" si="21"/>
        <v>#REF!</v>
      </c>
      <c r="P234" s="19" t="e">
        <f>SUMIFS(#REF!,#REF!,美团日报!$C267,#REF!,"饿了么")</f>
        <v>#REF!</v>
      </c>
      <c r="Q234" s="23"/>
      <c r="R234" s="23"/>
      <c r="S234" s="22" t="e">
        <f t="shared" si="22"/>
        <v>#REF!</v>
      </c>
      <c r="T234" s="19" t="e">
        <f>SUMIFS(#REF!,#REF!,美团日报!$C267,#REF!,"饿了么")</f>
        <v>#REF!</v>
      </c>
      <c r="U234" s="22" t="e">
        <f t="shared" si="23"/>
        <v>#REF!</v>
      </c>
      <c r="V234" s="19" t="e">
        <f>SUMIFS(#REF!,#REF!,美团日报!$C267,#REF!,"饿了么")</f>
        <v>#REF!</v>
      </c>
      <c r="W234" s="24" t="s">
        <v>13</v>
      </c>
    </row>
    <row r="235" ht="14.4" spans="1:23">
      <c r="A235" s="30" t="s">
        <v>63</v>
      </c>
      <c r="B235" s="30" t="s">
        <v>168</v>
      </c>
      <c r="C235" s="31">
        <v>8774</v>
      </c>
      <c r="D235" s="30" t="s">
        <v>529</v>
      </c>
      <c r="E235" s="18">
        <f>_xlfn.IFNA(VLOOKUP(C:C,线上线下销售!B:D,3,0),0)</f>
        <v>3246.8189</v>
      </c>
      <c r="F235" s="18">
        <f>SUMIFS(线上订单!$E:$E,线上订单!$B:$B,美团日报!$C235,线上订单!$D:$D,"饿了么")</f>
        <v>0</v>
      </c>
      <c r="G235" s="19">
        <f t="shared" si="18"/>
        <v>0</v>
      </c>
      <c r="H235" s="18">
        <f>SUMIFS(线上订单!$F:$F,线上订单!$B:$B,美团日报!$C235,线上订单!$D:$D,"饿了么")</f>
        <v>0</v>
      </c>
      <c r="I235" s="18">
        <f>SUMIFS(线上订单!$F:$F,线上订单!$B:$B,美团日报!$C235,线上订单!$D:$D,"饿了么")</f>
        <v>0</v>
      </c>
      <c r="J235" s="21">
        <f t="shared" si="19"/>
        <v>0</v>
      </c>
      <c r="K235" s="22" t="e">
        <f t="shared" si="20"/>
        <v>#REF!</v>
      </c>
      <c r="L235" s="19" t="e">
        <f>SUMIFS(#REF!,#REF!,美团日报!$C268,#REF!,"饿了么")</f>
        <v>#REF!</v>
      </c>
      <c r="M235" s="23"/>
      <c r="N235" s="23"/>
      <c r="O235" s="22" t="e">
        <f t="shared" si="21"/>
        <v>#REF!</v>
      </c>
      <c r="P235" s="19" t="e">
        <f>SUMIFS(#REF!,#REF!,美团日报!$C268,#REF!,"饿了么")</f>
        <v>#REF!</v>
      </c>
      <c r="Q235" s="23"/>
      <c r="R235" s="23"/>
      <c r="S235" s="22" t="e">
        <f t="shared" si="22"/>
        <v>#REF!</v>
      </c>
      <c r="T235" s="19" t="e">
        <f>SUMIFS(#REF!,#REF!,美团日报!$C268,#REF!,"饿了么")</f>
        <v>#REF!</v>
      </c>
      <c r="U235" s="22" t="e">
        <f t="shared" si="23"/>
        <v>#REF!</v>
      </c>
      <c r="V235" s="19" t="e">
        <f>SUMIFS(#REF!,#REF!,美团日报!$C268,#REF!,"饿了么")</f>
        <v>#REF!</v>
      </c>
      <c r="W235" s="24" t="s">
        <v>13</v>
      </c>
    </row>
    <row r="236" ht="14.4" spans="1:23">
      <c r="A236" s="30" t="s">
        <v>264</v>
      </c>
      <c r="B236" s="30" t="s">
        <v>350</v>
      </c>
      <c r="C236" s="31">
        <v>8770</v>
      </c>
      <c r="D236" s="30" t="s">
        <v>531</v>
      </c>
      <c r="E236" s="18">
        <f>_xlfn.IFNA(VLOOKUP(C:C,线上线下销售!B:D,3,0),0)</f>
        <v>0</v>
      </c>
      <c r="F236" s="18">
        <f>SUMIFS(线上订单!$E:$E,线上订单!$B:$B,美团日报!$C236,线上订单!$D:$D,"饿了么")</f>
        <v>0</v>
      </c>
      <c r="G236" s="19">
        <f t="shared" si="18"/>
        <v>0</v>
      </c>
      <c r="H236" s="18">
        <f>SUMIFS(线上订单!$F:$F,线上订单!$B:$B,美团日报!$C236,线上订单!$D:$D,"饿了么")</f>
        <v>0</v>
      </c>
      <c r="I236" s="18">
        <f>SUMIFS(线上订单!$F:$F,线上订单!$B:$B,美团日报!$C236,线上订单!$D:$D,"饿了么")</f>
        <v>0</v>
      </c>
      <c r="J236" s="21">
        <f t="shared" si="19"/>
        <v>0</v>
      </c>
      <c r="K236" s="22" t="e">
        <f t="shared" si="20"/>
        <v>#REF!</v>
      </c>
      <c r="L236" s="19" t="e">
        <f>SUMIFS(#REF!,#REF!,美团日报!$C269,#REF!,"饿了么")</f>
        <v>#REF!</v>
      </c>
      <c r="M236" s="23"/>
      <c r="N236" s="23"/>
      <c r="O236" s="22" t="e">
        <f t="shared" si="21"/>
        <v>#REF!</v>
      </c>
      <c r="P236" s="19" t="e">
        <f>SUMIFS(#REF!,#REF!,美团日报!$C269,#REF!,"饿了么")</f>
        <v>#REF!</v>
      </c>
      <c r="Q236" s="23"/>
      <c r="R236" s="23"/>
      <c r="S236" s="22" t="e">
        <f t="shared" si="22"/>
        <v>#REF!</v>
      </c>
      <c r="T236" s="19" t="e">
        <f>SUMIFS(#REF!,#REF!,美团日报!$C269,#REF!,"饿了么")</f>
        <v>#REF!</v>
      </c>
      <c r="U236" s="22" t="e">
        <f t="shared" si="23"/>
        <v>#REF!</v>
      </c>
      <c r="V236" s="19" t="e">
        <f>SUMIFS(#REF!,#REF!,美团日报!$C269,#REF!,"饿了么")</f>
        <v>#REF!</v>
      </c>
      <c r="W236" s="24" t="s">
        <v>13</v>
      </c>
    </row>
    <row r="237" ht="14.4" spans="1:23">
      <c r="A237" s="30" t="s">
        <v>264</v>
      </c>
      <c r="B237" s="30" t="s">
        <v>350</v>
      </c>
      <c r="C237" s="31">
        <v>8769</v>
      </c>
      <c r="D237" s="30" t="s">
        <v>532</v>
      </c>
      <c r="E237" s="18">
        <f>_xlfn.IFNA(VLOOKUP(C:C,线上线下销售!B:D,3,0),0)</f>
        <v>0</v>
      </c>
      <c r="F237" s="18">
        <f>SUMIFS(线上订单!$E:$E,线上订单!$B:$B,美团日报!$C237,线上订单!$D:$D,"饿了么")</f>
        <v>0</v>
      </c>
      <c r="G237" s="19">
        <f t="shared" si="18"/>
        <v>0</v>
      </c>
      <c r="H237" s="18">
        <f>SUMIFS(线上订单!$F:$F,线上订单!$B:$B,美团日报!$C237,线上订单!$D:$D,"饿了么")</f>
        <v>0</v>
      </c>
      <c r="I237" s="18">
        <f>SUMIFS(线上订单!$F:$F,线上订单!$B:$B,美团日报!$C237,线上订单!$D:$D,"饿了么")</f>
        <v>0</v>
      </c>
      <c r="J237" s="21">
        <f t="shared" si="19"/>
        <v>0</v>
      </c>
      <c r="K237" s="22" t="e">
        <f t="shared" si="20"/>
        <v>#REF!</v>
      </c>
      <c r="L237" s="19" t="e">
        <f>SUMIFS(#REF!,#REF!,美团日报!$C270,#REF!,"饿了么")</f>
        <v>#REF!</v>
      </c>
      <c r="M237" s="23"/>
      <c r="N237" s="23"/>
      <c r="O237" s="22" t="e">
        <f t="shared" si="21"/>
        <v>#REF!</v>
      </c>
      <c r="P237" s="19" t="e">
        <f>SUMIFS(#REF!,#REF!,美团日报!$C270,#REF!,"饿了么")</f>
        <v>#REF!</v>
      </c>
      <c r="Q237" s="23"/>
      <c r="R237" s="23"/>
      <c r="S237" s="22" t="e">
        <f t="shared" si="22"/>
        <v>#REF!</v>
      </c>
      <c r="T237" s="19" t="e">
        <f>SUMIFS(#REF!,#REF!,美团日报!$C270,#REF!,"饿了么")</f>
        <v>#REF!</v>
      </c>
      <c r="U237" s="22" t="e">
        <f t="shared" si="23"/>
        <v>#REF!</v>
      </c>
      <c r="V237" s="19" t="e">
        <f>SUMIFS(#REF!,#REF!,美团日报!$C270,#REF!,"饿了么")</f>
        <v>#REF!</v>
      </c>
      <c r="W237" s="24" t="s">
        <v>13</v>
      </c>
    </row>
    <row r="238" ht="14.4" spans="1:23">
      <c r="A238" s="30" t="s">
        <v>48</v>
      </c>
      <c r="B238" s="30" t="s">
        <v>83</v>
      </c>
      <c r="C238" s="31">
        <v>8775</v>
      </c>
      <c r="D238" s="30" t="s">
        <v>533</v>
      </c>
      <c r="E238" s="18">
        <f>_xlfn.IFNA(VLOOKUP(C:C,线上线下销售!B:D,3,0),0)</f>
        <v>0</v>
      </c>
      <c r="F238" s="18">
        <f>SUMIFS(线上订单!$E:$E,线上订单!$B:$B,美团日报!$C238,线上订单!$D:$D,"饿了么")</f>
        <v>0</v>
      </c>
      <c r="G238" s="19">
        <f t="shared" si="18"/>
        <v>0</v>
      </c>
      <c r="H238" s="18">
        <f>SUMIFS(线上订单!$F:$F,线上订单!$B:$B,美团日报!$C238,线上订单!$D:$D,"饿了么")</f>
        <v>0</v>
      </c>
      <c r="I238" s="18">
        <f>SUMIFS(线上订单!$F:$F,线上订单!$B:$B,美团日报!$C238,线上订单!$D:$D,"饿了么")</f>
        <v>0</v>
      </c>
      <c r="J238" s="21">
        <f t="shared" si="19"/>
        <v>0</v>
      </c>
      <c r="K238" s="22" t="e">
        <f t="shared" si="20"/>
        <v>#REF!</v>
      </c>
      <c r="L238" s="19" t="e">
        <f>SUMIFS(#REF!,#REF!,美团日报!$C271,#REF!,"饿了么")</f>
        <v>#REF!</v>
      </c>
      <c r="M238" s="23"/>
      <c r="N238" s="23"/>
      <c r="O238" s="22" t="e">
        <f t="shared" si="21"/>
        <v>#REF!</v>
      </c>
      <c r="P238" s="19" t="e">
        <f>SUMIFS(#REF!,#REF!,美团日报!$C271,#REF!,"饿了么")</f>
        <v>#REF!</v>
      </c>
      <c r="Q238" s="23"/>
      <c r="R238" s="23"/>
      <c r="S238" s="22" t="e">
        <f t="shared" si="22"/>
        <v>#REF!</v>
      </c>
      <c r="T238" s="19" t="e">
        <f>SUMIFS(#REF!,#REF!,美团日报!$C271,#REF!,"饿了么")</f>
        <v>#REF!</v>
      </c>
      <c r="U238" s="22" t="e">
        <f t="shared" si="23"/>
        <v>#REF!</v>
      </c>
      <c r="V238" s="19" t="e">
        <f>SUMIFS(#REF!,#REF!,美团日报!$C271,#REF!,"饿了么")</f>
        <v>#REF!</v>
      </c>
      <c r="W238" s="24" t="s">
        <v>13</v>
      </c>
    </row>
    <row r="239" ht="14.4" spans="1:23">
      <c r="A239" s="30"/>
      <c r="B239" s="30"/>
      <c r="C239" s="31">
        <v>8789</v>
      </c>
      <c r="D239" s="32" t="s">
        <v>534</v>
      </c>
      <c r="E239" s="18">
        <f>_xlfn.IFNA(VLOOKUP(C:C,线上线下销售!B:D,3,0),0)</f>
        <v>4155.7465</v>
      </c>
      <c r="F239" s="18">
        <f>SUMIFS(线上订单!$E:$E,线上订单!$B:$B,美团日报!$C239,线上订单!$D:$D,"饿了么")</f>
        <v>0</v>
      </c>
      <c r="G239" s="19">
        <f t="shared" si="18"/>
        <v>0</v>
      </c>
      <c r="H239" s="18">
        <f>SUMIFS(线上订单!$F:$F,线上订单!$B:$B,美团日报!$C239,线上订单!$D:$D,"饿了么")</f>
        <v>0</v>
      </c>
      <c r="I239" s="18">
        <f>SUMIFS(线上订单!$F:$F,线上订单!$B:$B,美团日报!$C239,线上订单!$D:$D,"饿了么")</f>
        <v>0</v>
      </c>
      <c r="J239" s="21">
        <f t="shared" si="19"/>
        <v>0</v>
      </c>
      <c r="K239" s="22" t="e">
        <f t="shared" si="20"/>
        <v>#REF!</v>
      </c>
      <c r="L239" s="19" t="e">
        <f>SUMIFS(#REF!,#REF!,美团日报!$C272,#REF!,"饿了么")</f>
        <v>#REF!</v>
      </c>
      <c r="M239" s="23"/>
      <c r="N239" s="23"/>
      <c r="O239" s="22" t="e">
        <f t="shared" si="21"/>
        <v>#REF!</v>
      </c>
      <c r="P239" s="19" t="e">
        <f>SUMIFS(#REF!,#REF!,美团日报!$C272,#REF!,"饿了么")</f>
        <v>#REF!</v>
      </c>
      <c r="Q239" s="23"/>
      <c r="R239" s="23"/>
      <c r="S239" s="22" t="e">
        <f t="shared" si="22"/>
        <v>#REF!</v>
      </c>
      <c r="T239" s="19" t="e">
        <f>SUMIFS(#REF!,#REF!,美团日报!$C272,#REF!,"饿了么")</f>
        <v>#REF!</v>
      </c>
      <c r="U239" s="22" t="e">
        <f t="shared" si="23"/>
        <v>#REF!</v>
      </c>
      <c r="V239" s="19" t="e">
        <f>SUMIFS(#REF!,#REF!,美团日报!$C272,#REF!,"饿了么")</f>
        <v>#REF!</v>
      </c>
      <c r="W239" s="24" t="s">
        <v>13</v>
      </c>
    </row>
    <row r="240" ht="14.4" spans="1:23">
      <c r="A240" s="30"/>
      <c r="B240" s="30"/>
      <c r="C240" s="33">
        <v>8798</v>
      </c>
      <c r="D240" s="32" t="s">
        <v>536</v>
      </c>
      <c r="E240" s="18">
        <f>_xlfn.IFNA(VLOOKUP(C:C,线上线下销售!B:D,3,0),0)</f>
        <v>4611.6069</v>
      </c>
      <c r="F240" s="18">
        <f>SUMIFS(线上订单!$E:$E,线上订单!$B:$B,美团日报!$C240,线上订单!$D:$D,"饿了么")</f>
        <v>0</v>
      </c>
      <c r="G240" s="19">
        <f t="shared" si="18"/>
        <v>0</v>
      </c>
      <c r="H240" s="18">
        <f>SUMIFS(线上订单!$F:$F,线上订单!$B:$B,美团日报!$C240,线上订单!$D:$D,"饿了么")</f>
        <v>0</v>
      </c>
      <c r="I240" s="18">
        <f>SUMIFS(线上订单!$F:$F,线上订单!$B:$B,美团日报!$C240,线上订单!$D:$D,"饿了么")</f>
        <v>0</v>
      </c>
      <c r="J240" s="21">
        <f t="shared" si="19"/>
        <v>0</v>
      </c>
      <c r="K240" s="22" t="e">
        <f t="shared" si="20"/>
        <v>#REF!</v>
      </c>
      <c r="L240" s="19" t="e">
        <f>SUMIFS(#REF!,#REF!,美团日报!$C273,#REF!,"饿了么")</f>
        <v>#REF!</v>
      </c>
      <c r="M240" s="23"/>
      <c r="N240" s="23"/>
      <c r="O240" s="22" t="e">
        <f t="shared" si="21"/>
        <v>#REF!</v>
      </c>
      <c r="P240" s="19" t="e">
        <f>SUMIFS(#REF!,#REF!,美团日报!$C273,#REF!,"饿了么")</f>
        <v>#REF!</v>
      </c>
      <c r="Q240" s="23"/>
      <c r="R240" s="23"/>
      <c r="S240" s="22" t="e">
        <f t="shared" si="22"/>
        <v>#REF!</v>
      </c>
      <c r="T240" s="19" t="e">
        <f>SUMIFS(#REF!,#REF!,美团日报!$C273,#REF!,"饿了么")</f>
        <v>#REF!</v>
      </c>
      <c r="U240" s="22" t="e">
        <f t="shared" si="23"/>
        <v>#REF!</v>
      </c>
      <c r="V240" s="19" t="e">
        <f>SUMIFS(#REF!,#REF!,美团日报!$C273,#REF!,"饿了么")</f>
        <v>#REF!</v>
      </c>
      <c r="W240" s="24" t="s">
        <v>13</v>
      </c>
    </row>
    <row r="241" ht="14.4" spans="1:23">
      <c r="A241" s="30"/>
      <c r="B241" s="30"/>
      <c r="C241" s="33">
        <v>8800</v>
      </c>
      <c r="D241" s="32" t="s">
        <v>538</v>
      </c>
      <c r="E241" s="18">
        <f>_xlfn.IFNA(VLOOKUP(C:C,线上线下销售!B:D,3,0),0)</f>
        <v>4055.4092</v>
      </c>
      <c r="F241" s="18">
        <f>SUMIFS(线上订单!$E:$E,线上订单!$B:$B,美团日报!$C241,线上订单!$D:$D,"饿了么")</f>
        <v>0</v>
      </c>
      <c r="G241" s="19">
        <f t="shared" si="18"/>
        <v>0</v>
      </c>
      <c r="H241" s="18">
        <f>SUMIFS(线上订单!$F:$F,线上订单!$B:$B,美团日报!$C241,线上订单!$D:$D,"饿了么")</f>
        <v>0</v>
      </c>
      <c r="I241" s="18">
        <f>SUMIFS(线上订单!$F:$F,线上订单!$B:$B,美团日报!$C241,线上订单!$D:$D,"饿了么")</f>
        <v>0</v>
      </c>
      <c r="J241" s="21">
        <f t="shared" si="19"/>
        <v>0</v>
      </c>
      <c r="K241" s="22" t="e">
        <f t="shared" si="20"/>
        <v>#REF!</v>
      </c>
      <c r="L241" s="19" t="e">
        <f>SUMIFS(#REF!,#REF!,美团日报!$C274,#REF!,"饿了么")</f>
        <v>#REF!</v>
      </c>
      <c r="M241" s="23"/>
      <c r="N241" s="23"/>
      <c r="O241" s="22" t="e">
        <f t="shared" si="21"/>
        <v>#REF!</v>
      </c>
      <c r="P241" s="19" t="e">
        <f>SUMIFS(#REF!,#REF!,美团日报!$C274,#REF!,"饿了么")</f>
        <v>#REF!</v>
      </c>
      <c r="Q241" s="23"/>
      <c r="R241" s="23"/>
      <c r="S241" s="22" t="e">
        <f t="shared" si="22"/>
        <v>#REF!</v>
      </c>
      <c r="T241" s="19" t="e">
        <f>SUMIFS(#REF!,#REF!,美团日报!$C274,#REF!,"饿了么")</f>
        <v>#REF!</v>
      </c>
      <c r="U241" s="22" t="e">
        <f t="shared" si="23"/>
        <v>#REF!</v>
      </c>
      <c r="V241" s="19" t="e">
        <f>SUMIFS(#REF!,#REF!,美团日报!$C274,#REF!,"饿了么")</f>
        <v>#REF!</v>
      </c>
      <c r="W241" s="24" t="s">
        <v>13</v>
      </c>
    </row>
    <row r="242" ht="14.4" spans="1:23">
      <c r="A242" s="30"/>
      <c r="B242" s="30"/>
      <c r="C242" s="33">
        <v>8790</v>
      </c>
      <c r="D242" s="32" t="s">
        <v>539</v>
      </c>
      <c r="E242" s="18">
        <f>_xlfn.IFNA(VLOOKUP(C:C,线上线下销售!B:D,3,0),0)</f>
        <v>2548.7954</v>
      </c>
      <c r="F242" s="18">
        <f>SUMIFS(线上订单!$E:$E,线上订单!$B:$B,美团日报!$C242,线上订单!$D:$D,"饿了么")</f>
        <v>0</v>
      </c>
      <c r="G242" s="19">
        <f t="shared" si="18"/>
        <v>0</v>
      </c>
      <c r="H242" s="18">
        <f>SUMIFS(线上订单!$F:$F,线上订单!$B:$B,美团日报!$C242,线上订单!$D:$D,"饿了么")</f>
        <v>0</v>
      </c>
      <c r="I242" s="18">
        <f>SUMIFS(线上订单!$F:$F,线上订单!$B:$B,美团日报!$C242,线上订单!$D:$D,"饿了么")</f>
        <v>0</v>
      </c>
      <c r="J242" s="21">
        <f t="shared" si="19"/>
        <v>0</v>
      </c>
      <c r="K242" s="22" t="e">
        <f t="shared" si="20"/>
        <v>#REF!</v>
      </c>
      <c r="L242" s="19" t="e">
        <f>SUMIFS(#REF!,#REF!,美团日报!$C275,#REF!,"饿了么")</f>
        <v>#REF!</v>
      </c>
      <c r="M242" s="23"/>
      <c r="N242" s="23"/>
      <c r="O242" s="22" t="e">
        <f t="shared" si="21"/>
        <v>#REF!</v>
      </c>
      <c r="P242" s="19" t="e">
        <f>SUMIFS(#REF!,#REF!,美团日报!$C275,#REF!,"饿了么")</f>
        <v>#REF!</v>
      </c>
      <c r="Q242" s="23"/>
      <c r="R242" s="23"/>
      <c r="S242" s="22" t="e">
        <f t="shared" si="22"/>
        <v>#REF!</v>
      </c>
      <c r="T242" s="19" t="e">
        <f>SUMIFS(#REF!,#REF!,美团日报!$C275,#REF!,"饿了么")</f>
        <v>#REF!</v>
      </c>
      <c r="U242" s="22" t="e">
        <f t="shared" si="23"/>
        <v>#REF!</v>
      </c>
      <c r="V242" s="19" t="e">
        <f>SUMIFS(#REF!,#REF!,美团日报!$C275,#REF!,"饿了么")</f>
        <v>#REF!</v>
      </c>
      <c r="W242" s="24" t="s">
        <v>13</v>
      </c>
    </row>
    <row r="243" ht="14.4" spans="1:23">
      <c r="A243" s="30"/>
      <c r="B243" s="30"/>
      <c r="C243" s="33">
        <v>8796</v>
      </c>
      <c r="D243" s="32" t="s">
        <v>540</v>
      </c>
      <c r="E243" s="18">
        <f>_xlfn.IFNA(VLOOKUP(C:C,线上线下销售!B:D,3,0),0)</f>
        <v>1029.4834</v>
      </c>
      <c r="F243" s="18">
        <f>SUMIFS(线上订单!$E:$E,线上订单!$B:$B,美团日报!$C243,线上订单!$D:$D,"饿了么")</f>
        <v>0</v>
      </c>
      <c r="G243" s="19">
        <f t="shared" si="18"/>
        <v>0</v>
      </c>
      <c r="H243" s="18">
        <f>SUMIFS(线上订单!$F:$F,线上订单!$B:$B,美团日报!$C243,线上订单!$D:$D,"饿了么")</f>
        <v>0</v>
      </c>
      <c r="I243" s="18">
        <f>SUMIFS(线上订单!$F:$F,线上订单!$B:$B,美团日报!$C243,线上订单!$D:$D,"饿了么")</f>
        <v>0</v>
      </c>
      <c r="J243" s="21">
        <f t="shared" si="19"/>
        <v>0</v>
      </c>
      <c r="K243" s="22" t="e">
        <f t="shared" si="20"/>
        <v>#REF!</v>
      </c>
      <c r="L243" s="19" t="e">
        <f>SUMIFS(#REF!,#REF!,美团日报!$C276,#REF!,"饿了么")</f>
        <v>#REF!</v>
      </c>
      <c r="M243" s="23"/>
      <c r="N243" s="23"/>
      <c r="O243" s="22" t="e">
        <f t="shared" si="21"/>
        <v>#REF!</v>
      </c>
      <c r="P243" s="19" t="e">
        <f>SUMIFS(#REF!,#REF!,美团日报!$C276,#REF!,"饿了么")</f>
        <v>#REF!</v>
      </c>
      <c r="Q243" s="23"/>
      <c r="R243" s="23"/>
      <c r="S243" s="22" t="e">
        <f t="shared" si="22"/>
        <v>#REF!</v>
      </c>
      <c r="T243" s="19" t="e">
        <f>SUMIFS(#REF!,#REF!,美团日报!$C276,#REF!,"饿了么")</f>
        <v>#REF!</v>
      </c>
      <c r="U243" s="22" t="e">
        <f t="shared" si="23"/>
        <v>#REF!</v>
      </c>
      <c r="V243" s="19" t="e">
        <f>SUMIFS(#REF!,#REF!,美团日报!$C276,#REF!,"饿了么")</f>
        <v>#REF!</v>
      </c>
      <c r="W243" s="24" t="s">
        <v>13</v>
      </c>
    </row>
    <row r="244" ht="14.4" spans="1:23">
      <c r="A244" s="30"/>
      <c r="B244" s="30"/>
      <c r="C244" s="33">
        <v>8803</v>
      </c>
      <c r="D244" s="32" t="s">
        <v>541</v>
      </c>
      <c r="E244" s="18">
        <f>_xlfn.IFNA(VLOOKUP(C:C,线上线下销售!B:D,3,0),0)</f>
        <v>1940.8555</v>
      </c>
      <c r="F244" s="18">
        <f>SUMIFS(线上订单!$E:$E,线上订单!$B:$B,美团日报!$C244,线上订单!$D:$D,"饿了么")</f>
        <v>0</v>
      </c>
      <c r="G244" s="19">
        <f t="shared" si="18"/>
        <v>0</v>
      </c>
      <c r="H244" s="18">
        <f>SUMIFS(线上订单!$F:$F,线上订单!$B:$B,美团日报!$C244,线上订单!$D:$D,"饿了么")</f>
        <v>0</v>
      </c>
      <c r="I244" s="18">
        <f>SUMIFS(线上订单!$F:$F,线上订单!$B:$B,美团日报!$C244,线上订单!$D:$D,"饿了么")</f>
        <v>0</v>
      </c>
      <c r="J244" s="21">
        <f t="shared" si="19"/>
        <v>0</v>
      </c>
      <c r="K244" s="22" t="e">
        <f t="shared" si="20"/>
        <v>#REF!</v>
      </c>
      <c r="L244" s="19" t="e">
        <f>SUMIFS(#REF!,#REF!,美团日报!$C277,#REF!,"饿了么")</f>
        <v>#REF!</v>
      </c>
      <c r="M244" s="23"/>
      <c r="N244" s="23"/>
      <c r="O244" s="22" t="e">
        <f t="shared" si="21"/>
        <v>#REF!</v>
      </c>
      <c r="P244" s="19" t="e">
        <f>SUMIFS(#REF!,#REF!,美团日报!$C277,#REF!,"饿了么")</f>
        <v>#REF!</v>
      </c>
      <c r="Q244" s="23"/>
      <c r="R244" s="23"/>
      <c r="S244" s="22" t="e">
        <f t="shared" si="22"/>
        <v>#REF!</v>
      </c>
      <c r="T244" s="19" t="e">
        <f>SUMIFS(#REF!,#REF!,美团日报!$C277,#REF!,"饿了么")</f>
        <v>#REF!</v>
      </c>
      <c r="U244" s="22" t="e">
        <f t="shared" si="23"/>
        <v>#REF!</v>
      </c>
      <c r="V244" s="19" t="e">
        <f>SUMIFS(#REF!,#REF!,美团日报!$C277,#REF!,"饿了么")</f>
        <v>#REF!</v>
      </c>
      <c r="W244" s="24" t="s">
        <v>13</v>
      </c>
    </row>
    <row r="245" ht="14.4" spans="1:23">
      <c r="A245" s="30"/>
      <c r="B245" s="30"/>
      <c r="C245" s="33">
        <v>8810</v>
      </c>
      <c r="D245" s="32" t="s">
        <v>542</v>
      </c>
      <c r="E245" s="18">
        <f>_xlfn.IFNA(VLOOKUP(C:C,线上线下销售!B:D,3,0),0)</f>
        <v>23884.7035</v>
      </c>
      <c r="F245" s="18">
        <f>SUMIFS(线上订单!$E:$E,线上订单!$B:$B,美团日报!$C245,线上订单!$D:$D,"饿了么")</f>
        <v>0</v>
      </c>
      <c r="G245" s="19">
        <f t="shared" si="18"/>
        <v>0</v>
      </c>
      <c r="H245" s="18">
        <f>SUMIFS(线上订单!$F:$F,线上订单!$B:$B,美团日报!$C245,线上订单!$D:$D,"饿了么")</f>
        <v>0</v>
      </c>
      <c r="I245" s="18">
        <f>SUMIFS(线上订单!$F:$F,线上订单!$B:$B,美团日报!$C245,线上订单!$D:$D,"饿了么")</f>
        <v>0</v>
      </c>
      <c r="J245" s="21">
        <f t="shared" si="19"/>
        <v>0</v>
      </c>
      <c r="K245" s="22" t="e">
        <f t="shared" si="20"/>
        <v>#REF!</v>
      </c>
      <c r="L245" s="19" t="e">
        <f>SUMIFS(#REF!,#REF!,美团日报!$C278,#REF!,"饿了么")</f>
        <v>#REF!</v>
      </c>
      <c r="M245" s="23"/>
      <c r="N245" s="23"/>
      <c r="O245" s="22" t="e">
        <f t="shared" si="21"/>
        <v>#REF!</v>
      </c>
      <c r="P245" s="19" t="e">
        <f>SUMIFS(#REF!,#REF!,美团日报!$C278,#REF!,"饿了么")</f>
        <v>#REF!</v>
      </c>
      <c r="Q245" s="23"/>
      <c r="R245" s="23"/>
      <c r="S245" s="22" t="e">
        <f t="shared" si="22"/>
        <v>#REF!</v>
      </c>
      <c r="T245" s="19" t="e">
        <f>SUMIFS(#REF!,#REF!,美团日报!$C278,#REF!,"饿了么")</f>
        <v>#REF!</v>
      </c>
      <c r="U245" s="22" t="e">
        <f t="shared" si="23"/>
        <v>#REF!</v>
      </c>
      <c r="V245" s="19" t="e">
        <f>SUMIFS(#REF!,#REF!,美团日报!$C278,#REF!,"饿了么")</f>
        <v>#REF!</v>
      </c>
      <c r="W245" s="24" t="s">
        <v>13</v>
      </c>
    </row>
    <row r="246" ht="14.4" spans="1:23">
      <c r="A246" s="30"/>
      <c r="B246" s="30"/>
      <c r="C246" s="33">
        <v>8801</v>
      </c>
      <c r="D246" s="32" t="s">
        <v>543</v>
      </c>
      <c r="E246" s="18">
        <f>_xlfn.IFNA(VLOOKUP(C:C,线上线下销售!B:D,3,0),0)</f>
        <v>806.8885</v>
      </c>
      <c r="F246" s="18">
        <f>SUMIFS(线上订单!$E:$E,线上订单!$B:$B,美团日报!$C246,线上订单!$D:$D,"饿了么")</f>
        <v>0</v>
      </c>
      <c r="G246" s="19">
        <f t="shared" si="18"/>
        <v>0</v>
      </c>
      <c r="H246" s="18">
        <f>SUMIFS(线上订单!$F:$F,线上订单!$B:$B,美团日报!$C246,线上订单!$D:$D,"饿了么")</f>
        <v>0</v>
      </c>
      <c r="I246" s="18">
        <f>SUMIFS(线上订单!$F:$F,线上订单!$B:$B,美团日报!$C246,线上订单!$D:$D,"饿了么")</f>
        <v>0</v>
      </c>
      <c r="J246" s="21">
        <f t="shared" si="19"/>
        <v>0</v>
      </c>
      <c r="K246" s="22" t="e">
        <f t="shared" si="20"/>
        <v>#REF!</v>
      </c>
      <c r="L246" s="19" t="e">
        <f>SUMIFS(#REF!,#REF!,美团日报!$C279,#REF!,"饿了么")</f>
        <v>#REF!</v>
      </c>
      <c r="M246" s="23"/>
      <c r="N246" s="23"/>
      <c r="O246" s="22" t="e">
        <f t="shared" si="21"/>
        <v>#REF!</v>
      </c>
      <c r="P246" s="19" t="e">
        <f>SUMIFS(#REF!,#REF!,美团日报!$C279,#REF!,"饿了么")</f>
        <v>#REF!</v>
      </c>
      <c r="Q246" s="23"/>
      <c r="R246" s="23"/>
      <c r="S246" s="22" t="e">
        <f t="shared" si="22"/>
        <v>#REF!</v>
      </c>
      <c r="T246" s="19" t="e">
        <f>SUMIFS(#REF!,#REF!,美团日报!$C279,#REF!,"饿了么")</f>
        <v>#REF!</v>
      </c>
      <c r="U246" s="22" t="e">
        <f t="shared" si="23"/>
        <v>#REF!</v>
      </c>
      <c r="V246" s="19" t="e">
        <f>SUMIFS(#REF!,#REF!,美团日报!$C279,#REF!,"饿了么")</f>
        <v>#REF!</v>
      </c>
      <c r="W246" s="24" t="s">
        <v>13</v>
      </c>
    </row>
    <row r="247" ht="14.4" spans="1:23">
      <c r="A247" s="30"/>
      <c r="B247" s="30"/>
      <c r="C247" s="33">
        <v>8797</v>
      </c>
      <c r="D247" s="32" t="s">
        <v>544</v>
      </c>
      <c r="E247" s="18">
        <f>_xlfn.IFNA(VLOOKUP(C:C,线上线下销售!B:D,3,0),0)</f>
        <v>840.3365</v>
      </c>
      <c r="F247" s="18">
        <f>SUMIFS(线上订单!$E:$E,线上订单!$B:$B,美团日报!$C247,线上订单!$D:$D,"饿了么")</f>
        <v>0</v>
      </c>
      <c r="G247" s="19">
        <f t="shared" si="18"/>
        <v>0</v>
      </c>
      <c r="H247" s="18">
        <f>SUMIFS(线上订单!$F:$F,线上订单!$B:$B,美团日报!$C247,线上订单!$D:$D,"饿了么")</f>
        <v>0</v>
      </c>
      <c r="I247" s="18">
        <f>SUMIFS(线上订单!$F:$F,线上订单!$B:$B,美团日报!$C247,线上订单!$D:$D,"饿了么")</f>
        <v>0</v>
      </c>
      <c r="J247" s="21">
        <f t="shared" si="19"/>
        <v>0</v>
      </c>
      <c r="K247" s="22" t="e">
        <f t="shared" si="20"/>
        <v>#REF!</v>
      </c>
      <c r="L247" s="19" t="e">
        <f>SUMIFS(#REF!,#REF!,美团日报!$C280,#REF!,"饿了么")</f>
        <v>#REF!</v>
      </c>
      <c r="M247" s="23"/>
      <c r="N247" s="23"/>
      <c r="O247" s="22" t="e">
        <f t="shared" si="21"/>
        <v>#REF!</v>
      </c>
      <c r="P247" s="19" t="e">
        <f>SUMIFS(#REF!,#REF!,美团日报!$C280,#REF!,"饿了么")</f>
        <v>#REF!</v>
      </c>
      <c r="Q247" s="23"/>
      <c r="R247" s="23"/>
      <c r="S247" s="22" t="e">
        <f t="shared" si="22"/>
        <v>#REF!</v>
      </c>
      <c r="T247" s="19" t="e">
        <f>SUMIFS(#REF!,#REF!,美团日报!$C280,#REF!,"饿了么")</f>
        <v>#REF!</v>
      </c>
      <c r="U247" s="22" t="e">
        <f t="shared" si="23"/>
        <v>#REF!</v>
      </c>
      <c r="V247" s="19" t="e">
        <f>SUMIFS(#REF!,#REF!,美团日报!$C280,#REF!,"饿了么")</f>
        <v>#REF!</v>
      </c>
      <c r="W247" s="24" t="s">
        <v>13</v>
      </c>
    </row>
    <row r="248" ht="14.4" spans="1:23">
      <c r="A248" s="30"/>
      <c r="B248" s="30"/>
      <c r="C248" s="33">
        <v>8806</v>
      </c>
      <c r="D248" s="32" t="s">
        <v>545</v>
      </c>
      <c r="E248" s="18">
        <f>_xlfn.IFNA(VLOOKUP(C:C,线上线下销售!B:D,3,0),0)</f>
        <v>969.9726</v>
      </c>
      <c r="F248" s="18">
        <f>SUMIFS(线上订单!$E:$E,线上订单!$B:$B,美团日报!$C248,线上订单!$D:$D,"饿了么")</f>
        <v>0</v>
      </c>
      <c r="G248" s="19">
        <f t="shared" si="18"/>
        <v>0</v>
      </c>
      <c r="H248" s="18">
        <f>SUMIFS(线上订单!$F:$F,线上订单!$B:$B,美团日报!$C248,线上订单!$D:$D,"饿了么")</f>
        <v>0</v>
      </c>
      <c r="I248" s="18">
        <f>SUMIFS(线上订单!$F:$F,线上订单!$B:$B,美团日报!$C248,线上订单!$D:$D,"饿了么")</f>
        <v>0</v>
      </c>
      <c r="J248" s="21">
        <f t="shared" si="19"/>
        <v>0</v>
      </c>
      <c r="K248" s="22" t="e">
        <f t="shared" si="20"/>
        <v>#REF!</v>
      </c>
      <c r="L248" s="19" t="e">
        <f>SUMIFS(#REF!,#REF!,美团日报!$C281,#REF!,"饿了么")</f>
        <v>#REF!</v>
      </c>
      <c r="M248" s="23"/>
      <c r="N248" s="23"/>
      <c r="O248" s="22" t="e">
        <f t="shared" si="21"/>
        <v>#REF!</v>
      </c>
      <c r="P248" s="19" t="e">
        <f>SUMIFS(#REF!,#REF!,美团日报!$C281,#REF!,"饿了么")</f>
        <v>#REF!</v>
      </c>
      <c r="Q248" s="23"/>
      <c r="R248" s="23"/>
      <c r="S248" s="22" t="e">
        <f t="shared" si="22"/>
        <v>#REF!</v>
      </c>
      <c r="T248" s="19" t="e">
        <f>SUMIFS(#REF!,#REF!,美团日报!$C281,#REF!,"饿了么")</f>
        <v>#REF!</v>
      </c>
      <c r="U248" s="22" t="e">
        <f t="shared" si="23"/>
        <v>#REF!</v>
      </c>
      <c r="V248" s="19" t="e">
        <f>SUMIFS(#REF!,#REF!,美团日报!$C281,#REF!,"饿了么")</f>
        <v>#REF!</v>
      </c>
      <c r="W248" s="24" t="s">
        <v>13</v>
      </c>
    </row>
    <row r="249" ht="14.4" spans="1:23">
      <c r="A249" s="30"/>
      <c r="B249" s="30"/>
      <c r="C249" s="33">
        <v>8802</v>
      </c>
      <c r="D249" s="32" t="s">
        <v>546</v>
      </c>
      <c r="E249" s="18">
        <f>_xlfn.IFNA(VLOOKUP(C:C,线上线下销售!B:D,3,0),0)</f>
        <v>1137.8884</v>
      </c>
      <c r="F249" s="18">
        <f>SUMIFS(线上订单!$E:$E,线上订单!$B:$B,美团日报!$C249,线上订单!$D:$D,"饿了么")</f>
        <v>0</v>
      </c>
      <c r="G249" s="19">
        <f t="shared" si="18"/>
        <v>0</v>
      </c>
      <c r="H249" s="18">
        <f>SUMIFS(线上订单!$F:$F,线上订单!$B:$B,美团日报!$C249,线上订单!$D:$D,"饿了么")</f>
        <v>0</v>
      </c>
      <c r="I249" s="18">
        <f>SUMIFS(线上订单!$F:$F,线上订单!$B:$B,美团日报!$C249,线上订单!$D:$D,"饿了么")</f>
        <v>0</v>
      </c>
      <c r="J249" s="21">
        <f t="shared" si="19"/>
        <v>0</v>
      </c>
      <c r="K249" s="22" t="e">
        <f t="shared" si="20"/>
        <v>#REF!</v>
      </c>
      <c r="L249" s="19" t="e">
        <f>SUMIFS(#REF!,#REF!,美团日报!$C282,#REF!,"饿了么")</f>
        <v>#REF!</v>
      </c>
      <c r="M249" s="23"/>
      <c r="N249" s="23"/>
      <c r="O249" s="22" t="e">
        <f t="shared" si="21"/>
        <v>#REF!</v>
      </c>
      <c r="P249" s="19" t="e">
        <f>SUMIFS(#REF!,#REF!,美团日报!$C282,#REF!,"饿了么")</f>
        <v>#REF!</v>
      </c>
      <c r="Q249" s="23"/>
      <c r="R249" s="23"/>
      <c r="S249" s="22" t="e">
        <f t="shared" si="22"/>
        <v>#REF!</v>
      </c>
      <c r="T249" s="19" t="e">
        <f>SUMIFS(#REF!,#REF!,美团日报!$C282,#REF!,"饿了么")</f>
        <v>#REF!</v>
      </c>
      <c r="U249" s="22" t="e">
        <f t="shared" si="23"/>
        <v>#REF!</v>
      </c>
      <c r="V249" s="19" t="e">
        <f>SUMIFS(#REF!,#REF!,美团日报!$C282,#REF!,"饿了么")</f>
        <v>#REF!</v>
      </c>
      <c r="W249" s="24" t="s">
        <v>13</v>
      </c>
    </row>
    <row r="250" ht="14.4" spans="1:23">
      <c r="A250" s="30"/>
      <c r="B250" s="30"/>
      <c r="C250" s="33">
        <v>8799</v>
      </c>
      <c r="D250" s="32" t="s">
        <v>547</v>
      </c>
      <c r="E250" s="18">
        <f>_xlfn.IFNA(VLOOKUP(C:C,线上线下销售!B:D,3,0),0)</f>
        <v>3447.4034</v>
      </c>
      <c r="F250" s="18">
        <f>SUMIFS(线上订单!$E:$E,线上订单!$B:$B,美团日报!$C250,线上订单!$D:$D,"饿了么")</f>
        <v>0</v>
      </c>
      <c r="G250" s="19">
        <f t="shared" si="18"/>
        <v>0</v>
      </c>
      <c r="H250" s="18">
        <f>SUMIFS(线上订单!$F:$F,线上订单!$B:$B,美团日报!$C250,线上订单!$D:$D,"饿了么")</f>
        <v>0</v>
      </c>
      <c r="I250" s="18">
        <f>SUMIFS(线上订单!$F:$F,线上订单!$B:$B,美团日报!$C250,线上订单!$D:$D,"饿了么")</f>
        <v>0</v>
      </c>
      <c r="J250" s="21">
        <f t="shared" si="19"/>
        <v>0</v>
      </c>
      <c r="K250" s="22" t="e">
        <f t="shared" si="20"/>
        <v>#REF!</v>
      </c>
      <c r="L250" s="19" t="e">
        <f>SUMIFS(#REF!,#REF!,美团日报!$C283,#REF!,"饿了么")</f>
        <v>#REF!</v>
      </c>
      <c r="M250" s="23"/>
      <c r="N250" s="23"/>
      <c r="O250" s="22" t="e">
        <f t="shared" si="21"/>
        <v>#REF!</v>
      </c>
      <c r="P250" s="19" t="e">
        <f>SUMIFS(#REF!,#REF!,美团日报!$C283,#REF!,"饿了么")</f>
        <v>#REF!</v>
      </c>
      <c r="Q250" s="23"/>
      <c r="R250" s="23"/>
      <c r="S250" s="22" t="e">
        <f t="shared" si="22"/>
        <v>#REF!</v>
      </c>
      <c r="T250" s="19" t="e">
        <f>SUMIFS(#REF!,#REF!,美团日报!$C283,#REF!,"饿了么")</f>
        <v>#REF!</v>
      </c>
      <c r="U250" s="22" t="e">
        <f t="shared" si="23"/>
        <v>#REF!</v>
      </c>
      <c r="V250" s="19" t="e">
        <f>SUMIFS(#REF!,#REF!,美团日报!$C283,#REF!,"饿了么")</f>
        <v>#REF!</v>
      </c>
      <c r="W250" s="24" t="s">
        <v>13</v>
      </c>
    </row>
    <row r="251" ht="14.4" spans="1:23">
      <c r="A251" s="30"/>
      <c r="B251" s="30"/>
      <c r="C251" s="33">
        <v>8805</v>
      </c>
      <c r="D251" s="32" t="s">
        <v>548</v>
      </c>
      <c r="E251" s="18">
        <f>_xlfn.IFNA(VLOOKUP(C:C,线上线下销售!B:D,3,0),0)</f>
        <v>1336.0695</v>
      </c>
      <c r="F251" s="18">
        <f>SUMIFS(线上订单!$E:$E,线上订单!$B:$B,美团日报!$C251,线上订单!$D:$D,"饿了么")</f>
        <v>0</v>
      </c>
      <c r="G251" s="19">
        <f t="shared" si="18"/>
        <v>0</v>
      </c>
      <c r="H251" s="18">
        <f>SUMIFS(线上订单!$F:$F,线上订单!$B:$B,美团日报!$C251,线上订单!$D:$D,"饿了么")</f>
        <v>0</v>
      </c>
      <c r="I251" s="18">
        <f>SUMIFS(线上订单!$F:$F,线上订单!$B:$B,美团日报!$C251,线上订单!$D:$D,"饿了么")</f>
        <v>0</v>
      </c>
      <c r="J251" s="21">
        <f t="shared" si="19"/>
        <v>0</v>
      </c>
      <c r="K251" s="22" t="e">
        <f t="shared" si="20"/>
        <v>#REF!</v>
      </c>
      <c r="L251" s="19" t="e">
        <f>SUMIFS(#REF!,#REF!,美团日报!$C284,#REF!,"饿了么")</f>
        <v>#REF!</v>
      </c>
      <c r="M251" s="23"/>
      <c r="N251" s="23"/>
      <c r="O251" s="22" t="e">
        <f t="shared" si="21"/>
        <v>#REF!</v>
      </c>
      <c r="P251" s="19" t="e">
        <f>SUMIFS(#REF!,#REF!,美团日报!$C284,#REF!,"饿了么")</f>
        <v>#REF!</v>
      </c>
      <c r="Q251" s="23"/>
      <c r="R251" s="23"/>
      <c r="S251" s="22" t="e">
        <f t="shared" si="22"/>
        <v>#REF!</v>
      </c>
      <c r="T251" s="19" t="e">
        <f>SUMIFS(#REF!,#REF!,美团日报!$C284,#REF!,"饿了么")</f>
        <v>#REF!</v>
      </c>
      <c r="U251" s="22" t="e">
        <f t="shared" si="23"/>
        <v>#REF!</v>
      </c>
      <c r="V251" s="19" t="e">
        <f>SUMIFS(#REF!,#REF!,美团日报!$C284,#REF!,"饿了么")</f>
        <v>#REF!</v>
      </c>
      <c r="W251" s="24" t="s">
        <v>13</v>
      </c>
    </row>
    <row r="252" ht="14.4" spans="1:23">
      <c r="A252" s="30"/>
      <c r="B252" s="30"/>
      <c r="C252" s="33">
        <v>8791</v>
      </c>
      <c r="D252" s="32" t="s">
        <v>549</v>
      </c>
      <c r="E252" s="18">
        <f>_xlfn.IFNA(VLOOKUP(C:C,线上线下销售!B:D,3,0),0)</f>
        <v>4379.2147</v>
      </c>
      <c r="F252" s="18">
        <f>SUMIFS(线上订单!$E:$E,线上订单!$B:$B,美团日报!$C252,线上订单!$D:$D,"饿了么")</f>
        <v>0</v>
      </c>
      <c r="G252" s="19">
        <f t="shared" si="18"/>
        <v>0</v>
      </c>
      <c r="H252" s="18">
        <f>SUMIFS(线上订单!$F:$F,线上订单!$B:$B,美团日报!$C252,线上订单!$D:$D,"饿了么")</f>
        <v>0</v>
      </c>
      <c r="I252" s="18">
        <f>SUMIFS(线上订单!$F:$F,线上订单!$B:$B,美团日报!$C252,线上订单!$D:$D,"饿了么")</f>
        <v>0</v>
      </c>
      <c r="J252" s="21">
        <f t="shared" si="19"/>
        <v>0</v>
      </c>
      <c r="K252" s="22" t="e">
        <f t="shared" si="20"/>
        <v>#REF!</v>
      </c>
      <c r="L252" s="19" t="e">
        <f>SUMIFS(#REF!,#REF!,美团日报!$C285,#REF!,"饿了么")</f>
        <v>#REF!</v>
      </c>
      <c r="M252" s="23"/>
      <c r="N252" s="23"/>
      <c r="O252" s="22" t="e">
        <f t="shared" si="21"/>
        <v>#REF!</v>
      </c>
      <c r="P252" s="19" t="e">
        <f>SUMIFS(#REF!,#REF!,美团日报!$C285,#REF!,"饿了么")</f>
        <v>#REF!</v>
      </c>
      <c r="Q252" s="23"/>
      <c r="R252" s="23"/>
      <c r="S252" s="22" t="e">
        <f t="shared" si="22"/>
        <v>#REF!</v>
      </c>
      <c r="T252" s="19" t="e">
        <f>SUMIFS(#REF!,#REF!,美团日报!$C285,#REF!,"饿了么")</f>
        <v>#REF!</v>
      </c>
      <c r="U252" s="22" t="e">
        <f t="shared" si="23"/>
        <v>#REF!</v>
      </c>
      <c r="V252" s="19" t="e">
        <f>SUMIFS(#REF!,#REF!,美团日报!$C285,#REF!,"饿了么")</f>
        <v>#REF!</v>
      </c>
      <c r="W252" s="24" t="s">
        <v>13</v>
      </c>
    </row>
    <row r="253" ht="14.4" spans="1:23">
      <c r="A253" s="30"/>
      <c r="B253" s="30"/>
      <c r="C253" s="33">
        <v>8807</v>
      </c>
      <c r="D253" s="32" t="s">
        <v>550</v>
      </c>
      <c r="E253" s="18">
        <f>_xlfn.IFNA(VLOOKUP(C:C,线上线下销售!B:D,3,0),0)</f>
        <v>1030.0879</v>
      </c>
      <c r="F253" s="18">
        <f>SUMIFS(线上订单!$E:$E,线上订单!$B:$B,美团日报!$C253,线上订单!$D:$D,"饿了么")</f>
        <v>0</v>
      </c>
      <c r="G253" s="19">
        <f t="shared" si="18"/>
        <v>0</v>
      </c>
      <c r="H253" s="18">
        <f>SUMIFS(线上订单!$F:$F,线上订单!$B:$B,美团日报!$C253,线上订单!$D:$D,"饿了么")</f>
        <v>0</v>
      </c>
      <c r="I253" s="18">
        <f>SUMIFS(线上订单!$F:$F,线上订单!$B:$B,美团日报!$C253,线上订单!$D:$D,"饿了么")</f>
        <v>0</v>
      </c>
      <c r="J253" s="21">
        <f t="shared" si="19"/>
        <v>0</v>
      </c>
      <c r="K253" s="22" t="e">
        <f t="shared" si="20"/>
        <v>#REF!</v>
      </c>
      <c r="L253" s="19" t="e">
        <f>SUMIFS(#REF!,#REF!,美团日报!$C286,#REF!,"饿了么")</f>
        <v>#REF!</v>
      </c>
      <c r="M253" s="23"/>
      <c r="N253" s="23"/>
      <c r="O253" s="22" t="e">
        <f t="shared" si="21"/>
        <v>#REF!</v>
      </c>
      <c r="P253" s="19" t="e">
        <f>SUMIFS(#REF!,#REF!,美团日报!$C286,#REF!,"饿了么")</f>
        <v>#REF!</v>
      </c>
      <c r="Q253" s="23"/>
      <c r="R253" s="23"/>
      <c r="S253" s="22" t="e">
        <f t="shared" si="22"/>
        <v>#REF!</v>
      </c>
      <c r="T253" s="19" t="e">
        <f>SUMIFS(#REF!,#REF!,美团日报!$C286,#REF!,"饿了么")</f>
        <v>#REF!</v>
      </c>
      <c r="U253" s="22" t="e">
        <f t="shared" si="23"/>
        <v>#REF!</v>
      </c>
      <c r="V253" s="19" t="e">
        <f>SUMIFS(#REF!,#REF!,美团日报!$C286,#REF!,"饿了么")</f>
        <v>#REF!</v>
      </c>
      <c r="W253" s="24" t="s">
        <v>13</v>
      </c>
    </row>
    <row r="254" ht="14.4" spans="1:23">
      <c r="A254" s="30"/>
      <c r="B254" s="30"/>
      <c r="C254" s="33">
        <v>8808</v>
      </c>
      <c r="D254" s="32" t="s">
        <v>551</v>
      </c>
      <c r="E254" s="18">
        <f>_xlfn.IFNA(VLOOKUP(C:C,线上线下销售!B:D,3,0),0)</f>
        <v>3983.0242</v>
      </c>
      <c r="F254" s="18">
        <f>SUMIFS(线上订单!$E:$E,线上订单!$B:$B,美团日报!$C254,线上订单!$D:$D,"饿了么")</f>
        <v>0</v>
      </c>
      <c r="G254" s="19">
        <f t="shared" si="18"/>
        <v>0</v>
      </c>
      <c r="H254" s="18">
        <f>SUMIFS(线上订单!$F:$F,线上订单!$B:$B,美团日报!$C254,线上订单!$D:$D,"饿了么")</f>
        <v>0</v>
      </c>
      <c r="I254" s="18">
        <f>SUMIFS(线上订单!$F:$F,线上订单!$B:$B,美团日报!$C254,线上订单!$D:$D,"饿了么")</f>
        <v>0</v>
      </c>
      <c r="J254" s="21">
        <f t="shared" si="19"/>
        <v>0</v>
      </c>
      <c r="K254" s="22" t="e">
        <f t="shared" si="20"/>
        <v>#REF!</v>
      </c>
      <c r="L254" s="19" t="e">
        <f>SUMIFS(#REF!,#REF!,美团日报!$C287,#REF!,"饿了么")</f>
        <v>#REF!</v>
      </c>
      <c r="M254" s="23"/>
      <c r="N254" s="23"/>
      <c r="O254" s="22" t="e">
        <f t="shared" si="21"/>
        <v>#REF!</v>
      </c>
      <c r="P254" s="19" t="e">
        <f>SUMIFS(#REF!,#REF!,美团日报!$C287,#REF!,"饿了么")</f>
        <v>#REF!</v>
      </c>
      <c r="Q254" s="23"/>
      <c r="R254" s="23"/>
      <c r="S254" s="22" t="e">
        <f t="shared" si="22"/>
        <v>#REF!</v>
      </c>
      <c r="T254" s="19" t="e">
        <f>SUMIFS(#REF!,#REF!,美团日报!$C287,#REF!,"饿了么")</f>
        <v>#REF!</v>
      </c>
      <c r="U254" s="22" t="e">
        <f t="shared" si="23"/>
        <v>#REF!</v>
      </c>
      <c r="V254" s="19" t="e">
        <f>SUMIFS(#REF!,#REF!,美团日报!$C287,#REF!,"饿了么")</f>
        <v>#REF!</v>
      </c>
      <c r="W254" s="24" t="s">
        <v>13</v>
      </c>
    </row>
    <row r="255" ht="14.4" spans="1:23">
      <c r="A255" s="30"/>
      <c r="B255" s="30"/>
      <c r="C255" s="33">
        <v>8809</v>
      </c>
      <c r="D255" s="32" t="s">
        <v>552</v>
      </c>
      <c r="E255" s="18">
        <f>_xlfn.IFNA(VLOOKUP(C:C,线上线下销售!B:D,3,0),0)</f>
        <v>5197.3052</v>
      </c>
      <c r="F255" s="18">
        <f>SUMIFS(线上订单!$E:$E,线上订单!$B:$B,美团日报!$C255,线上订单!$D:$D,"饿了么")</f>
        <v>0</v>
      </c>
      <c r="G255" s="19">
        <f t="shared" si="18"/>
        <v>0</v>
      </c>
      <c r="H255" s="18">
        <f>SUMIFS(线上订单!$F:$F,线上订单!$B:$B,美团日报!$C255,线上订单!$D:$D,"饿了么")</f>
        <v>0</v>
      </c>
      <c r="I255" s="18">
        <f>SUMIFS(线上订单!$F:$F,线上订单!$B:$B,美团日报!$C255,线上订单!$D:$D,"饿了么")</f>
        <v>0</v>
      </c>
      <c r="J255" s="21">
        <f t="shared" si="19"/>
        <v>0</v>
      </c>
      <c r="K255" s="22" t="e">
        <f t="shared" si="20"/>
        <v>#REF!</v>
      </c>
      <c r="L255" s="19" t="e">
        <f>SUMIFS(#REF!,#REF!,美团日报!$C288,#REF!,"饿了么")</f>
        <v>#REF!</v>
      </c>
      <c r="M255" s="23"/>
      <c r="N255" s="23"/>
      <c r="O255" s="22" t="e">
        <f t="shared" si="21"/>
        <v>#REF!</v>
      </c>
      <c r="P255" s="19" t="e">
        <f>SUMIFS(#REF!,#REF!,美团日报!$C288,#REF!,"饿了么")</f>
        <v>#REF!</v>
      </c>
      <c r="Q255" s="23"/>
      <c r="R255" s="23"/>
      <c r="S255" s="22" t="e">
        <f t="shared" si="22"/>
        <v>#REF!</v>
      </c>
      <c r="T255" s="19" t="e">
        <f>SUMIFS(#REF!,#REF!,美团日报!$C288,#REF!,"饿了么")</f>
        <v>#REF!</v>
      </c>
      <c r="U255" s="22" t="e">
        <f t="shared" si="23"/>
        <v>#REF!</v>
      </c>
      <c r="V255" s="19" t="e">
        <f>SUMIFS(#REF!,#REF!,美团日报!$C288,#REF!,"饿了么")</f>
        <v>#REF!</v>
      </c>
      <c r="W255" s="24" t="s">
        <v>13</v>
      </c>
    </row>
    <row r="256" ht="14.4" spans="1:23">
      <c r="A256" s="30"/>
      <c r="B256" s="30"/>
      <c r="C256" s="33">
        <v>8794</v>
      </c>
      <c r="D256" s="32" t="s">
        <v>553</v>
      </c>
      <c r="E256" s="18">
        <f>_xlfn.IFNA(VLOOKUP(C:C,线上线下销售!B:D,3,0),0)</f>
        <v>1239.4563</v>
      </c>
      <c r="F256" s="18">
        <f>SUMIFS(线上订单!$E:$E,线上订单!$B:$B,美团日报!$C256,线上订单!$D:$D,"饿了么")</f>
        <v>0</v>
      </c>
      <c r="G256" s="19">
        <f t="shared" si="18"/>
        <v>0</v>
      </c>
      <c r="H256" s="18">
        <f>SUMIFS(线上订单!$F:$F,线上订单!$B:$B,美团日报!$C256,线上订单!$D:$D,"饿了么")</f>
        <v>0</v>
      </c>
      <c r="I256" s="18">
        <f>SUMIFS(线上订单!$F:$F,线上订单!$B:$B,美团日报!$C256,线上订单!$D:$D,"饿了么")</f>
        <v>0</v>
      </c>
      <c r="J256" s="21">
        <f t="shared" si="19"/>
        <v>0</v>
      </c>
      <c r="K256" s="22" t="e">
        <f t="shared" si="20"/>
        <v>#REF!</v>
      </c>
      <c r="L256" s="19" t="e">
        <f>SUMIFS(#REF!,#REF!,美团日报!$C289,#REF!,"饿了么")</f>
        <v>#REF!</v>
      </c>
      <c r="M256" s="23"/>
      <c r="N256" s="23"/>
      <c r="O256" s="22" t="e">
        <f t="shared" si="21"/>
        <v>#REF!</v>
      </c>
      <c r="P256" s="19" t="e">
        <f>SUMIFS(#REF!,#REF!,美团日报!$C289,#REF!,"饿了么")</f>
        <v>#REF!</v>
      </c>
      <c r="Q256" s="23"/>
      <c r="R256" s="23"/>
      <c r="S256" s="22" t="e">
        <f t="shared" si="22"/>
        <v>#REF!</v>
      </c>
      <c r="T256" s="19" t="e">
        <f>SUMIFS(#REF!,#REF!,美团日报!$C289,#REF!,"饿了么")</f>
        <v>#REF!</v>
      </c>
      <c r="U256" s="22" t="e">
        <f t="shared" si="23"/>
        <v>#REF!</v>
      </c>
      <c r="V256" s="19" t="e">
        <f>SUMIFS(#REF!,#REF!,美团日报!$C289,#REF!,"饿了么")</f>
        <v>#REF!</v>
      </c>
      <c r="W256" s="24" t="s">
        <v>13</v>
      </c>
    </row>
    <row r="257" ht="14.4" spans="1:23">
      <c r="A257" s="30"/>
      <c r="B257" s="30"/>
      <c r="C257" s="33">
        <v>8815</v>
      </c>
      <c r="D257" s="32" t="s">
        <v>554</v>
      </c>
      <c r="E257" s="18">
        <f>_xlfn.IFNA(VLOOKUP(C:C,线上线下销售!B:D,3,0),0)</f>
        <v>261.982</v>
      </c>
      <c r="F257" s="18">
        <f>SUMIFS(线上订单!$E:$E,线上订单!$B:$B,美团日报!$C257,线上订单!$D:$D,"饿了么")</f>
        <v>0</v>
      </c>
      <c r="G257" s="19">
        <f t="shared" si="18"/>
        <v>0</v>
      </c>
      <c r="H257" s="18">
        <f>SUMIFS(线上订单!$F:$F,线上订单!$B:$B,美团日报!$C257,线上订单!$D:$D,"饿了么")</f>
        <v>0</v>
      </c>
      <c r="I257" s="18">
        <f>SUMIFS(线上订单!$F:$F,线上订单!$B:$B,美团日报!$C257,线上订单!$D:$D,"饿了么")</f>
        <v>0</v>
      </c>
      <c r="J257" s="21">
        <f t="shared" si="19"/>
        <v>0</v>
      </c>
      <c r="K257" s="22" t="e">
        <f t="shared" si="20"/>
        <v>#REF!</v>
      </c>
      <c r="L257" s="19" t="e">
        <f>SUMIFS(#REF!,#REF!,美团日报!$C290,#REF!,"饿了么")</f>
        <v>#REF!</v>
      </c>
      <c r="M257" s="23"/>
      <c r="N257" s="23"/>
      <c r="O257" s="22" t="e">
        <f t="shared" si="21"/>
        <v>#REF!</v>
      </c>
      <c r="P257" s="19" t="e">
        <f>SUMIFS(#REF!,#REF!,美团日报!$C290,#REF!,"饿了么")</f>
        <v>#REF!</v>
      </c>
      <c r="Q257" s="23"/>
      <c r="R257" s="23"/>
      <c r="S257" s="22" t="e">
        <f t="shared" si="22"/>
        <v>#REF!</v>
      </c>
      <c r="T257" s="19" t="e">
        <f>SUMIFS(#REF!,#REF!,美团日报!$C290,#REF!,"饿了么")</f>
        <v>#REF!</v>
      </c>
      <c r="U257" s="22" t="e">
        <f t="shared" si="23"/>
        <v>#REF!</v>
      </c>
      <c r="V257" s="19" t="e">
        <f>SUMIFS(#REF!,#REF!,美团日报!$C290,#REF!,"饿了么")</f>
        <v>#REF!</v>
      </c>
      <c r="W257" s="24" t="s">
        <v>13</v>
      </c>
    </row>
    <row r="258" ht="14.4" spans="1:23">
      <c r="A258" s="30"/>
      <c r="B258" s="30"/>
      <c r="C258" s="33">
        <v>8816</v>
      </c>
      <c r="D258" s="32" t="s">
        <v>555</v>
      </c>
      <c r="E258" s="18">
        <f>_xlfn.IFNA(VLOOKUP(C:C,线上线下销售!B:D,3,0),0)</f>
        <v>316.7169</v>
      </c>
      <c r="F258" s="18">
        <f>SUMIFS(线上订单!$E:$E,线上订单!$B:$B,美团日报!$C258,线上订单!$D:$D,"饿了么")</f>
        <v>0</v>
      </c>
      <c r="G258" s="19">
        <f t="shared" si="18"/>
        <v>0</v>
      </c>
      <c r="H258" s="18">
        <f>SUMIFS(线上订单!$F:$F,线上订单!$B:$B,美团日报!$C258,线上订单!$D:$D,"饿了么")</f>
        <v>0</v>
      </c>
      <c r="I258" s="18">
        <f>SUMIFS(线上订单!$F:$F,线上订单!$B:$B,美团日报!$C258,线上订单!$D:$D,"饿了么")</f>
        <v>0</v>
      </c>
      <c r="J258" s="21">
        <f t="shared" si="19"/>
        <v>0</v>
      </c>
      <c r="K258" s="22" t="e">
        <f t="shared" si="20"/>
        <v>#REF!</v>
      </c>
      <c r="L258" s="19" t="e">
        <f>SUMIFS(#REF!,#REF!,美团日报!$C291,#REF!,"饿了么")</f>
        <v>#REF!</v>
      </c>
      <c r="M258" s="23"/>
      <c r="N258" s="23"/>
      <c r="O258" s="22" t="e">
        <f t="shared" si="21"/>
        <v>#REF!</v>
      </c>
      <c r="P258" s="19" t="e">
        <f>SUMIFS(#REF!,#REF!,美团日报!$C291,#REF!,"饿了么")</f>
        <v>#REF!</v>
      </c>
      <c r="Q258" s="23"/>
      <c r="R258" s="23"/>
      <c r="S258" s="22" t="e">
        <f t="shared" si="22"/>
        <v>#REF!</v>
      </c>
      <c r="T258" s="19" t="e">
        <f>SUMIFS(#REF!,#REF!,美团日报!$C291,#REF!,"饿了么")</f>
        <v>#REF!</v>
      </c>
      <c r="U258" s="22" t="e">
        <f t="shared" si="23"/>
        <v>#REF!</v>
      </c>
      <c r="V258" s="19" t="e">
        <f>SUMIFS(#REF!,#REF!,美团日报!$C291,#REF!,"饿了么")</f>
        <v>#REF!</v>
      </c>
      <c r="W258" s="24" t="s">
        <v>13</v>
      </c>
    </row>
    <row r="259" ht="14.4" spans="1:23">
      <c r="A259" s="30"/>
      <c r="B259" s="30"/>
      <c r="C259" s="33">
        <v>8814</v>
      </c>
      <c r="D259" s="32" t="s">
        <v>556</v>
      </c>
      <c r="E259" s="18">
        <f>_xlfn.IFNA(VLOOKUP(C:C,线上线下销售!B:D,3,0),0)</f>
        <v>96.3717</v>
      </c>
      <c r="F259" s="18">
        <f>SUMIFS(线上订单!$E:$E,线上订单!$B:$B,美团日报!$C259,线上订单!$D:$D,"饿了么")</f>
        <v>0</v>
      </c>
      <c r="G259" s="19">
        <f>IFERROR(F259/E259,0)</f>
        <v>0</v>
      </c>
      <c r="H259" s="18">
        <f>SUMIFS(线上订单!$F:$F,线上订单!$B:$B,美团日报!$C259,线上订单!$D:$D,"饿了么")</f>
        <v>0</v>
      </c>
      <c r="I259" s="18">
        <f>SUMIFS(线上订单!$F:$F,线上订单!$B:$B,美团日报!$C259,线上订单!$D:$D,"饿了么")</f>
        <v>0</v>
      </c>
      <c r="J259" s="21">
        <f>IFERROR(F259/I259,0)</f>
        <v>0</v>
      </c>
      <c r="K259" s="22" t="e">
        <f>H259*L259</f>
        <v>#REF!</v>
      </c>
      <c r="L259" s="19" t="e">
        <f>SUMIFS(#REF!,#REF!,美团日报!$C292,#REF!,"饿了么")</f>
        <v>#REF!</v>
      </c>
      <c r="M259" s="23"/>
      <c r="N259" s="23"/>
      <c r="O259" s="22" t="e">
        <f>H259*(1-P259)</f>
        <v>#REF!</v>
      </c>
      <c r="P259" s="19" t="e">
        <f>SUMIFS(#REF!,#REF!,美团日报!$C292,#REF!,"饿了么")</f>
        <v>#REF!</v>
      </c>
      <c r="Q259" s="23"/>
      <c r="R259" s="23"/>
      <c r="S259" s="22" t="e">
        <f>H259*T259</f>
        <v>#REF!</v>
      </c>
      <c r="T259" s="19" t="e">
        <f>SUMIFS(#REF!,#REF!,美团日报!$C292,#REF!,"饿了么")</f>
        <v>#REF!</v>
      </c>
      <c r="U259" s="22" t="e">
        <f>H259*V259</f>
        <v>#REF!</v>
      </c>
      <c r="V259" s="19" t="e">
        <f>SUMIFS(#REF!,#REF!,美团日报!$C292,#REF!,"饿了么")</f>
        <v>#REF!</v>
      </c>
      <c r="W259" s="24" t="s">
        <v>13</v>
      </c>
    </row>
    <row r="260" ht="14.4" spans="1:23">
      <c r="A260" s="30"/>
      <c r="B260" s="30"/>
      <c r="C260" s="33">
        <v>8811</v>
      </c>
      <c r="D260" s="32" t="s">
        <v>557</v>
      </c>
      <c r="E260" s="18">
        <f>_xlfn.IFNA(VLOOKUP(C:C,线上线下销售!B:D,3,0),0)</f>
        <v>3800.7928</v>
      </c>
      <c r="F260" s="18">
        <f>SUMIFS(线上订单!$E:$E,线上订单!$B:$B,美团日报!$C260,线上订单!$D:$D,"饿了么")</f>
        <v>232.8256880734</v>
      </c>
      <c r="G260" s="19">
        <f>IFERROR(F260/E260,0)</f>
        <v>0.061257137740684</v>
      </c>
      <c r="H260" s="18">
        <f>SUMIFS(线上订单!$F:$F,线上订单!$B:$B,美团日报!$C260,线上订单!$D:$D,"饿了么")</f>
        <v>6</v>
      </c>
      <c r="I260" s="18">
        <f>SUMIFS(线上订单!$F:$F,线上订单!$B:$B,美团日报!$C260,线上订单!$D:$D,"饿了么")</f>
        <v>6</v>
      </c>
      <c r="J260" s="21">
        <f>IFERROR(F260/I260,0)</f>
        <v>38.8042813455667</v>
      </c>
      <c r="K260" s="22" t="e">
        <f>H260*L260</f>
        <v>#REF!</v>
      </c>
      <c r="L260" s="19" t="e">
        <f>SUMIFS(#REF!,#REF!,美团日报!$C293,#REF!,"饿了么")</f>
        <v>#REF!</v>
      </c>
      <c r="M260" s="23"/>
      <c r="N260" s="23"/>
      <c r="O260" s="22" t="e">
        <f>H260*(1-P260)</f>
        <v>#REF!</v>
      </c>
      <c r="P260" s="19" t="e">
        <f>SUMIFS(#REF!,#REF!,美团日报!$C293,#REF!,"饿了么")</f>
        <v>#REF!</v>
      </c>
      <c r="Q260" s="23"/>
      <c r="R260" s="23"/>
      <c r="S260" s="22" t="e">
        <f>H260*T260</f>
        <v>#REF!</v>
      </c>
      <c r="T260" s="19" t="e">
        <f>SUMIFS(#REF!,#REF!,美团日报!$C293,#REF!,"饿了么")</f>
        <v>#REF!</v>
      </c>
      <c r="U260" s="22" t="e">
        <f>H260*V260</f>
        <v>#REF!</v>
      </c>
      <c r="V260" s="19" t="e">
        <f>SUMIFS(#REF!,#REF!,美团日报!$C293,#REF!,"饿了么")</f>
        <v>#REF!</v>
      </c>
      <c r="W260" s="24" t="s">
        <v>13</v>
      </c>
    </row>
    <row r="261" ht="14.4" spans="1:23">
      <c r="A261" s="30"/>
      <c r="B261" s="30"/>
      <c r="C261" s="33">
        <v>8813</v>
      </c>
      <c r="D261" s="33" t="s">
        <v>558</v>
      </c>
      <c r="E261" s="18">
        <f>_xlfn.IFNA(VLOOKUP(C:C,线上线下销售!B:D,3,0),0)</f>
        <v>38731.4666</v>
      </c>
      <c r="F261" s="18">
        <f>SUMIFS(线上订单!$E:$E,线上订单!$B:$B,美团日报!$C261,线上订单!$D:$D,"饿了么")</f>
        <v>0</v>
      </c>
      <c r="G261" s="19">
        <f>IFERROR(F261/E261,0)</f>
        <v>0</v>
      </c>
      <c r="H261" s="18">
        <f>SUMIFS(线上订单!$F:$F,线上订单!$B:$B,美团日报!$C261,线上订单!$D:$D,"饿了么")</f>
        <v>0</v>
      </c>
      <c r="I261" s="18">
        <f>SUMIFS(线上订单!$F:$F,线上订单!$B:$B,美团日报!$C261,线上订单!$D:$D,"饿了么")</f>
        <v>0</v>
      </c>
      <c r="J261" s="21">
        <f>IFERROR(F261/I261,0)</f>
        <v>0</v>
      </c>
      <c r="K261" s="22" t="e">
        <f>H261*L261</f>
        <v>#REF!</v>
      </c>
      <c r="L261" s="19" t="e">
        <f>SUMIFS(#REF!,#REF!,美团日报!$C294,#REF!,"饿了么")</f>
        <v>#REF!</v>
      </c>
      <c r="M261" s="23"/>
      <c r="N261" s="23"/>
      <c r="O261" s="22" t="e">
        <f>H261*(1-P261)</f>
        <v>#REF!</v>
      </c>
      <c r="P261" s="19" t="e">
        <f>SUMIFS(#REF!,#REF!,美团日报!$C294,#REF!,"饿了么")</f>
        <v>#REF!</v>
      </c>
      <c r="Q261" s="23"/>
      <c r="R261" s="23"/>
      <c r="S261" s="22" t="e">
        <f>H261*T261</f>
        <v>#REF!</v>
      </c>
      <c r="T261" s="19" t="e">
        <f>SUMIFS(#REF!,#REF!,美团日报!$C294,#REF!,"饿了么")</f>
        <v>#REF!</v>
      </c>
      <c r="U261" s="22" t="e">
        <f>H261*V261</f>
        <v>#REF!</v>
      </c>
      <c r="V261" s="19" t="e">
        <f>SUMIFS(#REF!,#REF!,美团日报!$C294,#REF!,"饿了么")</f>
        <v>#REF!</v>
      </c>
      <c r="W261" s="24" t="s">
        <v>13</v>
      </c>
    </row>
    <row r="262" ht="14.4" spans="1:23">
      <c r="A262" s="16" t="s">
        <v>43</v>
      </c>
      <c r="B262" s="16" t="s">
        <v>131</v>
      </c>
      <c r="C262" s="16">
        <v>8706</v>
      </c>
      <c r="D262" s="16" t="s">
        <v>559</v>
      </c>
      <c r="E262" s="18">
        <f>_xlfn.IFNA(VLOOKUP(C:C,线上线下销售!B:D,3,0),0)</f>
        <v>0</v>
      </c>
      <c r="F262" s="18">
        <f>SUMIFS(线上订单!$E:$E,线上订单!$B:$B,美团日报!$C262,线上订单!$D:$D,"饿了么")</f>
        <v>0</v>
      </c>
      <c r="G262" s="19">
        <f>IFERROR(F262/E262,0)</f>
        <v>0</v>
      </c>
      <c r="H262" s="18">
        <f>SUMIFS(线上订单!$F:$F,线上订单!$B:$B,美团日报!$C262,线上订单!$D:$D,"饿了么")</f>
        <v>0</v>
      </c>
      <c r="I262" s="18">
        <f>SUMIFS(线上订单!$F:$F,线上订单!$B:$B,美团日报!$C262,线上订单!$D:$D,"饿了么")</f>
        <v>0</v>
      </c>
      <c r="J262" s="21">
        <f>IFERROR(F262/I262,0)</f>
        <v>0</v>
      </c>
      <c r="K262" s="22" t="e">
        <f>H262*L262</f>
        <v>#REF!</v>
      </c>
      <c r="L262" s="19" t="e">
        <f>SUMIFS(#REF!,#REF!,美团日报!$C262,#REF!,"饿了么")</f>
        <v>#REF!</v>
      </c>
      <c r="M262" s="23"/>
      <c r="N262" s="23"/>
      <c r="O262" s="22" t="e">
        <f>H262*(1-P262)</f>
        <v>#REF!</v>
      </c>
      <c r="P262" s="19" t="e">
        <f>SUMIFS(#REF!,#REF!,美团日报!$C262,#REF!,"饿了么")</f>
        <v>#REF!</v>
      </c>
      <c r="Q262" s="23"/>
      <c r="R262" s="23"/>
      <c r="S262" s="22" t="e">
        <f>H262*T262</f>
        <v>#REF!</v>
      </c>
      <c r="T262" s="19" t="e">
        <f>SUMIFS(#REF!,#REF!,美团日报!$C262,#REF!,"饿了么")</f>
        <v>#REF!</v>
      </c>
      <c r="U262" s="22" t="e">
        <f>H262*V262</f>
        <v>#REF!</v>
      </c>
      <c r="V262" s="19" t="e">
        <f>SUMIFS(#REF!,#REF!,美团日报!$C262,#REF!,"饿了么")</f>
        <v>#REF!</v>
      </c>
      <c r="W262" s="24" t="s">
        <v>13</v>
      </c>
    </row>
    <row r="263" s="44" customFormat="1" ht="15.2" spans="1:23">
      <c r="A263" s="45" t="s">
        <v>578</v>
      </c>
      <c r="B263" s="46"/>
      <c r="C263" s="47"/>
      <c r="D263" s="48"/>
      <c r="E263" s="49">
        <f>SUM(E2:E262)</f>
        <v>1781819.6355</v>
      </c>
      <c r="F263" s="49">
        <f>SUM(F2:F262)</f>
        <v>98361.5761549039</v>
      </c>
      <c r="G263" s="50">
        <f>F263/E263</f>
        <v>0.055202880356239</v>
      </c>
      <c r="H263" s="51">
        <f>SUM(H2:H262)</f>
        <v>2678</v>
      </c>
      <c r="I263" s="51">
        <f>SUM(I2:I262)</f>
        <v>2678</v>
      </c>
      <c r="J263" s="52">
        <f>F263/I263</f>
        <v>36.7294907225183</v>
      </c>
      <c r="K263" s="51" t="e">
        <f>SUM(K2:K262)</f>
        <v>#REF!</v>
      </c>
      <c r="L263" s="53" t="e">
        <f>AVERAGE(L2:L262)</f>
        <v>#REF!</v>
      </c>
      <c r="M263" s="53"/>
      <c r="N263" s="53"/>
      <c r="O263" s="51" t="e">
        <f>SUM(O2:O262)</f>
        <v>#REF!</v>
      </c>
      <c r="P263" s="50" t="e">
        <f>AVERAGE(P2:P262)</f>
        <v>#REF!</v>
      </c>
      <c r="Q263" s="53"/>
      <c r="R263" s="53"/>
      <c r="S263" s="51" t="e">
        <f>SUM(S2:S262)</f>
        <v>#REF!</v>
      </c>
      <c r="T263" s="53" t="e">
        <f>AVERAGE(T2:T262)</f>
        <v>#REF!</v>
      </c>
      <c r="U263" s="51" t="e">
        <f>SUM(U2:U262)</f>
        <v>#REF!</v>
      </c>
      <c r="V263" s="54" t="e">
        <f>AVERAGE(V2:V262)</f>
        <v>#REF!</v>
      </c>
      <c r="W263" s="55"/>
    </row>
    <row r="270" spans="12:12">
      <c r="L270" s="11"/>
    </row>
  </sheetData>
  <mergeCells count="1">
    <mergeCell ref="A263:D263"/>
  </mergeCells>
  <conditionalFormatting sqref="D1">
    <cfRule type="duplicateValues" dxfId="0" priority="606"/>
    <cfRule type="duplicateValues" dxfId="0" priority="607"/>
    <cfRule type="duplicateValues" dxfId="0" priority="608"/>
    <cfRule type="duplicateValues" dxfId="1" priority="609"/>
    <cfRule type="duplicateValues" dxfId="0" priority="610"/>
    <cfRule type="duplicateValues" dxfId="0" priority="611"/>
  </conditionalFormatting>
  <conditionalFormatting sqref="W1 C1">
    <cfRule type="duplicateValues" dxfId="0" priority="541"/>
    <cfRule type="duplicateValues" dxfId="0" priority="542"/>
  </conditionalFormatting>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63"/>
  <sheetViews>
    <sheetView workbookViewId="0">
      <pane ySplit="1" topLeftCell="A249" activePane="bottomLeft" state="frozen"/>
      <selection/>
      <selection pane="bottomLeft" activeCell="C261" sqref="C261"/>
    </sheetView>
  </sheetViews>
  <sheetFormatPr defaultColWidth="8.88392857142857" defaultRowHeight="12.4"/>
  <cols>
    <col min="1" max="2" width="6.88392857142857" customWidth="1"/>
    <col min="3" max="3" width="9.63392857142857" style="11" customWidth="1"/>
    <col min="4" max="4" width="23.6339285714286" customWidth="1"/>
    <col min="5" max="5" width="16.1339285714286" style="11" customWidth="1"/>
    <col min="6" max="6" width="13.7767857142857" style="11" customWidth="1"/>
    <col min="7" max="7" width="10.6339285714286" customWidth="1"/>
    <col min="8" max="9" width="9" style="11"/>
    <col min="10" max="10" width="10.1339285714286" customWidth="1"/>
    <col min="12" max="12" width="9.88392857142857" customWidth="1"/>
    <col min="13" max="14" width="8.63392857142857" customWidth="1"/>
    <col min="17" max="18" width="8.63392857142857" customWidth="1"/>
    <col min="19" max="19" width="6.88392857142857" customWidth="1"/>
    <col min="20" max="20" width="7.88392857142857" customWidth="1"/>
    <col min="24" max="24" width="4.88392857142857" customWidth="1"/>
  </cols>
  <sheetData>
    <row r="1" s="12" customFormat="1" ht="58" spans="1:23">
      <c r="A1" s="14" t="s">
        <v>20</v>
      </c>
      <c r="B1" s="14" t="s">
        <v>21</v>
      </c>
      <c r="C1" s="15" t="s">
        <v>22</v>
      </c>
      <c r="D1" s="14" t="s">
        <v>23</v>
      </c>
      <c r="E1" s="15" t="s">
        <v>28</v>
      </c>
      <c r="F1" s="15" t="s">
        <v>31</v>
      </c>
      <c r="G1" s="17" t="s">
        <v>35</v>
      </c>
      <c r="H1" s="15" t="s">
        <v>560</v>
      </c>
      <c r="I1" s="15" t="s">
        <v>32</v>
      </c>
      <c r="J1" s="20" t="s">
        <v>8</v>
      </c>
      <c r="K1" s="14" t="s">
        <v>579</v>
      </c>
      <c r="L1" s="17" t="s">
        <v>562</v>
      </c>
      <c r="M1" s="15" t="s">
        <v>563</v>
      </c>
      <c r="N1" s="17" t="s">
        <v>564</v>
      </c>
      <c r="O1" s="14" t="s">
        <v>565</v>
      </c>
      <c r="P1" s="14" t="s">
        <v>566</v>
      </c>
      <c r="Q1" s="15" t="s">
        <v>567</v>
      </c>
      <c r="R1" s="17" t="s">
        <v>568</v>
      </c>
      <c r="S1" s="15" t="s">
        <v>569</v>
      </c>
      <c r="T1" s="17" t="s">
        <v>570</v>
      </c>
      <c r="U1" s="15" t="s">
        <v>571</v>
      </c>
      <c r="V1" s="17" t="s">
        <v>580</v>
      </c>
      <c r="W1" s="14" t="s">
        <v>1</v>
      </c>
    </row>
    <row r="2" ht="14.4" spans="1:23">
      <c r="A2" s="16" t="s">
        <v>43</v>
      </c>
      <c r="B2" s="16" t="s">
        <v>143</v>
      </c>
      <c r="C2" s="16">
        <v>8613</v>
      </c>
      <c r="D2" s="16" t="s">
        <v>39</v>
      </c>
      <c r="E2" s="18">
        <f>_xlfn.IFNA(VLOOKUP(C:C,线上线下销售!B:D,3,0),0)</f>
        <v>3915.4358</v>
      </c>
      <c r="F2" s="18">
        <f>SUMIFS(线上订单!$E:$E,线上订单!$B:$B,美团日报!$C2)-SUMIFS(线上订单!$E:$E,线上订单!$B:$B,美团日报!$C2,线上订单!$D:$D,"美团")-SUMIFS(线上订单!$E:$E,线上订单!$B:$B,美团日报!$C2,线上订单!$D:$D,"饿了么")</f>
        <v>53.2743362831901</v>
      </c>
      <c r="G2" s="19">
        <f>IFERROR(F2/E2,0%)</f>
        <v>0.0136062341472155</v>
      </c>
      <c r="H2" s="18">
        <f>SUMIFS(线上订单!$F:$F,线上订单!$B:$B,美团日报!$C2)-SUMIFS(线上订单!$F:$F,线上订单!$B:$B,美团日报!$C2,线上订单!$D:$D,"美团")-SUMIFS(线上订单!$F:$F,线上订单!$B:$B,美团日报!$C2,线上订单!$D:$D,"饿了么")</f>
        <v>1</v>
      </c>
      <c r="I2" s="18">
        <f>SUMIFS(线上订单!$F:$F,线上订单!$B:$B,美团日报!$C2)-SUMIFS(线上订单!$F:$F,线上订单!$B:$B,美团日报!$C2,线上订单!$D:$D,"美团")-SUMIFS(线上订单!$F:$F,线上订单!$B:$B,美团日报!$C2,线上订单!$D:$D,"饿了么")</f>
        <v>1</v>
      </c>
      <c r="J2" s="21">
        <f>IFERROR(F2/I2,0)</f>
        <v>53.2743362831901</v>
      </c>
      <c r="K2" s="22" t="e">
        <f>H2*L2</f>
        <v>#REF!</v>
      </c>
      <c r="L2" s="19" t="e">
        <f>SUMIFS(#REF!,#REF!,美团日报!$C$2,#REF!,"秒达")</f>
        <v>#REF!</v>
      </c>
      <c r="M2" s="23"/>
      <c r="N2" s="23"/>
      <c r="O2" s="22" t="e">
        <f>H2*(1-P2)</f>
        <v>#REF!</v>
      </c>
      <c r="P2" s="19" t="e">
        <f>SUMIFS(#REF!,#REF!,美团日报!$C2,#REF!,"秒达")</f>
        <v>#REF!</v>
      </c>
      <c r="Q2" s="23"/>
      <c r="R2" s="23"/>
      <c r="S2" s="22" t="e">
        <f>H2*T2</f>
        <v>#REF!</v>
      </c>
      <c r="T2" s="19" t="e">
        <f>SUMIFS(#REF!,#REF!,美团日报!$C2,#REF!,"O2O")</f>
        <v>#REF!</v>
      </c>
      <c r="U2" s="22" t="e">
        <f>H2*V2</f>
        <v>#REF!</v>
      </c>
      <c r="V2" s="19" t="e">
        <f>SUMIFS(#REF!,#REF!,美团日报!$C2,#REF!,"O2O")</f>
        <v>#REF!</v>
      </c>
      <c r="W2" s="24" t="s">
        <v>13</v>
      </c>
    </row>
    <row r="3" ht="14.4" spans="1:23">
      <c r="A3" s="16" t="s">
        <v>48</v>
      </c>
      <c r="B3" s="16" t="s">
        <v>64</v>
      </c>
      <c r="C3" s="16">
        <v>8620</v>
      </c>
      <c r="D3" s="16" t="s">
        <v>45</v>
      </c>
      <c r="E3" s="18">
        <f>_xlfn.IFNA(VLOOKUP(C:C,线上线下销售!B:D,3,0),0)</f>
        <v>0</v>
      </c>
      <c r="F3" s="18">
        <f>SUMIFS(线上订单!$E:$E,线上订单!$B:$B,美团日报!$C3)-SUMIFS(线上订单!$E:$E,线上订单!$B:$B,美团日报!$C3,线上订单!$D:$D,"美团")-SUMIFS(线上订单!$E:$E,线上订单!$B:$B,美团日报!$C3,线上订单!$D:$D,"饿了么")</f>
        <v>0</v>
      </c>
      <c r="G3" s="19">
        <f t="shared" ref="G3:G66" si="0">IFERROR(F3/E3,0%)</f>
        <v>0</v>
      </c>
      <c r="H3" s="18">
        <f>SUMIFS(线上订单!$F:$F,线上订单!$B:$B,美团日报!$C3)-SUMIFS(线上订单!$F:$F,线上订单!$B:$B,美团日报!$C3,线上订单!$D:$D,"美团")-SUMIFS(线上订单!$F:$F,线上订单!$B:$B,美团日报!$C3,线上订单!$D:$D,"饿了么")</f>
        <v>0</v>
      </c>
      <c r="I3" s="18">
        <f>SUMIFS(线上订单!$F:$F,线上订单!$B:$B,美团日报!$C3)-SUMIFS(线上订单!$F:$F,线上订单!$B:$B,美团日报!$C3,线上订单!$D:$D,"美团")-SUMIFS(线上订单!$F:$F,线上订单!$B:$B,美团日报!$C3,线上订单!$D:$D,"饿了么")</f>
        <v>0</v>
      </c>
      <c r="J3" s="21">
        <f t="shared" ref="J3:J66" si="1">IFERROR(F3/I3,0)</f>
        <v>0</v>
      </c>
      <c r="K3" s="22" t="e">
        <f t="shared" ref="K3:K63" si="2">H3*L3</f>
        <v>#REF!</v>
      </c>
      <c r="L3" s="19" t="e">
        <f>SUMIFS(#REF!,#REF!,美团日报!$C$2,#REF!,"秒达")</f>
        <v>#REF!</v>
      </c>
      <c r="M3" s="23"/>
      <c r="N3" s="23"/>
      <c r="O3" s="22" t="e">
        <f t="shared" ref="O3:O63" si="3">H3*(1-P3)</f>
        <v>#REF!</v>
      </c>
      <c r="P3" s="19" t="e">
        <f>SUMIFS(#REF!,#REF!,美团日报!$C3,#REF!,"秒达")</f>
        <v>#REF!</v>
      </c>
      <c r="Q3" s="23"/>
      <c r="R3" s="23"/>
      <c r="S3" s="22" t="e">
        <f t="shared" ref="S3:S63" si="4">H3*T3</f>
        <v>#REF!</v>
      </c>
      <c r="T3" s="19" t="e">
        <f>SUMIFS(#REF!,#REF!,美团日报!$C3,#REF!,"O2O")</f>
        <v>#REF!</v>
      </c>
      <c r="U3" s="22" t="e">
        <f t="shared" ref="U3:U63" si="5">H3*V3</f>
        <v>#REF!</v>
      </c>
      <c r="V3" s="19" t="e">
        <f>SUMIFS(#REF!,#REF!,美团日报!$C3,#REF!,"O2O")</f>
        <v>#REF!</v>
      </c>
      <c r="W3" s="24" t="s">
        <v>13</v>
      </c>
    </row>
    <row r="4" ht="14.4" spans="1:23">
      <c r="A4" s="16" t="s">
        <v>48</v>
      </c>
      <c r="B4" s="16" t="s">
        <v>49</v>
      </c>
      <c r="C4" s="16">
        <v>8608</v>
      </c>
      <c r="D4" s="16" t="s">
        <v>50</v>
      </c>
      <c r="E4" s="18">
        <f>_xlfn.IFNA(VLOOKUP(C:C,线上线下销售!B:D,3,0),0)</f>
        <v>12874.7361</v>
      </c>
      <c r="F4" s="18">
        <f>SUMIFS(线上订单!$E:$E,线上订单!$B:$B,美团日报!$C4)-SUMIFS(线上订单!$E:$E,线上订单!$B:$B,美团日报!$C4,线上订单!$D:$D,"美团")-SUMIFS(线上订单!$E:$E,线上订单!$B:$B,美团日报!$C4,线上订单!$D:$D,"饿了么")</f>
        <v>327.14159292034</v>
      </c>
      <c r="G4" s="19">
        <f t="shared" si="0"/>
        <v>0.0254095765831146</v>
      </c>
      <c r="H4" s="18">
        <f>SUMIFS(线上订单!$F:$F,线上订单!$B:$B,美团日报!$C4)-SUMIFS(线上订单!$F:$F,线上订单!$B:$B,美团日报!$C4,线上订单!$D:$D,"美团")-SUMIFS(线上订单!$F:$F,线上订单!$B:$B,美团日报!$C4,线上订单!$D:$D,"饿了么")</f>
        <v>10</v>
      </c>
      <c r="I4" s="18">
        <f>SUMIFS(线上订单!$F:$F,线上订单!$B:$B,美团日报!$C4)-SUMIFS(线上订单!$F:$F,线上订单!$B:$B,美团日报!$C4,线上订单!$D:$D,"美团")-SUMIFS(线上订单!$F:$F,线上订单!$B:$B,美团日报!$C4,线上订单!$D:$D,"饿了么")</f>
        <v>10</v>
      </c>
      <c r="J4" s="21">
        <f t="shared" si="1"/>
        <v>32.714159292034</v>
      </c>
      <c r="K4" s="22" t="e">
        <f t="shared" si="2"/>
        <v>#REF!</v>
      </c>
      <c r="L4" s="19" t="e">
        <f>SUMIFS(#REF!,#REF!,美团日报!$C$2,#REF!,"秒达")</f>
        <v>#REF!</v>
      </c>
      <c r="M4" s="23"/>
      <c r="N4" s="23"/>
      <c r="O4" s="22" t="e">
        <f t="shared" si="3"/>
        <v>#REF!</v>
      </c>
      <c r="P4" s="19" t="e">
        <f>SUMIFS(#REF!,#REF!,美团日报!$C4,#REF!,"秒达")</f>
        <v>#REF!</v>
      </c>
      <c r="Q4" s="23"/>
      <c r="R4" s="23"/>
      <c r="S4" s="22" t="e">
        <f t="shared" si="4"/>
        <v>#REF!</v>
      </c>
      <c r="T4" s="19" t="e">
        <f>SUMIFS(#REF!,#REF!,美团日报!$C4,#REF!,"O2O")</f>
        <v>#REF!</v>
      </c>
      <c r="U4" s="22" t="e">
        <f t="shared" si="5"/>
        <v>#REF!</v>
      </c>
      <c r="V4" s="19" t="e">
        <f>SUMIFS(#REF!,#REF!,美团日报!$C4,#REF!,"O2O")</f>
        <v>#REF!</v>
      </c>
      <c r="W4" s="24" t="s">
        <v>13</v>
      </c>
    </row>
    <row r="5" ht="14.4" spans="1:23">
      <c r="A5" s="16" t="s">
        <v>56</v>
      </c>
      <c r="B5" s="16" t="s">
        <v>52</v>
      </c>
      <c r="C5" s="16">
        <v>8600</v>
      </c>
      <c r="D5" s="16" t="s">
        <v>53</v>
      </c>
      <c r="E5" s="18">
        <f>_xlfn.IFNA(VLOOKUP(C:C,线上线下销售!B:D,3,0),0)</f>
        <v>11494.6114</v>
      </c>
      <c r="F5" s="18">
        <f>SUMIFS(线上订单!$E:$E,线上订单!$B:$B,美团日报!$C5)-SUMIFS(线上订单!$E:$E,线上订单!$B:$B,美团日报!$C5,线上订单!$D:$D,"美团")-SUMIFS(线上订单!$E:$E,线上订单!$B:$B,美团日报!$C5,线上订单!$D:$D,"饿了么")</f>
        <v>984.33149305833</v>
      </c>
      <c r="G5" s="19">
        <f t="shared" si="0"/>
        <v>0.0856341688122079</v>
      </c>
      <c r="H5" s="18">
        <f>SUMIFS(线上订单!$F:$F,线上订单!$B:$B,美团日报!$C5)-SUMIFS(线上订单!$F:$F,线上订单!$B:$B,美团日报!$C5,线上订单!$D:$D,"美团")-SUMIFS(线上订单!$F:$F,线上订单!$B:$B,美团日报!$C5,线上订单!$D:$D,"饿了么")</f>
        <v>34</v>
      </c>
      <c r="I5" s="18">
        <f>SUMIFS(线上订单!$F:$F,线上订单!$B:$B,美团日报!$C5)-SUMIFS(线上订单!$F:$F,线上订单!$B:$B,美团日报!$C5,线上订单!$D:$D,"美团")-SUMIFS(线上订单!$F:$F,线上订单!$B:$B,美团日报!$C5,线上订单!$D:$D,"饿了么")</f>
        <v>34</v>
      </c>
      <c r="J5" s="21">
        <f t="shared" si="1"/>
        <v>28.9509262664215</v>
      </c>
      <c r="K5" s="22" t="e">
        <f t="shared" si="2"/>
        <v>#REF!</v>
      </c>
      <c r="L5" s="19" t="e">
        <f>SUMIFS(#REF!,#REF!,美团日报!$C$2,#REF!,"秒达")</f>
        <v>#REF!</v>
      </c>
      <c r="M5" s="23"/>
      <c r="N5" s="23"/>
      <c r="O5" s="22" t="e">
        <f t="shared" si="3"/>
        <v>#REF!</v>
      </c>
      <c r="P5" s="19" t="e">
        <f>SUMIFS(#REF!,#REF!,美团日报!$C5,#REF!,"秒达")</f>
        <v>#REF!</v>
      </c>
      <c r="Q5" s="23"/>
      <c r="R5" s="23"/>
      <c r="S5" s="22" t="e">
        <f t="shared" si="4"/>
        <v>#REF!</v>
      </c>
      <c r="T5" s="19" t="e">
        <f>SUMIFS(#REF!,#REF!,美团日报!$C5,#REF!,"O2O")</f>
        <v>#REF!</v>
      </c>
      <c r="U5" s="22" t="e">
        <f t="shared" si="5"/>
        <v>#REF!</v>
      </c>
      <c r="V5" s="19" t="e">
        <f>SUMIFS(#REF!,#REF!,美团日报!$C5,#REF!,"O2O")</f>
        <v>#REF!</v>
      </c>
      <c r="W5" s="24" t="s">
        <v>13</v>
      </c>
    </row>
    <row r="6" ht="14.4" spans="1:23">
      <c r="A6" s="16" t="s">
        <v>56</v>
      </c>
      <c r="B6" s="16" t="s">
        <v>57</v>
      </c>
      <c r="C6" s="16">
        <v>8615</v>
      </c>
      <c r="D6" s="16" t="s">
        <v>58</v>
      </c>
      <c r="E6" s="18">
        <f>_xlfn.IFNA(VLOOKUP(C:C,线上线下销售!B:D,3,0),0)</f>
        <v>6964.3807</v>
      </c>
      <c r="F6" s="18">
        <f>SUMIFS(线上订单!$E:$E,线上订单!$B:$B,美团日报!$C6)-SUMIFS(线上订单!$E:$E,线上订单!$B:$B,美团日报!$C6,线上订单!$D:$D,"美团")-SUMIFS(线上订单!$E:$E,线上订单!$B:$B,美团日报!$C6,线上订单!$D:$D,"饿了么")</f>
        <v>110.21839733703</v>
      </c>
      <c r="G6" s="19">
        <f t="shared" si="0"/>
        <v>0.0158260155618762</v>
      </c>
      <c r="H6" s="18">
        <f>SUMIFS(线上订单!$F:$F,线上订单!$B:$B,美团日报!$C6)-SUMIFS(线上订单!$F:$F,线上订单!$B:$B,美团日报!$C6,线上订单!$D:$D,"美团")-SUMIFS(线上订单!$F:$F,线上订单!$B:$B,美团日报!$C6,线上订单!$D:$D,"饿了么")</f>
        <v>2</v>
      </c>
      <c r="I6" s="18">
        <f>SUMIFS(线上订单!$F:$F,线上订单!$B:$B,美团日报!$C6)-SUMIFS(线上订单!$F:$F,线上订单!$B:$B,美团日报!$C6,线上订单!$D:$D,"美团")-SUMIFS(线上订单!$F:$F,线上订单!$B:$B,美团日报!$C6,线上订单!$D:$D,"饿了么")</f>
        <v>2</v>
      </c>
      <c r="J6" s="21">
        <f t="shared" si="1"/>
        <v>55.109198668515</v>
      </c>
      <c r="K6" s="22" t="e">
        <f t="shared" si="2"/>
        <v>#REF!</v>
      </c>
      <c r="L6" s="19" t="e">
        <f>SUMIFS(#REF!,#REF!,美团日报!$C$2,#REF!,"秒达")</f>
        <v>#REF!</v>
      </c>
      <c r="M6" s="23"/>
      <c r="N6" s="23"/>
      <c r="O6" s="22" t="e">
        <f t="shared" si="3"/>
        <v>#REF!</v>
      </c>
      <c r="P6" s="19" t="e">
        <f>SUMIFS(#REF!,#REF!,美团日报!$C6,#REF!,"秒达")</f>
        <v>#REF!</v>
      </c>
      <c r="Q6" s="23"/>
      <c r="R6" s="23"/>
      <c r="S6" s="22" t="e">
        <f t="shared" si="4"/>
        <v>#REF!</v>
      </c>
      <c r="T6" s="19" t="e">
        <f>SUMIFS(#REF!,#REF!,美团日报!$C6,#REF!,"O2O")</f>
        <v>#REF!</v>
      </c>
      <c r="U6" s="22" t="e">
        <f t="shared" si="5"/>
        <v>#REF!</v>
      </c>
      <c r="V6" s="19" t="e">
        <f>SUMIFS(#REF!,#REF!,美团日报!$C6,#REF!,"O2O")</f>
        <v>#REF!</v>
      </c>
      <c r="W6" s="24" t="s">
        <v>13</v>
      </c>
    </row>
    <row r="7" ht="14.4" spans="1:23">
      <c r="A7" s="16" t="s">
        <v>63</v>
      </c>
      <c r="B7" s="16" t="s">
        <v>60</v>
      </c>
      <c r="C7" s="16">
        <v>8603</v>
      </c>
      <c r="D7" s="16" t="s">
        <v>61</v>
      </c>
      <c r="E7" s="18">
        <f>_xlfn.IFNA(VLOOKUP(C:C,线上线下销售!B:D,3,0),0)</f>
        <v>9352.1572</v>
      </c>
      <c r="F7" s="18">
        <f>SUMIFS(线上订单!$E:$E,线上订单!$B:$B,美团日报!$C7)-SUMIFS(线上订单!$E:$E,线上订单!$B:$B,美团日报!$C7,线上订单!$D:$D,"美团")-SUMIFS(线上订单!$E:$E,线上订单!$B:$B,美团日报!$C7,线上订单!$D:$D,"饿了么")</f>
        <v>303.51790208655</v>
      </c>
      <c r="G7" s="19">
        <f t="shared" si="0"/>
        <v>0.0324543199601638</v>
      </c>
      <c r="H7" s="18">
        <f>SUMIFS(线上订单!$F:$F,线上订单!$B:$B,美团日报!$C7)-SUMIFS(线上订单!$F:$F,线上订单!$B:$B,美团日报!$C7,线上订单!$D:$D,"美团")-SUMIFS(线上订单!$F:$F,线上订单!$B:$B,美团日报!$C7,线上订单!$D:$D,"饿了么")</f>
        <v>9</v>
      </c>
      <c r="I7" s="18">
        <f>SUMIFS(线上订单!$F:$F,线上订单!$B:$B,美团日报!$C7)-SUMIFS(线上订单!$F:$F,线上订单!$B:$B,美团日报!$C7,线上订单!$D:$D,"美团")-SUMIFS(线上订单!$F:$F,线上订单!$B:$B,美团日报!$C7,线上订单!$D:$D,"饿了么")</f>
        <v>9</v>
      </c>
      <c r="J7" s="21">
        <f t="shared" si="1"/>
        <v>33.72421134295</v>
      </c>
      <c r="K7" s="22" t="e">
        <f t="shared" si="2"/>
        <v>#REF!</v>
      </c>
      <c r="L7" s="19" t="e">
        <f>SUMIFS(#REF!,#REF!,美团日报!$C$2,#REF!,"秒达")</f>
        <v>#REF!</v>
      </c>
      <c r="M7" s="23"/>
      <c r="N7" s="23"/>
      <c r="O7" s="22" t="e">
        <f t="shared" si="3"/>
        <v>#REF!</v>
      </c>
      <c r="P7" s="19" t="e">
        <f>SUMIFS(#REF!,#REF!,美团日报!$C7,#REF!,"秒达")</f>
        <v>#REF!</v>
      </c>
      <c r="Q7" s="23"/>
      <c r="R7" s="23"/>
      <c r="S7" s="22" t="e">
        <f t="shared" si="4"/>
        <v>#REF!</v>
      </c>
      <c r="T7" s="19" t="e">
        <f>SUMIFS(#REF!,#REF!,美团日报!$C7,#REF!,"O2O")</f>
        <v>#REF!</v>
      </c>
      <c r="U7" s="22" t="e">
        <f t="shared" si="5"/>
        <v>#REF!</v>
      </c>
      <c r="V7" s="19" t="e">
        <f>SUMIFS(#REF!,#REF!,美团日报!$C7,#REF!,"O2O")</f>
        <v>#REF!</v>
      </c>
      <c r="W7" s="24" t="s">
        <v>13</v>
      </c>
    </row>
    <row r="8" ht="14.4" spans="1:23">
      <c r="A8" s="16" t="s">
        <v>48</v>
      </c>
      <c r="B8" s="16" t="s">
        <v>111</v>
      </c>
      <c r="C8" s="16">
        <v>8604</v>
      </c>
      <c r="D8" s="16" t="s">
        <v>65</v>
      </c>
      <c r="E8" s="18">
        <f>_xlfn.IFNA(VLOOKUP(C:C,线上线下销售!B:D,3,0),0)</f>
        <v>7815.4465</v>
      </c>
      <c r="F8" s="18">
        <f>SUMIFS(线上订单!$E:$E,线上订单!$B:$B,美团日报!$C8)-SUMIFS(线上订单!$E:$E,线上订单!$B:$B,美团日报!$C8,线上订单!$D:$D,"美团")-SUMIFS(线上订单!$E:$E,线上订单!$B:$B,美团日报!$C8,线上订单!$D:$D,"饿了么")</f>
        <v>152.55175773321</v>
      </c>
      <c r="G8" s="19">
        <f t="shared" si="0"/>
        <v>0.0195192632606736</v>
      </c>
      <c r="H8" s="18">
        <f>SUMIFS(线上订单!$F:$F,线上订单!$B:$B,美团日报!$C8)-SUMIFS(线上订单!$F:$F,线上订单!$B:$B,美团日报!$C8,线上订单!$D:$D,"美团")-SUMIFS(线上订单!$F:$F,线上订单!$B:$B,美团日报!$C8,线上订单!$D:$D,"饿了么")</f>
        <v>4</v>
      </c>
      <c r="I8" s="18">
        <f>SUMIFS(线上订单!$F:$F,线上订单!$B:$B,美团日报!$C8)-SUMIFS(线上订单!$F:$F,线上订单!$B:$B,美团日报!$C8,线上订单!$D:$D,"美团")-SUMIFS(线上订单!$F:$F,线上订单!$B:$B,美团日报!$C8,线上订单!$D:$D,"饿了么")</f>
        <v>4</v>
      </c>
      <c r="J8" s="21">
        <f t="shared" si="1"/>
        <v>38.1379394333025</v>
      </c>
      <c r="K8" s="22" t="e">
        <f t="shared" si="2"/>
        <v>#REF!</v>
      </c>
      <c r="L8" s="19" t="e">
        <f>SUMIFS(#REF!,#REF!,美团日报!$C$2,#REF!,"秒达")</f>
        <v>#REF!</v>
      </c>
      <c r="M8" s="23"/>
      <c r="N8" s="23"/>
      <c r="O8" s="22" t="e">
        <f t="shared" si="3"/>
        <v>#REF!</v>
      </c>
      <c r="P8" s="19" t="e">
        <f>SUMIFS(#REF!,#REF!,美团日报!$C8,#REF!,"秒达")</f>
        <v>#REF!</v>
      </c>
      <c r="Q8" s="23"/>
      <c r="R8" s="23"/>
      <c r="S8" s="22" t="e">
        <f t="shared" si="4"/>
        <v>#REF!</v>
      </c>
      <c r="T8" s="19" t="e">
        <f>SUMIFS(#REF!,#REF!,美团日报!$C8,#REF!,"O2O")</f>
        <v>#REF!</v>
      </c>
      <c r="U8" s="22" t="e">
        <f t="shared" si="5"/>
        <v>#REF!</v>
      </c>
      <c r="V8" s="19" t="e">
        <f>SUMIFS(#REF!,#REF!,美团日报!$C8,#REF!,"O2O")</f>
        <v>#REF!</v>
      </c>
      <c r="W8" s="24" t="s">
        <v>13</v>
      </c>
    </row>
    <row r="9" ht="14.4" spans="1:23">
      <c r="A9" s="16" t="s">
        <v>43</v>
      </c>
      <c r="B9" s="16" t="s">
        <v>301</v>
      </c>
      <c r="C9" s="16">
        <v>8606</v>
      </c>
      <c r="D9" s="16" t="s">
        <v>68</v>
      </c>
      <c r="E9" s="18">
        <f>_xlfn.IFNA(VLOOKUP(C:C,线上线下销售!B:D,3,0),0)</f>
        <v>10089.4799</v>
      </c>
      <c r="F9" s="18">
        <f>SUMIFS(线上订单!$E:$E,线上订单!$B:$B,美团日报!$C9)-SUMIFS(线上订单!$E:$E,线上订单!$B:$B,美团日报!$C9,线上订单!$D:$D,"美团")-SUMIFS(线上订单!$E:$E,线上订单!$B:$B,美团日报!$C9,线上订单!$D:$D,"饿了么")</f>
        <v>50.0000000000001</v>
      </c>
      <c r="G9" s="19">
        <f t="shared" si="0"/>
        <v>0.00495565683222186</v>
      </c>
      <c r="H9" s="18">
        <f>SUMIFS(线上订单!$F:$F,线上订单!$B:$B,美团日报!$C9)-SUMIFS(线上订单!$F:$F,线上订单!$B:$B,美团日报!$C9,线上订单!$D:$D,"美团")-SUMIFS(线上订单!$F:$F,线上订单!$B:$B,美团日报!$C9,线上订单!$D:$D,"饿了么")</f>
        <v>1</v>
      </c>
      <c r="I9" s="18">
        <f>SUMIFS(线上订单!$F:$F,线上订单!$B:$B,美团日报!$C9)-SUMIFS(线上订单!$F:$F,线上订单!$B:$B,美团日报!$C9,线上订单!$D:$D,"美团")-SUMIFS(线上订单!$F:$F,线上订单!$B:$B,美团日报!$C9,线上订单!$D:$D,"饿了么")</f>
        <v>1</v>
      </c>
      <c r="J9" s="21">
        <f t="shared" si="1"/>
        <v>50.0000000000001</v>
      </c>
      <c r="K9" s="22" t="e">
        <f t="shared" si="2"/>
        <v>#REF!</v>
      </c>
      <c r="L9" s="19" t="e">
        <f>SUMIFS(#REF!,#REF!,美团日报!$C$2,#REF!,"秒达")</f>
        <v>#REF!</v>
      </c>
      <c r="M9" s="23"/>
      <c r="N9" s="23"/>
      <c r="O9" s="22" t="e">
        <f t="shared" si="3"/>
        <v>#REF!</v>
      </c>
      <c r="P9" s="19" t="e">
        <f>SUMIFS(#REF!,#REF!,美团日报!$C9,#REF!,"秒达")</f>
        <v>#REF!</v>
      </c>
      <c r="Q9" s="23"/>
      <c r="R9" s="23"/>
      <c r="S9" s="22" t="e">
        <f t="shared" si="4"/>
        <v>#REF!</v>
      </c>
      <c r="T9" s="19" t="e">
        <f>SUMIFS(#REF!,#REF!,美团日报!$C9,#REF!,"O2O")</f>
        <v>#REF!</v>
      </c>
      <c r="U9" s="22" t="e">
        <f t="shared" si="5"/>
        <v>#REF!</v>
      </c>
      <c r="V9" s="19" t="e">
        <f>SUMIFS(#REF!,#REF!,美团日报!$C9,#REF!,"O2O")</f>
        <v>#REF!</v>
      </c>
      <c r="W9" s="24" t="s">
        <v>13</v>
      </c>
    </row>
    <row r="10" ht="14.4" spans="1:23">
      <c r="A10" s="16" t="s">
        <v>56</v>
      </c>
      <c r="B10" s="16" t="s">
        <v>70</v>
      </c>
      <c r="C10" s="16">
        <v>8617</v>
      </c>
      <c r="D10" s="16" t="s">
        <v>71</v>
      </c>
      <c r="E10" s="18">
        <f>_xlfn.IFNA(VLOOKUP(C:C,线上线下销售!B:D,3,0),0)</f>
        <v>7394.9216</v>
      </c>
      <c r="F10" s="18">
        <f>SUMIFS(线上订单!$E:$E,线上订单!$B:$B,美团日报!$C10)-SUMIFS(线上订单!$E:$E,线上订单!$B:$B,美团日报!$C10,线上订单!$D:$D,"美团")-SUMIFS(线上订单!$E:$E,线上订单!$B:$B,美团日报!$C10,线上订单!$D:$D,"饿了么")</f>
        <v>212.93805309735</v>
      </c>
      <c r="G10" s="19">
        <f t="shared" si="0"/>
        <v>0.0287951738524652</v>
      </c>
      <c r="H10" s="18">
        <f>SUMIFS(线上订单!$F:$F,线上订单!$B:$B,美团日报!$C10)-SUMIFS(线上订单!$F:$F,线上订单!$B:$B,美团日报!$C10,线上订单!$D:$D,"美团")-SUMIFS(线上订单!$F:$F,线上订单!$B:$B,美团日报!$C10,线上订单!$D:$D,"饿了么")</f>
        <v>5</v>
      </c>
      <c r="I10" s="18">
        <f>SUMIFS(线上订单!$F:$F,线上订单!$B:$B,美团日报!$C10)-SUMIFS(线上订单!$F:$F,线上订单!$B:$B,美团日报!$C10,线上订单!$D:$D,"美团")-SUMIFS(线上订单!$F:$F,线上订单!$B:$B,美团日报!$C10,线上订单!$D:$D,"饿了么")</f>
        <v>5</v>
      </c>
      <c r="J10" s="21">
        <f t="shared" si="1"/>
        <v>42.58761061947</v>
      </c>
      <c r="K10" s="22" t="e">
        <f t="shared" si="2"/>
        <v>#REF!</v>
      </c>
      <c r="L10" s="19" t="e">
        <f>SUMIFS(#REF!,#REF!,美团日报!$C$2,#REF!,"秒达")</f>
        <v>#REF!</v>
      </c>
      <c r="M10" s="23"/>
      <c r="N10" s="23"/>
      <c r="O10" s="22" t="e">
        <f t="shared" si="3"/>
        <v>#REF!</v>
      </c>
      <c r="P10" s="19" t="e">
        <f>SUMIFS(#REF!,#REF!,美团日报!$C10,#REF!,"秒达")</f>
        <v>#REF!</v>
      </c>
      <c r="Q10" s="23"/>
      <c r="R10" s="23"/>
      <c r="S10" s="22" t="e">
        <f t="shared" si="4"/>
        <v>#REF!</v>
      </c>
      <c r="T10" s="19" t="e">
        <f>SUMIFS(#REF!,#REF!,美团日报!$C10,#REF!,"O2O")</f>
        <v>#REF!</v>
      </c>
      <c r="U10" s="22" t="e">
        <f t="shared" si="5"/>
        <v>#REF!</v>
      </c>
      <c r="V10" s="19" t="e">
        <f>SUMIFS(#REF!,#REF!,美团日报!$C10,#REF!,"O2O")</f>
        <v>#REF!</v>
      </c>
      <c r="W10" s="24" t="s">
        <v>13</v>
      </c>
    </row>
    <row r="11" ht="14.4" spans="1:23">
      <c r="A11" s="16" t="s">
        <v>56</v>
      </c>
      <c r="B11" s="16" t="s">
        <v>573</v>
      </c>
      <c r="C11" s="16">
        <v>8628</v>
      </c>
      <c r="D11" s="16" t="s">
        <v>74</v>
      </c>
      <c r="E11" s="18">
        <f>_xlfn.IFNA(VLOOKUP(C:C,线上线下销售!B:D,3,0),0)</f>
        <v>11368.4489</v>
      </c>
      <c r="F11" s="18">
        <f>SUMIFS(线上订单!$E:$E,线上订单!$B:$B,美团日报!$C11)-SUMIFS(线上订单!$E:$E,线上订单!$B:$B,美团日报!$C11,线上订单!$D:$D,"美团")-SUMIFS(线上订单!$E:$E,线上订单!$B:$B,美团日报!$C11,线上订单!$D:$D,"饿了么")</f>
        <v>237.21100917432</v>
      </c>
      <c r="G11" s="19">
        <f t="shared" si="0"/>
        <v>0.0208657321030242</v>
      </c>
      <c r="H11" s="18">
        <f>SUMIFS(线上订单!$F:$F,线上订单!$B:$B,美团日报!$C11)-SUMIFS(线上订单!$F:$F,线上订单!$B:$B,美团日报!$C11,线上订单!$D:$D,"美团")-SUMIFS(线上订单!$F:$F,线上订单!$B:$B,美团日报!$C11,线上订单!$D:$D,"饿了么")</f>
        <v>7</v>
      </c>
      <c r="I11" s="18">
        <f>SUMIFS(线上订单!$F:$F,线上订单!$B:$B,美团日报!$C11)-SUMIFS(线上订单!$F:$F,线上订单!$B:$B,美团日报!$C11,线上订单!$D:$D,"美团")-SUMIFS(线上订单!$F:$F,线上订单!$B:$B,美团日报!$C11,线上订单!$D:$D,"饿了么")</f>
        <v>7</v>
      </c>
      <c r="J11" s="21">
        <f t="shared" si="1"/>
        <v>33.8872870249029</v>
      </c>
      <c r="K11" s="22" t="e">
        <f t="shared" si="2"/>
        <v>#REF!</v>
      </c>
      <c r="L11" s="19" t="e">
        <f>SUMIFS(#REF!,#REF!,美团日报!$C$2,#REF!,"秒达")</f>
        <v>#REF!</v>
      </c>
      <c r="M11" s="23"/>
      <c r="N11" s="23"/>
      <c r="O11" s="22" t="e">
        <f t="shared" si="3"/>
        <v>#REF!</v>
      </c>
      <c r="P11" s="19" t="e">
        <f>SUMIFS(#REF!,#REF!,美团日报!$C11,#REF!,"秒达")</f>
        <v>#REF!</v>
      </c>
      <c r="Q11" s="23"/>
      <c r="R11" s="23"/>
      <c r="S11" s="22" t="e">
        <f t="shared" si="4"/>
        <v>#REF!</v>
      </c>
      <c r="T11" s="19" t="e">
        <f>SUMIFS(#REF!,#REF!,美团日报!$C11,#REF!,"O2O")</f>
        <v>#REF!</v>
      </c>
      <c r="U11" s="22" t="e">
        <f t="shared" si="5"/>
        <v>#REF!</v>
      </c>
      <c r="V11" s="19" t="e">
        <f>SUMIFS(#REF!,#REF!,美团日报!$C11,#REF!,"O2O")</f>
        <v>#REF!</v>
      </c>
      <c r="W11" s="24" t="s">
        <v>13</v>
      </c>
    </row>
    <row r="12" ht="14.4" spans="1:23">
      <c r="A12" s="16" t="s">
        <v>56</v>
      </c>
      <c r="B12" s="16" t="s">
        <v>118</v>
      </c>
      <c r="C12" s="16">
        <v>8609</v>
      </c>
      <c r="D12" s="16" t="s">
        <v>77</v>
      </c>
      <c r="E12" s="18">
        <f>_xlfn.IFNA(VLOOKUP(C:C,线上线下销售!B:D,3,0),0)</f>
        <v>5644.3092</v>
      </c>
      <c r="F12" s="18">
        <f>SUMIFS(线上订单!$E:$E,线上订单!$B:$B,美团日报!$C12)-SUMIFS(线上订单!$E:$E,线上订单!$B:$B,美团日报!$C12,线上订单!$D:$D,"美团")-SUMIFS(线上订单!$E:$E,线上订单!$B:$B,美团日报!$C12,线上订单!$D:$D,"饿了么")</f>
        <v>71.1504424778701</v>
      </c>
      <c r="G12" s="19">
        <f t="shared" si="0"/>
        <v>0.0126056953927808</v>
      </c>
      <c r="H12" s="18">
        <f>SUMIFS(线上订单!$F:$F,线上订单!$B:$B,美团日报!$C12)-SUMIFS(线上订单!$F:$F,线上订单!$B:$B,美团日报!$C12,线上订单!$D:$D,"美团")-SUMIFS(线上订单!$F:$F,线上订单!$B:$B,美团日报!$C12,线上订单!$D:$D,"饿了么")</f>
        <v>3</v>
      </c>
      <c r="I12" s="18">
        <f>SUMIFS(线上订单!$F:$F,线上订单!$B:$B,美团日报!$C12)-SUMIFS(线上订单!$F:$F,线上订单!$B:$B,美团日报!$C12,线上订单!$D:$D,"美团")-SUMIFS(线上订单!$F:$F,线上订单!$B:$B,美团日报!$C12,线上订单!$D:$D,"饿了么")</f>
        <v>3</v>
      </c>
      <c r="J12" s="21">
        <f t="shared" si="1"/>
        <v>23.71681415929</v>
      </c>
      <c r="K12" s="22" t="e">
        <f t="shared" si="2"/>
        <v>#REF!</v>
      </c>
      <c r="L12" s="19" t="e">
        <f>SUMIFS(#REF!,#REF!,美团日报!$C$2,#REF!,"秒达")</f>
        <v>#REF!</v>
      </c>
      <c r="M12" s="23"/>
      <c r="N12" s="23"/>
      <c r="O12" s="22" t="e">
        <f t="shared" si="3"/>
        <v>#REF!</v>
      </c>
      <c r="P12" s="19" t="e">
        <f>SUMIFS(#REF!,#REF!,美团日报!$C12,#REF!,"秒达")</f>
        <v>#REF!</v>
      </c>
      <c r="Q12" s="23"/>
      <c r="R12" s="23"/>
      <c r="S12" s="22" t="e">
        <f t="shared" si="4"/>
        <v>#REF!</v>
      </c>
      <c r="T12" s="19" t="e">
        <f>SUMIFS(#REF!,#REF!,美团日报!$C12,#REF!,"O2O")</f>
        <v>#REF!</v>
      </c>
      <c r="U12" s="22" t="e">
        <f t="shared" si="5"/>
        <v>#REF!</v>
      </c>
      <c r="V12" s="19" t="e">
        <f>SUMIFS(#REF!,#REF!,美团日报!$C12,#REF!,"O2O")</f>
        <v>#REF!</v>
      </c>
      <c r="W12" s="24" t="s">
        <v>13</v>
      </c>
    </row>
    <row r="13" ht="14.4" spans="1:23">
      <c r="A13" s="16" t="s">
        <v>48</v>
      </c>
      <c r="B13" s="16" t="s">
        <v>49</v>
      </c>
      <c r="C13" s="16">
        <v>8621</v>
      </c>
      <c r="D13" s="16" t="s">
        <v>79</v>
      </c>
      <c r="E13" s="18">
        <f>_xlfn.IFNA(VLOOKUP(C:C,线上线下销售!B:D,3,0),0)</f>
        <v>5489.37</v>
      </c>
      <c r="F13" s="18">
        <f>SUMIFS(线上订单!$E:$E,线上订单!$B:$B,美团日报!$C13)-SUMIFS(线上订单!$E:$E,线上订单!$B:$B,美团日报!$C13,线上订单!$D:$D,"美团")-SUMIFS(线上订单!$E:$E,线上订单!$B:$B,美团日报!$C13,线上订单!$D:$D,"饿了么")</f>
        <v>323.09182430786</v>
      </c>
      <c r="G13" s="19">
        <f t="shared" si="0"/>
        <v>0.0588577239843297</v>
      </c>
      <c r="H13" s="18">
        <f>SUMIFS(线上订单!$F:$F,线上订单!$B:$B,美团日报!$C13)-SUMIFS(线上订单!$F:$F,线上订单!$B:$B,美团日报!$C13,线上订单!$D:$D,"美团")-SUMIFS(线上订单!$F:$F,线上订单!$B:$B,美团日报!$C13,线上订单!$D:$D,"饿了么")</f>
        <v>9</v>
      </c>
      <c r="I13" s="18">
        <f>SUMIFS(线上订单!$F:$F,线上订单!$B:$B,美团日报!$C13)-SUMIFS(线上订单!$F:$F,线上订单!$B:$B,美团日报!$C13,线上订单!$D:$D,"美团")-SUMIFS(线上订单!$F:$F,线上订单!$B:$B,美团日报!$C13,线上订单!$D:$D,"饿了么")</f>
        <v>9</v>
      </c>
      <c r="J13" s="21">
        <f t="shared" si="1"/>
        <v>35.8990915897622</v>
      </c>
      <c r="K13" s="22" t="e">
        <f t="shared" si="2"/>
        <v>#REF!</v>
      </c>
      <c r="L13" s="19" t="e">
        <f>SUMIFS(#REF!,#REF!,美团日报!$C$2,#REF!,"秒达")</f>
        <v>#REF!</v>
      </c>
      <c r="M13" s="23"/>
      <c r="N13" s="23"/>
      <c r="O13" s="22" t="e">
        <f t="shared" si="3"/>
        <v>#REF!</v>
      </c>
      <c r="P13" s="19" t="e">
        <f>SUMIFS(#REF!,#REF!,美团日报!$C13,#REF!,"秒达")</f>
        <v>#REF!</v>
      </c>
      <c r="Q13" s="23"/>
      <c r="R13" s="23"/>
      <c r="S13" s="22" t="e">
        <f t="shared" si="4"/>
        <v>#REF!</v>
      </c>
      <c r="T13" s="19" t="e">
        <f>SUMIFS(#REF!,#REF!,美团日报!$C13,#REF!,"O2O")</f>
        <v>#REF!</v>
      </c>
      <c r="U13" s="22" t="e">
        <f t="shared" si="5"/>
        <v>#REF!</v>
      </c>
      <c r="V13" s="19" t="e">
        <f>SUMIFS(#REF!,#REF!,美团日报!$C13,#REF!,"O2O")</f>
        <v>#REF!</v>
      </c>
      <c r="W13" s="24" t="s">
        <v>13</v>
      </c>
    </row>
    <row r="14" ht="14.4" spans="1:23">
      <c r="A14" s="16" t="s">
        <v>43</v>
      </c>
      <c r="B14" s="16" t="s">
        <v>131</v>
      </c>
      <c r="C14" s="16">
        <v>8634</v>
      </c>
      <c r="D14" s="16" t="s">
        <v>81</v>
      </c>
      <c r="E14" s="18">
        <f>_xlfn.IFNA(VLOOKUP(C:C,线上线下销售!B:D,3,0),0)</f>
        <v>11827.5082</v>
      </c>
      <c r="F14" s="18">
        <f>SUMIFS(线上订单!$E:$E,线上订单!$B:$B,美团日报!$C14)-SUMIFS(线上订单!$E:$E,线上订单!$B:$B,美团日报!$C14,线上订单!$D:$D,"美团")-SUMIFS(线上订单!$E:$E,线上订单!$B:$B,美团日报!$C14,线上订单!$D:$D,"饿了么")</f>
        <v>212.76106194691</v>
      </c>
      <c r="G14" s="19">
        <f t="shared" si="0"/>
        <v>0.0179886632373597</v>
      </c>
      <c r="H14" s="18">
        <f>SUMIFS(线上订单!$F:$F,线上订单!$B:$B,美团日报!$C14)-SUMIFS(线上订单!$F:$F,线上订单!$B:$B,美团日报!$C14,线上订单!$D:$D,"美团")-SUMIFS(线上订单!$F:$F,线上订单!$B:$B,美团日报!$C14,线上订单!$D:$D,"饿了么")</f>
        <v>7</v>
      </c>
      <c r="I14" s="18">
        <f>SUMIFS(线上订单!$F:$F,线上订单!$B:$B,美团日报!$C14)-SUMIFS(线上订单!$F:$F,线上订单!$B:$B,美团日报!$C14,线上订单!$D:$D,"美团")-SUMIFS(线上订单!$F:$F,线上订单!$B:$B,美团日报!$C14,线上订单!$D:$D,"饿了么")</f>
        <v>7</v>
      </c>
      <c r="J14" s="21">
        <f t="shared" si="1"/>
        <v>30.3944374209872</v>
      </c>
      <c r="K14" s="22" t="e">
        <f t="shared" si="2"/>
        <v>#REF!</v>
      </c>
      <c r="L14" s="19" t="e">
        <f>SUMIFS(#REF!,#REF!,美团日报!$C$2,#REF!,"秒达")</f>
        <v>#REF!</v>
      </c>
      <c r="M14" s="23"/>
      <c r="N14" s="23"/>
      <c r="O14" s="22" t="e">
        <f t="shared" si="3"/>
        <v>#REF!</v>
      </c>
      <c r="P14" s="19" t="e">
        <f>SUMIFS(#REF!,#REF!,美团日报!$C14,#REF!,"秒达")</f>
        <v>#REF!</v>
      </c>
      <c r="Q14" s="23"/>
      <c r="R14" s="23"/>
      <c r="S14" s="22" t="e">
        <f t="shared" si="4"/>
        <v>#REF!</v>
      </c>
      <c r="T14" s="19" t="e">
        <f>SUMIFS(#REF!,#REF!,美团日报!$C14,#REF!,"O2O")</f>
        <v>#REF!</v>
      </c>
      <c r="U14" s="22" t="e">
        <f t="shared" si="5"/>
        <v>#REF!</v>
      </c>
      <c r="V14" s="19" t="e">
        <f>SUMIFS(#REF!,#REF!,美团日报!$C14,#REF!,"O2O")</f>
        <v>#REF!</v>
      </c>
      <c r="W14" s="24" t="s">
        <v>13</v>
      </c>
    </row>
    <row r="15" ht="14.4" spans="1:23">
      <c r="A15" s="16" t="s">
        <v>48</v>
      </c>
      <c r="B15" s="16" t="s">
        <v>83</v>
      </c>
      <c r="C15" s="16">
        <v>8623</v>
      </c>
      <c r="D15" s="16" t="s">
        <v>84</v>
      </c>
      <c r="E15" s="18">
        <f>_xlfn.IFNA(VLOOKUP(C:C,线上线下销售!B:D,3,0),0)</f>
        <v>6866.9293</v>
      </c>
      <c r="F15" s="18">
        <f>SUMIFS(线上订单!$E:$E,线上订单!$B:$B,美团日报!$C15)-SUMIFS(线上订单!$E:$E,线上订单!$B:$B,美团日报!$C15,线上订单!$D:$D,"美团")-SUMIFS(线上订单!$E:$E,线上订单!$B:$B,美团日报!$C15,线上订单!$D:$D,"饿了么")</f>
        <v>100.81415929203</v>
      </c>
      <c r="G15" s="19">
        <f t="shared" si="0"/>
        <v>0.0146811121663987</v>
      </c>
      <c r="H15" s="18">
        <f>SUMIFS(线上订单!$F:$F,线上订单!$B:$B,美团日报!$C15)-SUMIFS(线上订单!$F:$F,线上订单!$B:$B,美团日报!$C15,线上订单!$D:$D,"美团")-SUMIFS(线上订单!$F:$F,线上订单!$B:$B,美团日报!$C15,线上订单!$D:$D,"饿了么")</f>
        <v>3</v>
      </c>
      <c r="I15" s="18">
        <f>SUMIFS(线上订单!$F:$F,线上订单!$B:$B,美团日报!$C15)-SUMIFS(线上订单!$F:$F,线上订单!$B:$B,美团日报!$C15,线上订单!$D:$D,"美团")-SUMIFS(线上订单!$F:$F,线上订单!$B:$B,美团日报!$C15,线上订单!$D:$D,"饿了么")</f>
        <v>3</v>
      </c>
      <c r="J15" s="21">
        <f t="shared" si="1"/>
        <v>33.60471976401</v>
      </c>
      <c r="K15" s="22" t="e">
        <f t="shared" si="2"/>
        <v>#REF!</v>
      </c>
      <c r="L15" s="19" t="e">
        <f>SUMIFS(#REF!,#REF!,美团日报!$C$2,#REF!,"秒达")</f>
        <v>#REF!</v>
      </c>
      <c r="M15" s="23"/>
      <c r="N15" s="23"/>
      <c r="O15" s="22" t="e">
        <f t="shared" si="3"/>
        <v>#REF!</v>
      </c>
      <c r="P15" s="19" t="e">
        <f>SUMIFS(#REF!,#REF!,美团日报!$C15,#REF!,"秒达")</f>
        <v>#REF!</v>
      </c>
      <c r="Q15" s="23"/>
      <c r="R15" s="23"/>
      <c r="S15" s="22" t="e">
        <f t="shared" si="4"/>
        <v>#REF!</v>
      </c>
      <c r="T15" s="19" t="e">
        <f>SUMIFS(#REF!,#REF!,美团日报!$C15,#REF!,"O2O")</f>
        <v>#REF!</v>
      </c>
      <c r="U15" s="22" t="e">
        <f t="shared" si="5"/>
        <v>#REF!</v>
      </c>
      <c r="V15" s="19" t="e">
        <f>SUMIFS(#REF!,#REF!,美团日报!$C15,#REF!,"O2O")</f>
        <v>#REF!</v>
      </c>
      <c r="W15" s="24" t="s">
        <v>13</v>
      </c>
    </row>
    <row r="16" ht="14.4" spans="1:23">
      <c r="A16" s="16" t="s">
        <v>63</v>
      </c>
      <c r="B16" s="16" t="s">
        <v>574</v>
      </c>
      <c r="C16" s="16">
        <v>8653</v>
      </c>
      <c r="D16" s="16" t="s">
        <v>87</v>
      </c>
      <c r="E16" s="18">
        <f>_xlfn.IFNA(VLOOKUP(C:C,线上线下销售!B:D,3,0),0)</f>
        <v>3342.9164</v>
      </c>
      <c r="F16" s="18">
        <f>SUMIFS(线上订单!$E:$E,线上订单!$B:$B,美团日报!$C16)-SUMIFS(线上订单!$E:$E,线上订单!$B:$B,美团日报!$C16,线上订单!$D:$D,"美团")-SUMIFS(线上订单!$E:$E,线上订单!$B:$B,美团日报!$C16,线上订单!$D:$D,"饿了么")</f>
        <v>0</v>
      </c>
      <c r="G16" s="19">
        <f t="shared" si="0"/>
        <v>0</v>
      </c>
      <c r="H16" s="18">
        <f>SUMIFS(线上订单!$F:$F,线上订单!$B:$B,美团日报!$C16)-SUMIFS(线上订单!$F:$F,线上订单!$B:$B,美团日报!$C16,线上订单!$D:$D,"美团")-SUMIFS(线上订单!$F:$F,线上订单!$B:$B,美团日报!$C16,线上订单!$D:$D,"饿了么")</f>
        <v>0</v>
      </c>
      <c r="I16" s="18">
        <f>SUMIFS(线上订单!$F:$F,线上订单!$B:$B,美团日报!$C16)-SUMIFS(线上订单!$F:$F,线上订单!$B:$B,美团日报!$C16,线上订单!$D:$D,"美团")-SUMIFS(线上订单!$F:$F,线上订单!$B:$B,美团日报!$C16,线上订单!$D:$D,"饿了么")</f>
        <v>0</v>
      </c>
      <c r="J16" s="21">
        <f t="shared" si="1"/>
        <v>0</v>
      </c>
      <c r="K16" s="22" t="e">
        <f t="shared" si="2"/>
        <v>#REF!</v>
      </c>
      <c r="L16" s="19" t="e">
        <f>SUMIFS(#REF!,#REF!,美团日报!$C$2,#REF!,"秒达")</f>
        <v>#REF!</v>
      </c>
      <c r="M16" s="23"/>
      <c r="N16" s="23"/>
      <c r="O16" s="22" t="e">
        <f t="shared" si="3"/>
        <v>#REF!</v>
      </c>
      <c r="P16" s="19" t="e">
        <f>SUMIFS(#REF!,#REF!,美团日报!$C16,#REF!,"秒达")</f>
        <v>#REF!</v>
      </c>
      <c r="Q16" s="23"/>
      <c r="R16" s="23"/>
      <c r="S16" s="22" t="e">
        <f t="shared" si="4"/>
        <v>#REF!</v>
      </c>
      <c r="T16" s="19" t="e">
        <f>SUMIFS(#REF!,#REF!,美团日报!$C16,#REF!,"O2O")</f>
        <v>#REF!</v>
      </c>
      <c r="U16" s="22" t="e">
        <f t="shared" si="5"/>
        <v>#REF!</v>
      </c>
      <c r="V16" s="19" t="e">
        <f>SUMIFS(#REF!,#REF!,美团日报!$C16,#REF!,"O2O")</f>
        <v>#REF!</v>
      </c>
      <c r="W16" s="24" t="s">
        <v>13</v>
      </c>
    </row>
    <row r="17" ht="14.4" spans="1:23">
      <c r="A17" s="16" t="s">
        <v>48</v>
      </c>
      <c r="B17" s="16" t="s">
        <v>89</v>
      </c>
      <c r="C17" s="16">
        <v>8622</v>
      </c>
      <c r="D17" s="16" t="s">
        <v>90</v>
      </c>
      <c r="E17" s="18">
        <f>_xlfn.IFNA(VLOOKUP(C:C,线上线下销售!B:D,3,0),0)</f>
        <v>10514.0517</v>
      </c>
      <c r="F17" s="18">
        <f>SUMIFS(线上订单!$E:$E,线上订单!$B:$B,美团日报!$C17)-SUMIFS(线上订单!$E:$E,线上订单!$B:$B,美团日报!$C17,线上订单!$D:$D,"美团")-SUMIFS(线上订单!$E:$E,线上订单!$B:$B,美团日报!$C17,线上订单!$D:$D,"饿了么")</f>
        <v>134.77876106194</v>
      </c>
      <c r="G17" s="19">
        <f t="shared" si="0"/>
        <v>0.012818917474216</v>
      </c>
      <c r="H17" s="18">
        <f>SUMIFS(线上订单!$F:$F,线上订单!$B:$B,美团日报!$C17)-SUMIFS(线上订单!$F:$F,线上订单!$B:$B,美团日报!$C17,线上订单!$D:$D,"美团")-SUMIFS(线上订单!$F:$F,线上订单!$B:$B,美团日报!$C17,线上订单!$D:$D,"饿了么")</f>
        <v>3</v>
      </c>
      <c r="I17" s="18">
        <f>SUMIFS(线上订单!$F:$F,线上订单!$B:$B,美团日报!$C17)-SUMIFS(线上订单!$F:$F,线上订单!$B:$B,美团日报!$C17,线上订单!$D:$D,"美团")-SUMIFS(线上订单!$F:$F,线上订单!$B:$B,美团日报!$C17,线上订单!$D:$D,"饿了么")</f>
        <v>3</v>
      </c>
      <c r="J17" s="21">
        <f t="shared" si="1"/>
        <v>44.9262536873134</v>
      </c>
      <c r="K17" s="22" t="e">
        <f t="shared" si="2"/>
        <v>#REF!</v>
      </c>
      <c r="L17" s="19" t="e">
        <f>SUMIFS(#REF!,#REF!,美团日报!$C$2,#REF!,"秒达")</f>
        <v>#REF!</v>
      </c>
      <c r="M17" s="23"/>
      <c r="N17" s="23"/>
      <c r="O17" s="22" t="e">
        <f t="shared" si="3"/>
        <v>#REF!</v>
      </c>
      <c r="P17" s="19" t="e">
        <f>SUMIFS(#REF!,#REF!,美团日报!$C17,#REF!,"秒达")</f>
        <v>#REF!</v>
      </c>
      <c r="Q17" s="23"/>
      <c r="R17" s="23"/>
      <c r="S17" s="22" t="e">
        <f t="shared" si="4"/>
        <v>#REF!</v>
      </c>
      <c r="T17" s="19" t="e">
        <f>SUMIFS(#REF!,#REF!,美团日报!$C17,#REF!,"O2O")</f>
        <v>#REF!</v>
      </c>
      <c r="U17" s="22" t="e">
        <f t="shared" si="5"/>
        <v>#REF!</v>
      </c>
      <c r="V17" s="19" t="e">
        <f>SUMIFS(#REF!,#REF!,美团日报!$C17,#REF!,"O2O")</f>
        <v>#REF!</v>
      </c>
      <c r="W17" s="24" t="s">
        <v>13</v>
      </c>
    </row>
    <row r="18" ht="14.4" spans="1:23">
      <c r="A18" s="16" t="s">
        <v>56</v>
      </c>
      <c r="B18" s="16" t="s">
        <v>118</v>
      </c>
      <c r="C18" s="16">
        <v>8614</v>
      </c>
      <c r="D18" s="16" t="s">
        <v>93</v>
      </c>
      <c r="E18" s="18">
        <f>_xlfn.IFNA(VLOOKUP(C:C,线上线下销售!B:D,3,0),0)</f>
        <v>8560.2456</v>
      </c>
      <c r="F18" s="18">
        <f>SUMIFS(线上订单!$E:$E,线上订单!$B:$B,美团日报!$C18)-SUMIFS(线上订单!$E:$E,线上订单!$B:$B,美团日报!$C18,线上订单!$D:$D,"美团")-SUMIFS(线上订单!$E:$E,线上订单!$B:$B,美团日报!$C18,线上订单!$D:$D,"饿了么")</f>
        <v>1676.32654055352</v>
      </c>
      <c r="G18" s="19">
        <f t="shared" si="0"/>
        <v>0.195826921198794</v>
      </c>
      <c r="H18" s="18">
        <f>SUMIFS(线上订单!$F:$F,线上订单!$B:$B,美团日报!$C18)-SUMIFS(线上订单!$F:$F,线上订单!$B:$B,美团日报!$C18,线上订单!$D:$D,"美团")-SUMIFS(线上订单!$F:$F,线上订单!$B:$B,美团日报!$C18,线上订单!$D:$D,"饿了么")</f>
        <v>71</v>
      </c>
      <c r="I18" s="18">
        <f>SUMIFS(线上订单!$F:$F,线上订单!$B:$B,美团日报!$C18)-SUMIFS(线上订单!$F:$F,线上订单!$B:$B,美团日报!$C18,线上订单!$D:$D,"美团")-SUMIFS(线上订单!$F:$F,线上订单!$B:$B,美团日报!$C18,线上订单!$D:$D,"饿了么")</f>
        <v>71</v>
      </c>
      <c r="J18" s="21">
        <f t="shared" si="1"/>
        <v>23.6102329655425</v>
      </c>
      <c r="K18" s="22" t="e">
        <f t="shared" si="2"/>
        <v>#REF!</v>
      </c>
      <c r="L18" s="19" t="e">
        <f>SUMIFS(#REF!,#REF!,美团日报!$C$2,#REF!,"秒达")</f>
        <v>#REF!</v>
      </c>
      <c r="M18" s="23"/>
      <c r="N18" s="23"/>
      <c r="O18" s="22" t="e">
        <f t="shared" si="3"/>
        <v>#REF!</v>
      </c>
      <c r="P18" s="19" t="e">
        <f>SUMIFS(#REF!,#REF!,美团日报!$C18,#REF!,"秒达")</f>
        <v>#REF!</v>
      </c>
      <c r="Q18" s="23"/>
      <c r="R18" s="23"/>
      <c r="S18" s="22" t="e">
        <f t="shared" si="4"/>
        <v>#REF!</v>
      </c>
      <c r="T18" s="19" t="e">
        <f>SUMIFS(#REF!,#REF!,美团日报!$C18,#REF!,"O2O")</f>
        <v>#REF!</v>
      </c>
      <c r="U18" s="22" t="e">
        <f t="shared" si="5"/>
        <v>#REF!</v>
      </c>
      <c r="V18" s="19" t="e">
        <f>SUMIFS(#REF!,#REF!,美团日报!$C18,#REF!,"O2O")</f>
        <v>#REF!</v>
      </c>
      <c r="W18" s="24" t="s">
        <v>13</v>
      </c>
    </row>
    <row r="19" ht="14.4" spans="1:23">
      <c r="A19" s="16" t="s">
        <v>48</v>
      </c>
      <c r="B19" s="16" t="s">
        <v>83</v>
      </c>
      <c r="C19" s="16">
        <v>8625</v>
      </c>
      <c r="D19" s="16" t="s">
        <v>95</v>
      </c>
      <c r="E19" s="18">
        <f>_xlfn.IFNA(VLOOKUP(C:C,线上线下销售!B:D,3,0),0)</f>
        <v>7384.6683</v>
      </c>
      <c r="F19" s="18">
        <f>SUMIFS(线上订单!$E:$E,线上订单!$B:$B,美团日报!$C19)-SUMIFS(线上订单!$E:$E,线上订单!$B:$B,美团日报!$C19,线上订单!$D:$D,"美团")-SUMIFS(线上订单!$E:$E,线上订单!$B:$B,美团日报!$C19,线上订单!$D:$D,"饿了么")</f>
        <v>134.36145165219</v>
      </c>
      <c r="G19" s="19">
        <f t="shared" si="0"/>
        <v>0.0181946495351985</v>
      </c>
      <c r="H19" s="18">
        <f>SUMIFS(线上订单!$F:$F,线上订单!$B:$B,美团日报!$C19)-SUMIFS(线上订单!$F:$F,线上订单!$B:$B,美团日报!$C19,线上订单!$D:$D,"美团")-SUMIFS(线上订单!$F:$F,线上订单!$B:$B,美团日报!$C19,线上订单!$D:$D,"饿了么")</f>
        <v>4</v>
      </c>
      <c r="I19" s="18">
        <f>SUMIFS(线上订单!$F:$F,线上订单!$B:$B,美团日报!$C19)-SUMIFS(线上订单!$F:$F,线上订单!$B:$B,美团日报!$C19,线上订单!$D:$D,"美团")-SUMIFS(线上订单!$F:$F,线上订单!$B:$B,美团日报!$C19,线上订单!$D:$D,"饿了么")</f>
        <v>4</v>
      </c>
      <c r="J19" s="21">
        <f t="shared" si="1"/>
        <v>33.5903629130476</v>
      </c>
      <c r="K19" s="22" t="e">
        <f t="shared" si="2"/>
        <v>#REF!</v>
      </c>
      <c r="L19" s="19" t="e">
        <f>SUMIFS(#REF!,#REF!,美团日报!$C$2,#REF!,"秒达")</f>
        <v>#REF!</v>
      </c>
      <c r="M19" s="23"/>
      <c r="N19" s="23"/>
      <c r="O19" s="22" t="e">
        <f t="shared" si="3"/>
        <v>#REF!</v>
      </c>
      <c r="P19" s="19" t="e">
        <f>SUMIFS(#REF!,#REF!,美团日报!$C19,#REF!,"秒达")</f>
        <v>#REF!</v>
      </c>
      <c r="Q19" s="23"/>
      <c r="R19" s="23"/>
      <c r="S19" s="22" t="e">
        <f t="shared" si="4"/>
        <v>#REF!</v>
      </c>
      <c r="T19" s="19" t="e">
        <f>SUMIFS(#REF!,#REF!,美团日报!$C19,#REF!,"O2O")</f>
        <v>#REF!</v>
      </c>
      <c r="U19" s="22" t="e">
        <f t="shared" si="5"/>
        <v>#REF!</v>
      </c>
      <c r="V19" s="19" t="e">
        <f>SUMIFS(#REF!,#REF!,美团日报!$C19,#REF!,"O2O")</f>
        <v>#REF!</v>
      </c>
      <c r="W19" s="24" t="s">
        <v>13</v>
      </c>
    </row>
    <row r="20" ht="14.4" spans="1:23">
      <c r="A20" s="16" t="s">
        <v>56</v>
      </c>
      <c r="B20" s="16" t="s">
        <v>52</v>
      </c>
      <c r="C20" s="16">
        <v>8655</v>
      </c>
      <c r="D20" s="16" t="s">
        <v>97</v>
      </c>
      <c r="E20" s="18">
        <f>_xlfn.IFNA(VLOOKUP(C:C,线上线下销售!B:D,3,0),0)</f>
        <v>10609.3829</v>
      </c>
      <c r="F20" s="18">
        <f>SUMIFS(线上订单!$E:$E,线上订单!$B:$B,美团日报!$C20)-SUMIFS(线上订单!$E:$E,线上订单!$B:$B,美团日报!$C20,线上订单!$D:$D,"美团")-SUMIFS(线上订单!$E:$E,线上订单!$B:$B,美团日报!$C20,线上订单!$D:$D,"饿了么")</f>
        <v>514.29325322721</v>
      </c>
      <c r="G20" s="19">
        <f t="shared" si="0"/>
        <v>0.048475322087509</v>
      </c>
      <c r="H20" s="18">
        <f>SUMIFS(线上订单!$F:$F,线上订单!$B:$B,美团日报!$C20)-SUMIFS(线上订单!$F:$F,线上订单!$B:$B,美团日报!$C20,线上订单!$D:$D,"美团")-SUMIFS(线上订单!$F:$F,线上订单!$B:$B,美团日报!$C20,线上订单!$D:$D,"饿了么")</f>
        <v>11</v>
      </c>
      <c r="I20" s="18">
        <f>SUMIFS(线上订单!$F:$F,线上订单!$B:$B,美团日报!$C20)-SUMIFS(线上订单!$F:$F,线上订单!$B:$B,美团日报!$C20,线上订单!$D:$D,"美团")-SUMIFS(线上订单!$F:$F,线上订单!$B:$B,美团日报!$C20,线上订单!$D:$D,"饿了么")</f>
        <v>11</v>
      </c>
      <c r="J20" s="21">
        <f t="shared" si="1"/>
        <v>46.7539321115645</v>
      </c>
      <c r="K20" s="22" t="e">
        <f t="shared" si="2"/>
        <v>#REF!</v>
      </c>
      <c r="L20" s="19" t="e">
        <f>SUMIFS(#REF!,#REF!,美团日报!$C$2,#REF!,"秒达")</f>
        <v>#REF!</v>
      </c>
      <c r="M20" s="23"/>
      <c r="N20" s="23"/>
      <c r="O20" s="22" t="e">
        <f t="shared" si="3"/>
        <v>#REF!</v>
      </c>
      <c r="P20" s="19" t="e">
        <f>SUMIFS(#REF!,#REF!,美团日报!$C20,#REF!,"秒达")</f>
        <v>#REF!</v>
      </c>
      <c r="Q20" s="23"/>
      <c r="R20" s="23"/>
      <c r="S20" s="22" t="e">
        <f t="shared" si="4"/>
        <v>#REF!</v>
      </c>
      <c r="T20" s="19" t="e">
        <f>SUMIFS(#REF!,#REF!,美团日报!$C20,#REF!,"O2O")</f>
        <v>#REF!</v>
      </c>
      <c r="U20" s="22" t="e">
        <f t="shared" si="5"/>
        <v>#REF!</v>
      </c>
      <c r="V20" s="19" t="e">
        <f>SUMIFS(#REF!,#REF!,美团日报!$C20,#REF!,"O2O")</f>
        <v>#REF!</v>
      </c>
      <c r="W20" s="24" t="s">
        <v>13</v>
      </c>
    </row>
    <row r="21" ht="14.4" spans="1:23">
      <c r="A21" s="16" t="s">
        <v>63</v>
      </c>
      <c r="B21" s="16" t="s">
        <v>86</v>
      </c>
      <c r="C21" s="16">
        <v>8651</v>
      </c>
      <c r="D21" s="16" t="s">
        <v>100</v>
      </c>
      <c r="E21" s="18">
        <f>_xlfn.IFNA(VLOOKUP(C:C,线上线下销售!B:D,3,0),0)</f>
        <v>10740.3633</v>
      </c>
      <c r="F21" s="18">
        <f>SUMIFS(线上订单!$E:$E,线上订单!$B:$B,美团日报!$C21)-SUMIFS(线上订单!$E:$E,线上订单!$B:$B,美团日报!$C21,线上订单!$D:$D,"美团")-SUMIFS(线上订单!$E:$E,线上订单!$B:$B,美团日报!$C21,线上订单!$D:$D,"饿了么")</f>
        <v>151.238938053089</v>
      </c>
      <c r="G21" s="19">
        <f t="shared" si="0"/>
        <v>0.0140813614799314</v>
      </c>
      <c r="H21" s="18">
        <f>SUMIFS(线上订单!$F:$F,线上订单!$B:$B,美团日报!$C21)-SUMIFS(线上订单!$F:$F,线上订单!$B:$B,美团日报!$C21,线上订单!$D:$D,"美团")-SUMIFS(线上订单!$F:$F,线上订单!$B:$B,美团日报!$C21,线上订单!$D:$D,"饿了么")</f>
        <v>4</v>
      </c>
      <c r="I21" s="18">
        <f>SUMIFS(线上订单!$F:$F,线上订单!$B:$B,美团日报!$C21)-SUMIFS(线上订单!$F:$F,线上订单!$B:$B,美团日报!$C21,线上订单!$D:$D,"美团")-SUMIFS(线上订单!$F:$F,线上订单!$B:$B,美团日报!$C21,线上订单!$D:$D,"饿了么")</f>
        <v>4</v>
      </c>
      <c r="J21" s="21">
        <f t="shared" si="1"/>
        <v>37.8097345132724</v>
      </c>
      <c r="K21" s="22" t="e">
        <f t="shared" si="2"/>
        <v>#REF!</v>
      </c>
      <c r="L21" s="19" t="e">
        <f>SUMIFS(#REF!,#REF!,美团日报!$C$2,#REF!,"秒达")</f>
        <v>#REF!</v>
      </c>
      <c r="M21" s="23"/>
      <c r="N21" s="23"/>
      <c r="O21" s="22" t="e">
        <f t="shared" si="3"/>
        <v>#REF!</v>
      </c>
      <c r="P21" s="19" t="e">
        <f>SUMIFS(#REF!,#REF!,美团日报!$C21,#REF!,"秒达")</f>
        <v>#REF!</v>
      </c>
      <c r="Q21" s="23"/>
      <c r="R21" s="23"/>
      <c r="S21" s="22" t="e">
        <f t="shared" si="4"/>
        <v>#REF!</v>
      </c>
      <c r="T21" s="19" t="e">
        <f>SUMIFS(#REF!,#REF!,美团日报!$C21,#REF!,"O2O")</f>
        <v>#REF!</v>
      </c>
      <c r="U21" s="22" t="e">
        <f t="shared" si="5"/>
        <v>#REF!</v>
      </c>
      <c r="V21" s="19" t="e">
        <f>SUMIFS(#REF!,#REF!,美团日报!$C21,#REF!,"O2O")</f>
        <v>#REF!</v>
      </c>
      <c r="W21" s="24" t="s">
        <v>13</v>
      </c>
    </row>
    <row r="22" ht="14.4" spans="1:23">
      <c r="A22" s="16" t="s">
        <v>56</v>
      </c>
      <c r="B22" s="16" t="s">
        <v>57</v>
      </c>
      <c r="C22" s="16">
        <v>8647</v>
      </c>
      <c r="D22" s="16" t="s">
        <v>102</v>
      </c>
      <c r="E22" s="18">
        <f>_xlfn.IFNA(VLOOKUP(C:C,线上线下销售!B:D,3,0),0)</f>
        <v>5690.7758</v>
      </c>
      <c r="F22" s="18">
        <f>SUMIFS(线上订单!$E:$E,线上订单!$B:$B,美团日报!$C22)-SUMIFS(线上订单!$E:$E,线上订单!$B:$B,美团日报!$C22,线上订单!$D:$D,"美团")-SUMIFS(线上订单!$E:$E,线上订单!$B:$B,美团日报!$C22,线上订单!$D:$D,"饿了么")</f>
        <v>41.0176991150399</v>
      </c>
      <c r="G22" s="19">
        <f t="shared" si="0"/>
        <v>0.00720775172956909</v>
      </c>
      <c r="H22" s="18">
        <f>SUMIFS(线上订单!$F:$F,线上订单!$B:$B,美团日报!$C22)-SUMIFS(线上订单!$F:$F,线上订单!$B:$B,美团日报!$C22,线上订单!$D:$D,"美团")-SUMIFS(线上订单!$F:$F,线上订单!$B:$B,美团日报!$C22,线上订单!$D:$D,"饿了么")</f>
        <v>1</v>
      </c>
      <c r="I22" s="18">
        <f>SUMIFS(线上订单!$F:$F,线上订单!$B:$B,美团日报!$C22)-SUMIFS(线上订单!$F:$F,线上订单!$B:$B,美团日报!$C22,线上订单!$D:$D,"美团")-SUMIFS(线上订单!$F:$F,线上订单!$B:$B,美团日报!$C22,线上订单!$D:$D,"饿了么")</f>
        <v>1</v>
      </c>
      <c r="J22" s="21">
        <f t="shared" si="1"/>
        <v>41.0176991150399</v>
      </c>
      <c r="K22" s="22" t="e">
        <f t="shared" si="2"/>
        <v>#REF!</v>
      </c>
      <c r="L22" s="19" t="e">
        <f>SUMIFS(#REF!,#REF!,美团日报!$C$2,#REF!,"秒达")</f>
        <v>#REF!</v>
      </c>
      <c r="M22" s="23"/>
      <c r="N22" s="23"/>
      <c r="O22" s="22" t="e">
        <f t="shared" si="3"/>
        <v>#REF!</v>
      </c>
      <c r="P22" s="19" t="e">
        <f>SUMIFS(#REF!,#REF!,美团日报!$C22,#REF!,"秒达")</f>
        <v>#REF!</v>
      </c>
      <c r="Q22" s="23"/>
      <c r="R22" s="23"/>
      <c r="S22" s="22" t="e">
        <f t="shared" si="4"/>
        <v>#REF!</v>
      </c>
      <c r="T22" s="19" t="e">
        <f>SUMIFS(#REF!,#REF!,美团日报!$C22,#REF!,"O2O")</f>
        <v>#REF!</v>
      </c>
      <c r="U22" s="22" t="e">
        <f t="shared" si="5"/>
        <v>#REF!</v>
      </c>
      <c r="V22" s="19" t="e">
        <f>SUMIFS(#REF!,#REF!,美团日报!$C22,#REF!,"O2O")</f>
        <v>#REF!</v>
      </c>
      <c r="W22" s="24" t="s">
        <v>13</v>
      </c>
    </row>
    <row r="23" ht="14.4" spans="1:23">
      <c r="A23" s="16" t="s">
        <v>56</v>
      </c>
      <c r="B23" s="16" t="s">
        <v>73</v>
      </c>
      <c r="C23" s="16">
        <v>8631</v>
      </c>
      <c r="D23" s="16" t="s">
        <v>104</v>
      </c>
      <c r="E23" s="18">
        <f>_xlfn.IFNA(VLOOKUP(C:C,线上线下销售!B:D,3,0),0)</f>
        <v>0</v>
      </c>
      <c r="F23" s="18">
        <f>SUMIFS(线上订单!$E:$E,线上订单!$B:$B,美团日报!$C23)-SUMIFS(线上订单!$E:$E,线上订单!$B:$B,美团日报!$C23,线上订单!$D:$D,"美团")-SUMIFS(线上订单!$E:$E,线上订单!$B:$B,美团日报!$C23,线上订单!$D:$D,"饿了么")</f>
        <v>0</v>
      </c>
      <c r="G23" s="19">
        <f t="shared" si="0"/>
        <v>0</v>
      </c>
      <c r="H23" s="18">
        <f>SUMIFS(线上订单!$F:$F,线上订单!$B:$B,美团日报!$C23)-SUMIFS(线上订单!$F:$F,线上订单!$B:$B,美团日报!$C23,线上订单!$D:$D,"美团")-SUMIFS(线上订单!$F:$F,线上订单!$B:$B,美团日报!$C23,线上订单!$D:$D,"饿了么")</f>
        <v>0</v>
      </c>
      <c r="I23" s="18">
        <f>SUMIFS(线上订单!$F:$F,线上订单!$B:$B,美团日报!$C23)-SUMIFS(线上订单!$F:$F,线上订单!$B:$B,美团日报!$C23,线上订单!$D:$D,"美团")-SUMIFS(线上订单!$F:$F,线上订单!$B:$B,美团日报!$C23,线上订单!$D:$D,"饿了么")</f>
        <v>0</v>
      </c>
      <c r="J23" s="21">
        <f t="shared" si="1"/>
        <v>0</v>
      </c>
      <c r="K23" s="22" t="e">
        <f t="shared" si="2"/>
        <v>#REF!</v>
      </c>
      <c r="L23" s="19" t="e">
        <f>SUMIFS(#REF!,#REF!,美团日报!$C$2,#REF!,"秒达")</f>
        <v>#REF!</v>
      </c>
      <c r="M23" s="23"/>
      <c r="N23" s="23"/>
      <c r="O23" s="22" t="e">
        <f t="shared" si="3"/>
        <v>#REF!</v>
      </c>
      <c r="P23" s="19" t="e">
        <f>SUMIFS(#REF!,#REF!,美团日报!$C23,#REF!,"秒达")</f>
        <v>#REF!</v>
      </c>
      <c r="Q23" s="23"/>
      <c r="R23" s="23"/>
      <c r="S23" s="22" t="e">
        <f t="shared" si="4"/>
        <v>#REF!</v>
      </c>
      <c r="T23" s="19" t="e">
        <f>SUMIFS(#REF!,#REF!,美团日报!$C23,#REF!,"O2O")</f>
        <v>#REF!</v>
      </c>
      <c r="U23" s="22" t="e">
        <f t="shared" si="5"/>
        <v>#REF!</v>
      </c>
      <c r="V23" s="19" t="e">
        <f>SUMIFS(#REF!,#REF!,美团日报!$C23,#REF!,"O2O")</f>
        <v>#REF!</v>
      </c>
      <c r="W23" s="24" t="s">
        <v>13</v>
      </c>
    </row>
    <row r="24" ht="14.4" spans="1:23">
      <c r="A24" s="16" t="s">
        <v>63</v>
      </c>
      <c r="B24" s="16" t="s">
        <v>60</v>
      </c>
      <c r="C24" s="16">
        <v>8656</v>
      </c>
      <c r="D24" s="16" t="s">
        <v>106</v>
      </c>
      <c r="E24" s="18">
        <f>_xlfn.IFNA(VLOOKUP(C:C,线上线下销售!B:D,3,0),0)</f>
        <v>5771.653</v>
      </c>
      <c r="F24" s="18">
        <f>SUMIFS(线上订单!$E:$E,线上订单!$B:$B,美团日报!$C24)-SUMIFS(线上订单!$E:$E,线上订单!$B:$B,美团日报!$C24,线上订单!$D:$D,"美团")-SUMIFS(线上订单!$E:$E,线上订单!$B:$B,美团日报!$C24,线上订单!$D:$D,"饿了么")</f>
        <v>142.61061946901</v>
      </c>
      <c r="G24" s="19">
        <f t="shared" si="0"/>
        <v>0.0247087999692653</v>
      </c>
      <c r="H24" s="18">
        <f>SUMIFS(线上订单!$F:$F,线上订单!$B:$B,美团日报!$C24)-SUMIFS(线上订单!$F:$F,线上订单!$B:$B,美团日报!$C24,线上订单!$D:$D,"美团")-SUMIFS(线上订单!$F:$F,线上订单!$B:$B,美团日报!$C24,线上订单!$D:$D,"饿了么")</f>
        <v>3</v>
      </c>
      <c r="I24" s="18">
        <f>SUMIFS(线上订单!$F:$F,线上订单!$B:$B,美团日报!$C24)-SUMIFS(线上订单!$F:$F,线上订单!$B:$B,美团日报!$C24,线上订单!$D:$D,"美团")-SUMIFS(线上订单!$F:$F,线上订单!$B:$B,美团日报!$C24,线上订单!$D:$D,"饿了么")</f>
        <v>3</v>
      </c>
      <c r="J24" s="21">
        <f t="shared" si="1"/>
        <v>47.5368731563367</v>
      </c>
      <c r="K24" s="22" t="e">
        <f t="shared" si="2"/>
        <v>#REF!</v>
      </c>
      <c r="L24" s="19" t="e">
        <f>SUMIFS(#REF!,#REF!,美团日报!$C$2,#REF!,"秒达")</f>
        <v>#REF!</v>
      </c>
      <c r="M24" s="23"/>
      <c r="N24" s="23"/>
      <c r="O24" s="22" t="e">
        <f t="shared" si="3"/>
        <v>#REF!</v>
      </c>
      <c r="P24" s="19" t="e">
        <f>SUMIFS(#REF!,#REF!,美团日报!$C24,#REF!,"秒达")</f>
        <v>#REF!</v>
      </c>
      <c r="Q24" s="23"/>
      <c r="R24" s="23"/>
      <c r="S24" s="22" t="e">
        <f t="shared" si="4"/>
        <v>#REF!</v>
      </c>
      <c r="T24" s="19" t="e">
        <f>SUMIFS(#REF!,#REF!,美团日报!$C24,#REF!,"O2O")</f>
        <v>#REF!</v>
      </c>
      <c r="U24" s="22" t="e">
        <f t="shared" si="5"/>
        <v>#REF!</v>
      </c>
      <c r="V24" s="19" t="e">
        <f>SUMIFS(#REF!,#REF!,美团日报!$C24,#REF!,"O2O")</f>
        <v>#REF!</v>
      </c>
      <c r="W24" s="24" t="s">
        <v>13</v>
      </c>
    </row>
    <row r="25" ht="14.4" spans="1:23">
      <c r="A25" s="16" t="s">
        <v>63</v>
      </c>
      <c r="B25" s="16" t="s">
        <v>99</v>
      </c>
      <c r="C25" s="16">
        <v>8645</v>
      </c>
      <c r="D25" s="16" t="s">
        <v>109</v>
      </c>
      <c r="E25" s="18">
        <f>_xlfn.IFNA(VLOOKUP(C:C,线上线下销售!B:D,3,0),0)</f>
        <v>3778.4918</v>
      </c>
      <c r="F25" s="18">
        <f>SUMIFS(线上订单!$E:$E,线上订单!$B:$B,美团日报!$C25)-SUMIFS(线上订单!$E:$E,线上订单!$B:$B,美团日报!$C25,线上订单!$D:$D,"美团")-SUMIFS(线上订单!$E:$E,线上订单!$B:$B,美团日报!$C25,线上订单!$D:$D,"饿了么")</f>
        <v>89.81083055938</v>
      </c>
      <c r="G25" s="19">
        <f t="shared" si="0"/>
        <v>0.0237689626743083</v>
      </c>
      <c r="H25" s="18">
        <f>SUMIFS(线上订单!$F:$F,线上订单!$B:$B,美团日报!$C25)-SUMIFS(线上订单!$F:$F,线上订单!$B:$B,美团日报!$C25,线上订单!$D:$D,"美团")-SUMIFS(线上订单!$F:$F,线上订单!$B:$B,美团日报!$C25,线上订单!$D:$D,"饿了么")</f>
        <v>2</v>
      </c>
      <c r="I25" s="18">
        <f>SUMIFS(线上订单!$F:$F,线上订单!$B:$B,美团日报!$C25)-SUMIFS(线上订单!$F:$F,线上订单!$B:$B,美团日报!$C25,线上订单!$D:$D,"美团")-SUMIFS(线上订单!$F:$F,线上订单!$B:$B,美团日报!$C25,线上订单!$D:$D,"饿了么")</f>
        <v>2</v>
      </c>
      <c r="J25" s="21">
        <f t="shared" si="1"/>
        <v>44.90541527969</v>
      </c>
      <c r="K25" s="22" t="e">
        <f t="shared" si="2"/>
        <v>#REF!</v>
      </c>
      <c r="L25" s="19" t="e">
        <f>SUMIFS(#REF!,#REF!,美团日报!$C$2,#REF!,"秒达")</f>
        <v>#REF!</v>
      </c>
      <c r="M25" s="23"/>
      <c r="N25" s="23"/>
      <c r="O25" s="22" t="e">
        <f t="shared" si="3"/>
        <v>#REF!</v>
      </c>
      <c r="P25" s="19" t="e">
        <f>SUMIFS(#REF!,#REF!,美团日报!$C25,#REF!,"秒达")</f>
        <v>#REF!</v>
      </c>
      <c r="Q25" s="23"/>
      <c r="R25" s="23"/>
      <c r="S25" s="22" t="e">
        <f t="shared" si="4"/>
        <v>#REF!</v>
      </c>
      <c r="T25" s="19" t="e">
        <f>SUMIFS(#REF!,#REF!,美团日报!$C25,#REF!,"O2O")</f>
        <v>#REF!</v>
      </c>
      <c r="U25" s="22" t="e">
        <f t="shared" si="5"/>
        <v>#REF!</v>
      </c>
      <c r="V25" s="19" t="e">
        <f>SUMIFS(#REF!,#REF!,美团日报!$C25,#REF!,"O2O")</f>
        <v>#REF!</v>
      </c>
      <c r="W25" s="24" t="s">
        <v>13</v>
      </c>
    </row>
    <row r="26" ht="14.4" spans="1:23">
      <c r="A26" s="16" t="s">
        <v>48</v>
      </c>
      <c r="B26" s="16" t="s">
        <v>111</v>
      </c>
      <c r="C26" s="16">
        <v>8607</v>
      </c>
      <c r="D26" s="16" t="s">
        <v>112</v>
      </c>
      <c r="E26" s="18">
        <f>_xlfn.IFNA(VLOOKUP(C:C,线上线下销售!B:D,3,0),0)</f>
        <v>8816.8897</v>
      </c>
      <c r="F26" s="18">
        <f>SUMIFS(线上订单!$E:$E,线上订单!$B:$B,美团日报!$C26)-SUMIFS(线上订单!$E:$E,线上订单!$B:$B,美团日报!$C26,线上订单!$D:$D,"美团")-SUMIFS(线上订单!$E:$E,线上订单!$B:$B,美团日报!$C26,线上订单!$D:$D,"饿了么")</f>
        <v>98.3185840707895</v>
      </c>
      <c r="G26" s="19">
        <f t="shared" si="0"/>
        <v>0.0111511641197904</v>
      </c>
      <c r="H26" s="18">
        <f>SUMIFS(线上订单!$F:$F,线上订单!$B:$B,美团日报!$C26)-SUMIFS(线上订单!$F:$F,线上订单!$B:$B,美团日报!$C26,线上订单!$D:$D,"美团")-SUMIFS(线上订单!$F:$F,线上订单!$B:$B,美团日报!$C26,线上订单!$D:$D,"饿了么")</f>
        <v>3</v>
      </c>
      <c r="I26" s="18">
        <f>SUMIFS(线上订单!$F:$F,线上订单!$B:$B,美团日报!$C26)-SUMIFS(线上订单!$F:$F,线上订单!$B:$B,美团日报!$C26,线上订单!$D:$D,"美团")-SUMIFS(线上订单!$F:$F,线上订单!$B:$B,美团日报!$C26,线上订单!$D:$D,"饿了么")</f>
        <v>3</v>
      </c>
      <c r="J26" s="21">
        <f t="shared" si="1"/>
        <v>32.7728613569298</v>
      </c>
      <c r="K26" s="22" t="e">
        <f t="shared" si="2"/>
        <v>#REF!</v>
      </c>
      <c r="L26" s="19" t="e">
        <f>SUMIFS(#REF!,#REF!,美团日报!$C$2,#REF!,"秒达")</f>
        <v>#REF!</v>
      </c>
      <c r="M26" s="23"/>
      <c r="N26" s="23"/>
      <c r="O26" s="22" t="e">
        <f t="shared" si="3"/>
        <v>#REF!</v>
      </c>
      <c r="P26" s="19" t="e">
        <f>SUMIFS(#REF!,#REF!,美团日报!$C26,#REF!,"秒达")</f>
        <v>#REF!</v>
      </c>
      <c r="Q26" s="23"/>
      <c r="R26" s="23"/>
      <c r="S26" s="22" t="e">
        <f t="shared" si="4"/>
        <v>#REF!</v>
      </c>
      <c r="T26" s="19" t="e">
        <f>SUMIFS(#REF!,#REF!,美团日报!$C26,#REF!,"O2O")</f>
        <v>#REF!</v>
      </c>
      <c r="U26" s="22" t="e">
        <f t="shared" si="5"/>
        <v>#REF!</v>
      </c>
      <c r="V26" s="19" t="e">
        <f>SUMIFS(#REF!,#REF!,美团日报!$C26,#REF!,"O2O")</f>
        <v>#REF!</v>
      </c>
      <c r="W26" s="24" t="s">
        <v>13</v>
      </c>
    </row>
    <row r="27" ht="14.4" spans="1:23">
      <c r="A27" s="16" t="s">
        <v>48</v>
      </c>
      <c r="B27" s="16" t="s">
        <v>111</v>
      </c>
      <c r="C27" s="16">
        <v>8658</v>
      </c>
      <c r="D27" s="16" t="s">
        <v>114</v>
      </c>
      <c r="E27" s="18">
        <f>_xlfn.IFNA(VLOOKUP(C:C,线上线下销售!B:D,3,0),0)</f>
        <v>8410.1373</v>
      </c>
      <c r="F27" s="18">
        <f>SUMIFS(线上订单!$E:$E,线上订单!$B:$B,美团日报!$C27)-SUMIFS(线上订单!$E:$E,线上订单!$B:$B,美团日报!$C27,线上订单!$D:$D,"美团")-SUMIFS(线上订单!$E:$E,线上订单!$B:$B,美团日报!$C27,线上订单!$D:$D,"饿了么")</f>
        <v>429.89380530974</v>
      </c>
      <c r="G27" s="19">
        <f t="shared" si="0"/>
        <v>0.0511161459052208</v>
      </c>
      <c r="H27" s="18">
        <f>SUMIFS(线上订单!$F:$F,线上订单!$B:$B,美团日报!$C27)-SUMIFS(线上订单!$F:$F,线上订单!$B:$B,美团日报!$C27,线上订单!$D:$D,"美团")-SUMIFS(线上订单!$F:$F,线上订单!$B:$B,美团日报!$C27,线上订单!$D:$D,"饿了么")</f>
        <v>13</v>
      </c>
      <c r="I27" s="18">
        <f>SUMIFS(线上订单!$F:$F,线上订单!$B:$B,美团日报!$C27)-SUMIFS(线上订单!$F:$F,线上订单!$B:$B,美团日报!$C27,线上订单!$D:$D,"美团")-SUMIFS(线上订单!$F:$F,线上订单!$B:$B,美团日报!$C27,线上订单!$D:$D,"饿了么")</f>
        <v>13</v>
      </c>
      <c r="J27" s="21">
        <f t="shared" si="1"/>
        <v>33.0687542545954</v>
      </c>
      <c r="K27" s="22" t="e">
        <f t="shared" si="2"/>
        <v>#REF!</v>
      </c>
      <c r="L27" s="19" t="e">
        <f>SUMIFS(#REF!,#REF!,美团日报!$C$2,#REF!,"秒达")</f>
        <v>#REF!</v>
      </c>
      <c r="M27" s="23"/>
      <c r="N27" s="23"/>
      <c r="O27" s="22" t="e">
        <f t="shared" si="3"/>
        <v>#REF!</v>
      </c>
      <c r="P27" s="19" t="e">
        <f>SUMIFS(#REF!,#REF!,美团日报!$C27,#REF!,"秒达")</f>
        <v>#REF!</v>
      </c>
      <c r="Q27" s="23"/>
      <c r="R27" s="23"/>
      <c r="S27" s="22" t="e">
        <f t="shared" si="4"/>
        <v>#REF!</v>
      </c>
      <c r="T27" s="19" t="e">
        <f>SUMIFS(#REF!,#REF!,美团日报!$C27,#REF!,"O2O")</f>
        <v>#REF!</v>
      </c>
      <c r="U27" s="22" t="e">
        <f t="shared" si="5"/>
        <v>#REF!</v>
      </c>
      <c r="V27" s="19" t="e">
        <f>SUMIFS(#REF!,#REF!,美团日报!$C27,#REF!,"O2O")</f>
        <v>#REF!</v>
      </c>
      <c r="W27" s="24" t="s">
        <v>13</v>
      </c>
    </row>
    <row r="28" ht="14.4" spans="1:23">
      <c r="A28" s="16" t="s">
        <v>56</v>
      </c>
      <c r="B28" s="16" t="s">
        <v>70</v>
      </c>
      <c r="C28" s="16">
        <v>8637</v>
      </c>
      <c r="D28" s="16" t="s">
        <v>116</v>
      </c>
      <c r="E28" s="18">
        <f>_xlfn.IFNA(VLOOKUP(C:C,线上线下销售!B:D,3,0),0)</f>
        <v>8921.8529</v>
      </c>
      <c r="F28" s="18">
        <f>SUMIFS(线上订单!$E:$E,线上订单!$B:$B,美团日报!$C28)-SUMIFS(线上订单!$E:$E,线上订单!$B:$B,美团日报!$C28,线上订单!$D:$D,"美团")-SUMIFS(线上订单!$E:$E,线上订单!$B:$B,美团日报!$C28,线上订单!$D:$D,"饿了么")</f>
        <v>122.84955752215</v>
      </c>
      <c r="G28" s="19">
        <f t="shared" si="0"/>
        <v>0.0137695116585199</v>
      </c>
      <c r="H28" s="18">
        <f>SUMIFS(线上订单!$F:$F,线上订单!$B:$B,美团日报!$C28)-SUMIFS(线上订单!$F:$F,线上订单!$B:$B,美团日报!$C28,线上订单!$D:$D,"美团")-SUMIFS(线上订单!$F:$F,线上订单!$B:$B,美团日报!$C28,线上订单!$D:$D,"饿了么")</f>
        <v>4</v>
      </c>
      <c r="I28" s="18">
        <f>SUMIFS(线上订单!$F:$F,线上订单!$B:$B,美团日报!$C28)-SUMIFS(线上订单!$F:$F,线上订单!$B:$B,美团日报!$C28,线上订单!$D:$D,"美团")-SUMIFS(线上订单!$F:$F,线上订单!$B:$B,美团日报!$C28,线上订单!$D:$D,"饿了么")</f>
        <v>4</v>
      </c>
      <c r="J28" s="21">
        <f t="shared" si="1"/>
        <v>30.7123893805374</v>
      </c>
      <c r="K28" s="22" t="e">
        <f t="shared" si="2"/>
        <v>#REF!</v>
      </c>
      <c r="L28" s="19" t="e">
        <f>SUMIFS(#REF!,#REF!,美团日报!$C$2,#REF!,"秒达")</f>
        <v>#REF!</v>
      </c>
      <c r="M28" s="23"/>
      <c r="N28" s="23"/>
      <c r="O28" s="22" t="e">
        <f t="shared" si="3"/>
        <v>#REF!</v>
      </c>
      <c r="P28" s="19" t="e">
        <f>SUMIFS(#REF!,#REF!,美团日报!$C28,#REF!,"秒达")</f>
        <v>#REF!</v>
      </c>
      <c r="Q28" s="23"/>
      <c r="R28" s="23"/>
      <c r="S28" s="22" t="e">
        <f t="shared" si="4"/>
        <v>#REF!</v>
      </c>
      <c r="T28" s="19" t="e">
        <f>SUMIFS(#REF!,#REF!,美团日报!$C28,#REF!,"O2O")</f>
        <v>#REF!</v>
      </c>
      <c r="U28" s="22" t="e">
        <f t="shared" si="5"/>
        <v>#REF!</v>
      </c>
      <c r="V28" s="19" t="e">
        <f>SUMIFS(#REF!,#REF!,美团日报!$C28,#REF!,"O2O")</f>
        <v>#REF!</v>
      </c>
      <c r="W28" s="24" t="s">
        <v>13</v>
      </c>
    </row>
    <row r="29" ht="14.4" spans="1:23">
      <c r="A29" s="16" t="s">
        <v>56</v>
      </c>
      <c r="B29" s="16" t="s">
        <v>573</v>
      </c>
      <c r="C29" s="16">
        <v>8630</v>
      </c>
      <c r="D29" s="16" t="s">
        <v>119</v>
      </c>
      <c r="E29" s="18">
        <f>_xlfn.IFNA(VLOOKUP(C:C,线上线下销售!B:D,3,0),0)</f>
        <v>6367.5363</v>
      </c>
      <c r="F29" s="18">
        <f>SUMIFS(线上订单!$E:$E,线上订单!$B:$B,美团日报!$C29)-SUMIFS(线上订单!$E:$E,线上订单!$B:$B,美团日报!$C29,线上订单!$D:$D,"美团")-SUMIFS(线上订单!$E:$E,线上订单!$B:$B,美团日报!$C29,线上订单!$D:$D,"饿了么")</f>
        <v>345.47535925951</v>
      </c>
      <c r="G29" s="19">
        <f t="shared" si="0"/>
        <v>0.0542557345545891</v>
      </c>
      <c r="H29" s="18">
        <f>SUMIFS(线上订单!$F:$F,线上订单!$B:$B,美团日报!$C29)-SUMIFS(线上订单!$F:$F,线上订单!$B:$B,美团日报!$C29,线上订单!$D:$D,"美团")-SUMIFS(线上订单!$F:$F,线上订单!$B:$B,美团日报!$C29,线上订单!$D:$D,"饿了么")</f>
        <v>7</v>
      </c>
      <c r="I29" s="18">
        <f>SUMIFS(线上订单!$F:$F,线上订单!$B:$B,美团日报!$C29)-SUMIFS(线上订单!$F:$F,线上订单!$B:$B,美团日报!$C29,线上订单!$D:$D,"美团")-SUMIFS(线上订单!$F:$F,线上订单!$B:$B,美团日报!$C29,线上订单!$D:$D,"饿了么")</f>
        <v>7</v>
      </c>
      <c r="J29" s="21">
        <f t="shared" si="1"/>
        <v>49.3536227513586</v>
      </c>
      <c r="K29" s="22" t="e">
        <f t="shared" si="2"/>
        <v>#REF!</v>
      </c>
      <c r="L29" s="19" t="e">
        <f>SUMIFS(#REF!,#REF!,美团日报!$C$2,#REF!,"秒达")</f>
        <v>#REF!</v>
      </c>
      <c r="M29" s="23"/>
      <c r="N29" s="23"/>
      <c r="O29" s="22" t="e">
        <f t="shared" si="3"/>
        <v>#REF!</v>
      </c>
      <c r="P29" s="19" t="e">
        <f>SUMIFS(#REF!,#REF!,美团日报!$C29,#REF!,"秒达")</f>
        <v>#REF!</v>
      </c>
      <c r="Q29" s="23"/>
      <c r="R29" s="23"/>
      <c r="S29" s="22" t="e">
        <f t="shared" si="4"/>
        <v>#REF!</v>
      </c>
      <c r="T29" s="19" t="e">
        <f>SUMIFS(#REF!,#REF!,美团日报!$C29,#REF!,"O2O")</f>
        <v>#REF!</v>
      </c>
      <c r="U29" s="22" t="e">
        <f t="shared" si="5"/>
        <v>#REF!</v>
      </c>
      <c r="V29" s="19" t="e">
        <f>SUMIFS(#REF!,#REF!,美团日报!$C29,#REF!,"O2O")</f>
        <v>#REF!</v>
      </c>
      <c r="W29" s="24" t="s">
        <v>13</v>
      </c>
    </row>
    <row r="30" ht="14.4" spans="1:23">
      <c r="A30" s="16" t="s">
        <v>63</v>
      </c>
      <c r="B30" s="16" t="s">
        <v>574</v>
      </c>
      <c r="C30" s="16">
        <v>8672</v>
      </c>
      <c r="D30" s="16" t="s">
        <v>121</v>
      </c>
      <c r="E30" s="18">
        <f>_xlfn.IFNA(VLOOKUP(C:C,线上线下销售!B:D,3,0),0)</f>
        <v>0</v>
      </c>
      <c r="F30" s="18">
        <f>SUMIFS(线上订单!$E:$E,线上订单!$B:$B,美团日报!$C30)-SUMIFS(线上订单!$E:$E,线上订单!$B:$B,美团日报!$C30,线上订单!$D:$D,"美团")-SUMIFS(线上订单!$E:$E,线上订单!$B:$B,美团日报!$C30,线上订单!$D:$D,"饿了么")</f>
        <v>0</v>
      </c>
      <c r="G30" s="19">
        <f t="shared" si="0"/>
        <v>0</v>
      </c>
      <c r="H30" s="18">
        <f>SUMIFS(线上订单!$F:$F,线上订单!$B:$B,美团日报!$C30)-SUMIFS(线上订单!$F:$F,线上订单!$B:$B,美团日报!$C30,线上订单!$D:$D,"美团")-SUMIFS(线上订单!$F:$F,线上订单!$B:$B,美团日报!$C30,线上订单!$D:$D,"饿了么")</f>
        <v>0</v>
      </c>
      <c r="I30" s="18">
        <f>SUMIFS(线上订单!$F:$F,线上订单!$B:$B,美团日报!$C30)-SUMIFS(线上订单!$F:$F,线上订单!$B:$B,美团日报!$C30,线上订单!$D:$D,"美团")-SUMIFS(线上订单!$F:$F,线上订单!$B:$B,美团日报!$C30,线上订单!$D:$D,"饿了么")</f>
        <v>0</v>
      </c>
      <c r="J30" s="21">
        <f t="shared" si="1"/>
        <v>0</v>
      </c>
      <c r="K30" s="22" t="e">
        <f t="shared" si="2"/>
        <v>#REF!</v>
      </c>
      <c r="L30" s="19" t="e">
        <f>SUMIFS(#REF!,#REF!,美团日报!$C$2,#REF!,"秒达")</f>
        <v>#REF!</v>
      </c>
      <c r="M30" s="23"/>
      <c r="N30" s="23"/>
      <c r="O30" s="22" t="e">
        <f t="shared" si="3"/>
        <v>#REF!</v>
      </c>
      <c r="P30" s="19" t="e">
        <f>SUMIFS(#REF!,#REF!,美团日报!$C30,#REF!,"秒达")</f>
        <v>#REF!</v>
      </c>
      <c r="Q30" s="23"/>
      <c r="R30" s="23"/>
      <c r="S30" s="22" t="e">
        <f t="shared" si="4"/>
        <v>#REF!</v>
      </c>
      <c r="T30" s="19" t="e">
        <f>SUMIFS(#REF!,#REF!,美团日报!$C30,#REF!,"O2O")</f>
        <v>#REF!</v>
      </c>
      <c r="U30" s="22" t="e">
        <f t="shared" si="5"/>
        <v>#REF!</v>
      </c>
      <c r="V30" s="19" t="e">
        <f>SUMIFS(#REF!,#REF!,美团日报!$C30,#REF!,"O2O")</f>
        <v>#REF!</v>
      </c>
      <c r="W30" s="24" t="s">
        <v>13</v>
      </c>
    </row>
    <row r="31" ht="14.4" spans="1:23">
      <c r="A31" s="16" t="s">
        <v>63</v>
      </c>
      <c r="B31" s="16" t="s">
        <v>86</v>
      </c>
      <c r="C31" s="16">
        <v>8626</v>
      </c>
      <c r="D31" s="16" t="s">
        <v>123</v>
      </c>
      <c r="E31" s="18">
        <f>_xlfn.IFNA(VLOOKUP(C:C,线上线下销售!B:D,3,0),0)</f>
        <v>5891.4408</v>
      </c>
      <c r="F31" s="18">
        <f>SUMIFS(线上订单!$E:$E,线上订单!$B:$B,美团日报!$C31)-SUMIFS(线上订单!$E:$E,线上订单!$B:$B,美团日报!$C31,线上订单!$D:$D,"美团")-SUMIFS(线上订单!$E:$E,线上订单!$B:$B,美团日报!$C31,线上订单!$D:$D,"饿了么")</f>
        <v>46.21238938052</v>
      </c>
      <c r="G31" s="19">
        <f t="shared" si="0"/>
        <v>0.00784398773565203</v>
      </c>
      <c r="H31" s="18">
        <f>SUMIFS(线上订单!$F:$F,线上订单!$B:$B,美团日报!$C31)-SUMIFS(线上订单!$F:$F,线上订单!$B:$B,美团日报!$C31,线上订单!$D:$D,"美团")-SUMIFS(线上订单!$F:$F,线上订单!$B:$B,美团日报!$C31,线上订单!$D:$D,"饿了么")</f>
        <v>2</v>
      </c>
      <c r="I31" s="18">
        <f>SUMIFS(线上订单!$F:$F,线上订单!$B:$B,美团日报!$C31)-SUMIFS(线上订单!$F:$F,线上订单!$B:$B,美团日报!$C31,线上订单!$D:$D,"美团")-SUMIFS(线上订单!$F:$F,线上订单!$B:$B,美团日报!$C31,线上订单!$D:$D,"饿了么")</f>
        <v>2</v>
      </c>
      <c r="J31" s="21">
        <f t="shared" si="1"/>
        <v>23.10619469026</v>
      </c>
      <c r="K31" s="22" t="e">
        <f t="shared" si="2"/>
        <v>#REF!</v>
      </c>
      <c r="L31" s="19" t="e">
        <f>SUMIFS(#REF!,#REF!,美团日报!$C$2,#REF!,"秒达")</f>
        <v>#REF!</v>
      </c>
      <c r="M31" s="23"/>
      <c r="N31" s="23"/>
      <c r="O31" s="22" t="e">
        <f t="shared" si="3"/>
        <v>#REF!</v>
      </c>
      <c r="P31" s="19" t="e">
        <f>SUMIFS(#REF!,#REF!,美团日报!$C31,#REF!,"秒达")</f>
        <v>#REF!</v>
      </c>
      <c r="Q31" s="23"/>
      <c r="R31" s="23"/>
      <c r="S31" s="22" t="e">
        <f t="shared" si="4"/>
        <v>#REF!</v>
      </c>
      <c r="T31" s="19" t="e">
        <f>SUMIFS(#REF!,#REF!,美团日报!$C31,#REF!,"O2O")</f>
        <v>#REF!</v>
      </c>
      <c r="U31" s="22" t="e">
        <f t="shared" si="5"/>
        <v>#REF!</v>
      </c>
      <c r="V31" s="19" t="e">
        <f>SUMIFS(#REF!,#REF!,美团日报!$C31,#REF!,"O2O")</f>
        <v>#REF!</v>
      </c>
      <c r="W31" s="24" t="s">
        <v>13</v>
      </c>
    </row>
    <row r="32" ht="14.4" spans="1:23">
      <c r="A32" s="16" t="s">
        <v>56</v>
      </c>
      <c r="B32" s="16" t="s">
        <v>57</v>
      </c>
      <c r="C32" s="16">
        <v>8640</v>
      </c>
      <c r="D32" s="16" t="s">
        <v>125</v>
      </c>
      <c r="E32" s="18">
        <f>_xlfn.IFNA(VLOOKUP(C:C,线上线下销售!B:D,3,0),0)</f>
        <v>0</v>
      </c>
      <c r="F32" s="18">
        <f>SUMIFS(线上订单!$E:$E,线上订单!$B:$B,美团日报!$C32)-SUMIFS(线上订单!$E:$E,线上订单!$B:$B,美团日报!$C32,线上订单!$D:$D,"美团")-SUMIFS(线上订单!$E:$E,线上订单!$B:$B,美团日报!$C32,线上订单!$D:$D,"饿了么")</f>
        <v>0</v>
      </c>
      <c r="G32" s="19">
        <f t="shared" si="0"/>
        <v>0</v>
      </c>
      <c r="H32" s="18">
        <f>SUMIFS(线上订单!$F:$F,线上订单!$B:$B,美团日报!$C32)-SUMIFS(线上订单!$F:$F,线上订单!$B:$B,美团日报!$C32,线上订单!$D:$D,"美团")-SUMIFS(线上订单!$F:$F,线上订单!$B:$B,美团日报!$C32,线上订单!$D:$D,"饿了么")</f>
        <v>0</v>
      </c>
      <c r="I32" s="18">
        <f>SUMIFS(线上订单!$F:$F,线上订单!$B:$B,美团日报!$C32)-SUMIFS(线上订单!$F:$F,线上订单!$B:$B,美团日报!$C32,线上订单!$D:$D,"美团")-SUMIFS(线上订单!$F:$F,线上订单!$B:$B,美团日报!$C32,线上订单!$D:$D,"饿了么")</f>
        <v>0</v>
      </c>
      <c r="J32" s="21">
        <f t="shared" si="1"/>
        <v>0</v>
      </c>
      <c r="K32" s="22" t="e">
        <f t="shared" si="2"/>
        <v>#REF!</v>
      </c>
      <c r="L32" s="19" t="e">
        <f>SUMIFS(#REF!,#REF!,美团日报!$C$2,#REF!,"秒达")</f>
        <v>#REF!</v>
      </c>
      <c r="M32" s="23"/>
      <c r="N32" s="23"/>
      <c r="O32" s="22" t="e">
        <f t="shared" si="3"/>
        <v>#REF!</v>
      </c>
      <c r="P32" s="19" t="e">
        <f>SUMIFS(#REF!,#REF!,美团日报!$C32,#REF!,"秒达")</f>
        <v>#REF!</v>
      </c>
      <c r="Q32" s="23"/>
      <c r="R32" s="23"/>
      <c r="S32" s="22" t="e">
        <f t="shared" si="4"/>
        <v>#REF!</v>
      </c>
      <c r="T32" s="19" t="e">
        <f>SUMIFS(#REF!,#REF!,美团日报!$C32,#REF!,"O2O")</f>
        <v>#REF!</v>
      </c>
      <c r="U32" s="22" t="e">
        <f t="shared" si="5"/>
        <v>#REF!</v>
      </c>
      <c r="V32" s="19" t="e">
        <f>SUMIFS(#REF!,#REF!,美团日报!$C32,#REF!,"O2O")</f>
        <v>#REF!</v>
      </c>
      <c r="W32" s="24" t="s">
        <v>13</v>
      </c>
    </row>
    <row r="33" ht="14.4" spans="1:23">
      <c r="A33" s="16" t="s">
        <v>63</v>
      </c>
      <c r="B33" s="16" t="s">
        <v>60</v>
      </c>
      <c r="C33" s="16">
        <v>8638</v>
      </c>
      <c r="D33" s="16" t="s">
        <v>127</v>
      </c>
      <c r="E33" s="18">
        <f>_xlfn.IFNA(VLOOKUP(C:C,线上线下销售!B:D,3,0),0)</f>
        <v>7565.1295</v>
      </c>
      <c r="F33" s="18">
        <f>SUMIFS(线上订单!$E:$E,线上订单!$B:$B,美团日报!$C33)-SUMIFS(线上订单!$E:$E,线上订单!$B:$B,美团日报!$C33,线上订单!$D:$D,"美团")-SUMIFS(线上订单!$E:$E,线上订单!$B:$B,美团日报!$C33,线上订单!$D:$D,"饿了么")</f>
        <v>278.08419257932</v>
      </c>
      <c r="G33" s="19">
        <f t="shared" si="0"/>
        <v>0.0367586823965565</v>
      </c>
      <c r="H33" s="18">
        <f>SUMIFS(线上订单!$F:$F,线上订单!$B:$B,美团日报!$C33)-SUMIFS(线上订单!$F:$F,线上订单!$B:$B,美团日报!$C33,线上订单!$D:$D,"美团")-SUMIFS(线上订单!$F:$F,线上订单!$B:$B,美团日报!$C33,线上订单!$D:$D,"饿了么")</f>
        <v>8</v>
      </c>
      <c r="I33" s="18">
        <f>SUMIFS(线上订单!$F:$F,线上订单!$B:$B,美团日报!$C33)-SUMIFS(线上订单!$F:$F,线上订单!$B:$B,美团日报!$C33,线上订单!$D:$D,"美团")-SUMIFS(线上订单!$F:$F,线上订单!$B:$B,美团日报!$C33,线上订单!$D:$D,"饿了么")</f>
        <v>8</v>
      </c>
      <c r="J33" s="21">
        <f t="shared" si="1"/>
        <v>34.760524072415</v>
      </c>
      <c r="K33" s="22" t="e">
        <f t="shared" si="2"/>
        <v>#REF!</v>
      </c>
      <c r="L33" s="19" t="e">
        <f>SUMIFS(#REF!,#REF!,美团日报!$C$2,#REF!,"秒达")</f>
        <v>#REF!</v>
      </c>
      <c r="M33" s="23"/>
      <c r="N33" s="23"/>
      <c r="O33" s="22" t="e">
        <f t="shared" si="3"/>
        <v>#REF!</v>
      </c>
      <c r="P33" s="19" t="e">
        <f>SUMIFS(#REF!,#REF!,美团日报!$C33,#REF!,"秒达")</f>
        <v>#REF!</v>
      </c>
      <c r="Q33" s="23"/>
      <c r="R33" s="23"/>
      <c r="S33" s="22" t="e">
        <f t="shared" si="4"/>
        <v>#REF!</v>
      </c>
      <c r="T33" s="19" t="e">
        <f>SUMIFS(#REF!,#REF!,美团日报!$C33,#REF!,"O2O")</f>
        <v>#REF!</v>
      </c>
      <c r="U33" s="22" t="e">
        <f t="shared" si="5"/>
        <v>#REF!</v>
      </c>
      <c r="V33" s="19" t="e">
        <f>SUMIFS(#REF!,#REF!,美团日报!$C33,#REF!,"O2O")</f>
        <v>#REF!</v>
      </c>
      <c r="W33" s="24" t="s">
        <v>13</v>
      </c>
    </row>
    <row r="34" ht="14.4" spans="1:23">
      <c r="A34" s="16" t="s">
        <v>63</v>
      </c>
      <c r="B34" s="16" t="s">
        <v>168</v>
      </c>
      <c r="C34" s="16">
        <v>8610</v>
      </c>
      <c r="D34" s="16" t="s">
        <v>129</v>
      </c>
      <c r="E34" s="18">
        <f>_xlfn.IFNA(VLOOKUP(C:C,线上线下销售!B:D,3,0),0)</f>
        <v>10042.8102</v>
      </c>
      <c r="F34" s="18">
        <f>SUMIFS(线上订单!$E:$E,线上订单!$B:$B,美团日报!$C34)-SUMIFS(线上订单!$E:$E,线上订单!$B:$B,美团日报!$C34,线上订单!$D:$D,"美团")-SUMIFS(线上订单!$E:$E,线上订单!$B:$B,美团日报!$C34,线上订单!$D:$D,"饿了么")</f>
        <v>25.22123893805</v>
      </c>
      <c r="G34" s="19">
        <f t="shared" si="0"/>
        <v>0.00251137265723193</v>
      </c>
      <c r="H34" s="18">
        <f>SUMIFS(线上订单!$F:$F,线上订单!$B:$B,美团日报!$C34)-SUMIFS(线上订单!$F:$F,线上订单!$B:$B,美团日报!$C34,线上订单!$D:$D,"美团")-SUMIFS(线上订单!$F:$F,线上订单!$B:$B,美团日报!$C34,线上订单!$D:$D,"饿了么")</f>
        <v>1</v>
      </c>
      <c r="I34" s="18">
        <f>SUMIFS(线上订单!$F:$F,线上订单!$B:$B,美团日报!$C34)-SUMIFS(线上订单!$F:$F,线上订单!$B:$B,美团日报!$C34,线上订单!$D:$D,"美团")-SUMIFS(线上订单!$F:$F,线上订单!$B:$B,美团日报!$C34,线上订单!$D:$D,"饿了么")</f>
        <v>1</v>
      </c>
      <c r="J34" s="21">
        <f t="shared" si="1"/>
        <v>25.22123893805</v>
      </c>
      <c r="K34" s="22" t="e">
        <f t="shared" si="2"/>
        <v>#REF!</v>
      </c>
      <c r="L34" s="19" t="e">
        <f>SUMIFS(#REF!,#REF!,美团日报!$C$2,#REF!,"秒达")</f>
        <v>#REF!</v>
      </c>
      <c r="M34" s="23"/>
      <c r="N34" s="23"/>
      <c r="O34" s="22" t="e">
        <f t="shared" si="3"/>
        <v>#REF!</v>
      </c>
      <c r="P34" s="19" t="e">
        <f>SUMIFS(#REF!,#REF!,美团日报!$C34,#REF!,"秒达")</f>
        <v>#REF!</v>
      </c>
      <c r="Q34" s="23"/>
      <c r="R34" s="23"/>
      <c r="S34" s="22" t="e">
        <f t="shared" si="4"/>
        <v>#REF!</v>
      </c>
      <c r="T34" s="19" t="e">
        <f>SUMIFS(#REF!,#REF!,美团日报!$C34,#REF!,"O2O")</f>
        <v>#REF!</v>
      </c>
      <c r="U34" s="22" t="e">
        <f t="shared" si="5"/>
        <v>#REF!</v>
      </c>
      <c r="V34" s="19" t="e">
        <f>SUMIFS(#REF!,#REF!,美团日报!$C34,#REF!,"O2O")</f>
        <v>#REF!</v>
      </c>
      <c r="W34" s="24" t="s">
        <v>13</v>
      </c>
    </row>
    <row r="35" ht="14.4" spans="1:23">
      <c r="A35" s="16" t="s">
        <v>43</v>
      </c>
      <c r="B35" s="16" t="s">
        <v>38</v>
      </c>
      <c r="C35" s="16">
        <v>8633</v>
      </c>
      <c r="D35" s="16" t="s">
        <v>132</v>
      </c>
      <c r="E35" s="18">
        <f>_xlfn.IFNA(VLOOKUP(C:C,线上线下销售!B:D,3,0),0)</f>
        <v>7633.1084</v>
      </c>
      <c r="F35" s="18">
        <f>SUMIFS(线上订单!$E:$E,线上订单!$B:$B,美团日报!$C35)-SUMIFS(线上订单!$E:$E,线上订单!$B:$B,美团日报!$C35,线上订单!$D:$D,"美团")-SUMIFS(线上订单!$E:$E,线上订单!$B:$B,美团日报!$C35,线上订单!$D:$D,"饿了么")</f>
        <v>195.1035154664</v>
      </c>
      <c r="G35" s="19">
        <f t="shared" si="0"/>
        <v>0.0255601656942799</v>
      </c>
      <c r="H35" s="18">
        <f>SUMIFS(线上订单!$F:$F,线上订单!$B:$B,美团日报!$C35)-SUMIFS(线上订单!$F:$F,线上订单!$B:$B,美团日报!$C35,线上订单!$D:$D,"美团")-SUMIFS(线上订单!$F:$F,线上订单!$B:$B,美团日报!$C35,线上订单!$D:$D,"饿了么")</f>
        <v>6</v>
      </c>
      <c r="I35" s="18">
        <f>SUMIFS(线上订单!$F:$F,线上订单!$B:$B,美团日报!$C35)-SUMIFS(线上订单!$F:$F,线上订单!$B:$B,美团日报!$C35,线上订单!$D:$D,"美团")-SUMIFS(线上订单!$F:$F,线上订单!$B:$B,美团日报!$C35,线上订单!$D:$D,"饿了么")</f>
        <v>6</v>
      </c>
      <c r="J35" s="21">
        <f t="shared" si="1"/>
        <v>32.5172525777333</v>
      </c>
      <c r="K35" s="22" t="e">
        <f t="shared" si="2"/>
        <v>#REF!</v>
      </c>
      <c r="L35" s="19" t="e">
        <f>SUMIFS(#REF!,#REF!,美团日报!$C$2,#REF!,"秒达")</f>
        <v>#REF!</v>
      </c>
      <c r="M35" s="23"/>
      <c r="N35" s="23"/>
      <c r="O35" s="22" t="e">
        <f t="shared" si="3"/>
        <v>#REF!</v>
      </c>
      <c r="P35" s="19" t="e">
        <f>SUMIFS(#REF!,#REF!,美团日报!$C35,#REF!,"秒达")</f>
        <v>#REF!</v>
      </c>
      <c r="Q35" s="23"/>
      <c r="R35" s="23"/>
      <c r="S35" s="22" t="e">
        <f t="shared" si="4"/>
        <v>#REF!</v>
      </c>
      <c r="T35" s="19" t="e">
        <f>SUMIFS(#REF!,#REF!,美团日报!$C35,#REF!,"O2O")</f>
        <v>#REF!</v>
      </c>
      <c r="U35" s="22" t="e">
        <f t="shared" si="5"/>
        <v>#REF!</v>
      </c>
      <c r="V35" s="19" t="e">
        <f>SUMIFS(#REF!,#REF!,美团日报!$C35,#REF!,"O2O")</f>
        <v>#REF!</v>
      </c>
      <c r="W35" s="24" t="s">
        <v>13</v>
      </c>
    </row>
    <row r="36" ht="14.4" spans="1:23">
      <c r="A36" s="16" t="s">
        <v>56</v>
      </c>
      <c r="B36" s="16" t="s">
        <v>70</v>
      </c>
      <c r="C36" s="16">
        <v>8612</v>
      </c>
      <c r="D36" s="16" t="s">
        <v>135</v>
      </c>
      <c r="E36" s="18">
        <f>_xlfn.IFNA(VLOOKUP(C:C,线上线下销售!B:D,3,0),0)</f>
        <v>4427.5418</v>
      </c>
      <c r="F36" s="18">
        <f>SUMIFS(线上订单!$E:$E,线上订单!$B:$B,美团日报!$C36)-SUMIFS(线上订单!$E:$E,线上订单!$B:$B,美团日报!$C36,线上订单!$D:$D,"美团")-SUMIFS(线上订单!$E:$E,线上订单!$B:$B,美团日报!$C36,线上订单!$D:$D,"饿了么")</f>
        <v>228.7610619469</v>
      </c>
      <c r="G36" s="19">
        <f t="shared" si="0"/>
        <v>0.0516677362474365</v>
      </c>
      <c r="H36" s="18">
        <f>SUMIFS(线上订单!$F:$F,线上订单!$B:$B,美团日报!$C36)-SUMIFS(线上订单!$F:$F,线上订单!$B:$B,美团日报!$C36,线上订单!$D:$D,"美团")-SUMIFS(线上订单!$F:$F,线上订单!$B:$B,美团日报!$C36,线上订单!$D:$D,"饿了么")</f>
        <v>4</v>
      </c>
      <c r="I36" s="18">
        <f>SUMIFS(线上订单!$F:$F,线上订单!$B:$B,美团日报!$C36)-SUMIFS(线上订单!$F:$F,线上订单!$B:$B,美团日报!$C36,线上订单!$D:$D,"美团")-SUMIFS(线上订单!$F:$F,线上订单!$B:$B,美团日报!$C36,线上订单!$D:$D,"饿了么")</f>
        <v>4</v>
      </c>
      <c r="J36" s="21">
        <f t="shared" si="1"/>
        <v>57.190265486725</v>
      </c>
      <c r="K36" s="22" t="e">
        <f t="shared" si="2"/>
        <v>#REF!</v>
      </c>
      <c r="L36" s="19" t="e">
        <f>SUMIFS(#REF!,#REF!,美团日报!$C$2,#REF!,"秒达")</f>
        <v>#REF!</v>
      </c>
      <c r="M36" s="23"/>
      <c r="N36" s="23"/>
      <c r="O36" s="22" t="e">
        <f t="shared" si="3"/>
        <v>#REF!</v>
      </c>
      <c r="P36" s="19" t="e">
        <f>SUMIFS(#REF!,#REF!,美团日报!$C36,#REF!,"秒达")</f>
        <v>#REF!</v>
      </c>
      <c r="Q36" s="23"/>
      <c r="R36" s="23"/>
      <c r="S36" s="22" t="e">
        <f t="shared" si="4"/>
        <v>#REF!</v>
      </c>
      <c r="T36" s="19" t="e">
        <f>SUMIFS(#REF!,#REF!,美团日报!$C36,#REF!,"O2O")</f>
        <v>#REF!</v>
      </c>
      <c r="U36" s="22" t="e">
        <f t="shared" si="5"/>
        <v>#REF!</v>
      </c>
      <c r="V36" s="19" t="e">
        <f>SUMIFS(#REF!,#REF!,美团日报!$C36,#REF!,"O2O")</f>
        <v>#REF!</v>
      </c>
      <c r="W36" s="24" t="s">
        <v>13</v>
      </c>
    </row>
    <row r="37" ht="14.4" spans="1:23">
      <c r="A37" s="16" t="s">
        <v>48</v>
      </c>
      <c r="B37" s="16" t="s">
        <v>64</v>
      </c>
      <c r="C37" s="16">
        <v>8674</v>
      </c>
      <c r="D37" s="16" t="s">
        <v>137</v>
      </c>
      <c r="E37" s="18">
        <f>_xlfn.IFNA(VLOOKUP(C:C,线上线下销售!B:D,3,0),0)</f>
        <v>4618.6337</v>
      </c>
      <c r="F37" s="18">
        <f>SUMIFS(线上订单!$E:$E,线上订单!$B:$B,美团日报!$C37)-SUMIFS(线上订单!$E:$E,线上订单!$B:$B,美团日报!$C37,线上订单!$D:$D,"美团")-SUMIFS(线上订单!$E:$E,线上订单!$B:$B,美团日报!$C37,线上订单!$D:$D,"饿了么")</f>
        <v>62.69911504424</v>
      </c>
      <c r="G37" s="19">
        <f t="shared" si="0"/>
        <v>0.0135752517122629</v>
      </c>
      <c r="H37" s="18">
        <f>SUMIFS(线上订单!$F:$F,线上订单!$B:$B,美团日报!$C37)-SUMIFS(线上订单!$F:$F,线上订单!$B:$B,美团日报!$C37,线上订单!$D:$D,"美团")-SUMIFS(线上订单!$F:$F,线上订单!$B:$B,美团日报!$C37,线上订单!$D:$D,"饿了么")</f>
        <v>2</v>
      </c>
      <c r="I37" s="18">
        <f>SUMIFS(线上订单!$F:$F,线上订单!$B:$B,美团日报!$C37)-SUMIFS(线上订单!$F:$F,线上订单!$B:$B,美团日报!$C37,线上订单!$D:$D,"美团")-SUMIFS(线上订单!$F:$F,线上订单!$B:$B,美团日报!$C37,线上订单!$D:$D,"饿了么")</f>
        <v>2</v>
      </c>
      <c r="J37" s="21">
        <f t="shared" si="1"/>
        <v>31.34955752212</v>
      </c>
      <c r="K37" s="22" t="e">
        <f t="shared" si="2"/>
        <v>#REF!</v>
      </c>
      <c r="L37" s="19" t="e">
        <f>SUMIFS(#REF!,#REF!,美团日报!$C$2,#REF!,"秒达")</f>
        <v>#REF!</v>
      </c>
      <c r="M37" s="23"/>
      <c r="N37" s="23"/>
      <c r="O37" s="22" t="e">
        <f t="shared" si="3"/>
        <v>#REF!</v>
      </c>
      <c r="P37" s="19" t="e">
        <f>SUMIFS(#REF!,#REF!,美团日报!$C37,#REF!,"秒达")</f>
        <v>#REF!</v>
      </c>
      <c r="Q37" s="23"/>
      <c r="R37" s="23"/>
      <c r="S37" s="22" t="e">
        <f t="shared" si="4"/>
        <v>#REF!</v>
      </c>
      <c r="T37" s="19" t="e">
        <f>SUMIFS(#REF!,#REF!,美团日报!$C37,#REF!,"O2O")</f>
        <v>#REF!</v>
      </c>
      <c r="U37" s="22" t="e">
        <f t="shared" si="5"/>
        <v>#REF!</v>
      </c>
      <c r="V37" s="19" t="e">
        <f>SUMIFS(#REF!,#REF!,美团日报!$C37,#REF!,"O2O")</f>
        <v>#REF!</v>
      </c>
      <c r="W37" s="24" t="s">
        <v>13</v>
      </c>
    </row>
    <row r="38" ht="14.4" spans="1:23">
      <c r="A38" s="16" t="s">
        <v>48</v>
      </c>
      <c r="B38" s="16" t="s">
        <v>64</v>
      </c>
      <c r="C38" s="16">
        <v>8654</v>
      </c>
      <c r="D38" s="16" t="s">
        <v>139</v>
      </c>
      <c r="E38" s="18">
        <f>_xlfn.IFNA(VLOOKUP(C:C,线上线下销售!B:D,3,0),0)</f>
        <v>7688.6698</v>
      </c>
      <c r="F38" s="18">
        <f>SUMIFS(线上订单!$E:$E,线上订单!$B:$B,美团日报!$C38)-SUMIFS(线上订单!$E:$E,线上订单!$B:$B,美团日报!$C38,线上订单!$D:$D,"美团")-SUMIFS(线上订单!$E:$E,线上订单!$B:$B,美团日报!$C38,线上订单!$D:$D,"饿了么")</f>
        <v>302.75221238932</v>
      </c>
      <c r="G38" s="19">
        <f t="shared" si="0"/>
        <v>0.0393764097385636</v>
      </c>
      <c r="H38" s="18">
        <f>SUMIFS(线上订单!$F:$F,线上订单!$B:$B,美团日报!$C38)-SUMIFS(线上订单!$F:$F,线上订单!$B:$B,美团日报!$C38,线上订单!$D:$D,"美团")-SUMIFS(线上订单!$F:$F,线上订单!$B:$B,美团日报!$C38,线上订单!$D:$D,"饿了么")</f>
        <v>16</v>
      </c>
      <c r="I38" s="18">
        <f>SUMIFS(线上订单!$F:$F,线上订单!$B:$B,美团日报!$C38)-SUMIFS(线上订单!$F:$F,线上订单!$B:$B,美团日报!$C38,线上订单!$D:$D,"美团")-SUMIFS(线上订单!$F:$F,线上订单!$B:$B,美团日报!$C38,线上订单!$D:$D,"饿了么")</f>
        <v>16</v>
      </c>
      <c r="J38" s="21">
        <f t="shared" si="1"/>
        <v>18.9220132743325</v>
      </c>
      <c r="K38" s="22" t="e">
        <f t="shared" si="2"/>
        <v>#REF!</v>
      </c>
      <c r="L38" s="19" t="e">
        <f>SUMIFS(#REF!,#REF!,美团日报!$C$2,#REF!,"秒达")</f>
        <v>#REF!</v>
      </c>
      <c r="M38" s="23"/>
      <c r="N38" s="23"/>
      <c r="O38" s="22" t="e">
        <f t="shared" si="3"/>
        <v>#REF!</v>
      </c>
      <c r="P38" s="19" t="e">
        <f>SUMIFS(#REF!,#REF!,美团日报!$C38,#REF!,"秒达")</f>
        <v>#REF!</v>
      </c>
      <c r="Q38" s="23"/>
      <c r="R38" s="23"/>
      <c r="S38" s="22" t="e">
        <f t="shared" si="4"/>
        <v>#REF!</v>
      </c>
      <c r="T38" s="19" t="e">
        <f>SUMIFS(#REF!,#REF!,美团日报!$C38,#REF!,"O2O")</f>
        <v>#REF!</v>
      </c>
      <c r="U38" s="22" t="e">
        <f t="shared" si="5"/>
        <v>#REF!</v>
      </c>
      <c r="V38" s="19" t="e">
        <f>SUMIFS(#REF!,#REF!,美团日报!$C38,#REF!,"O2O")</f>
        <v>#REF!</v>
      </c>
      <c r="W38" s="24" t="s">
        <v>13</v>
      </c>
    </row>
    <row r="39" ht="14.4" spans="1:23">
      <c r="A39" s="16" t="s">
        <v>63</v>
      </c>
      <c r="B39" s="16" t="s">
        <v>99</v>
      </c>
      <c r="C39" s="16">
        <v>8601</v>
      </c>
      <c r="D39" s="16" t="s">
        <v>141</v>
      </c>
      <c r="E39" s="18">
        <f>_xlfn.IFNA(VLOOKUP(C:C,线上线下销售!B:D,3,0),0)</f>
        <v>4284.3379</v>
      </c>
      <c r="F39" s="18">
        <f>SUMIFS(线上订单!$E:$E,线上订单!$B:$B,美团日报!$C39)-SUMIFS(线上订单!$E:$E,线上订单!$B:$B,美团日报!$C39,线上订单!$D:$D,"美团")-SUMIFS(线上订单!$E:$E,线上订单!$B:$B,美团日报!$C39,线上订单!$D:$D,"饿了么")</f>
        <v>406.54867256637</v>
      </c>
      <c r="G39" s="19">
        <f t="shared" si="0"/>
        <v>0.0948918320766366</v>
      </c>
      <c r="H39" s="18">
        <f>SUMIFS(线上订单!$F:$F,线上订单!$B:$B,美团日报!$C39)-SUMIFS(线上订单!$F:$F,线上订单!$B:$B,美团日报!$C39,线上订单!$D:$D,"美团")-SUMIFS(线上订单!$F:$F,线上订单!$B:$B,美团日报!$C39,线上订单!$D:$D,"饿了么")</f>
        <v>8</v>
      </c>
      <c r="I39" s="18">
        <f>SUMIFS(线上订单!$F:$F,线上订单!$B:$B,美团日报!$C39)-SUMIFS(线上订单!$F:$F,线上订单!$B:$B,美团日报!$C39,线上订单!$D:$D,"美团")-SUMIFS(线上订单!$F:$F,线上订单!$B:$B,美团日报!$C39,线上订单!$D:$D,"饿了么")</f>
        <v>8</v>
      </c>
      <c r="J39" s="21">
        <f t="shared" si="1"/>
        <v>50.8185840707962</v>
      </c>
      <c r="K39" s="22" t="e">
        <f t="shared" si="2"/>
        <v>#REF!</v>
      </c>
      <c r="L39" s="19" t="e">
        <f>SUMIFS(#REF!,#REF!,美团日报!$C$2,#REF!,"秒达")</f>
        <v>#REF!</v>
      </c>
      <c r="M39" s="23"/>
      <c r="N39" s="23"/>
      <c r="O39" s="22" t="e">
        <f t="shared" si="3"/>
        <v>#REF!</v>
      </c>
      <c r="P39" s="19" t="e">
        <f>SUMIFS(#REF!,#REF!,美团日报!$C39,#REF!,"秒达")</f>
        <v>#REF!</v>
      </c>
      <c r="Q39" s="23"/>
      <c r="R39" s="23"/>
      <c r="S39" s="22" t="e">
        <f t="shared" si="4"/>
        <v>#REF!</v>
      </c>
      <c r="T39" s="19" t="e">
        <f>SUMIFS(#REF!,#REF!,美团日报!$C39,#REF!,"O2O")</f>
        <v>#REF!</v>
      </c>
      <c r="U39" s="22" t="e">
        <f t="shared" si="5"/>
        <v>#REF!</v>
      </c>
      <c r="V39" s="19" t="e">
        <f>SUMIFS(#REF!,#REF!,美团日报!$C39,#REF!,"O2O")</f>
        <v>#REF!</v>
      </c>
      <c r="W39" s="24" t="s">
        <v>13</v>
      </c>
    </row>
    <row r="40" ht="14.4" spans="1:23">
      <c r="A40" s="16" t="s">
        <v>43</v>
      </c>
      <c r="B40" s="16" t="s">
        <v>131</v>
      </c>
      <c r="C40" s="16">
        <v>8629</v>
      </c>
      <c r="D40" s="16" t="s">
        <v>144</v>
      </c>
      <c r="E40" s="18">
        <f>_xlfn.IFNA(VLOOKUP(C:C,线上线下销售!B:D,3,0),0)</f>
        <v>17782.2976</v>
      </c>
      <c r="F40" s="18">
        <f>SUMIFS(线上订单!$E:$E,线上订单!$B:$B,美团日报!$C40)-SUMIFS(线上订单!$E:$E,线上订单!$B:$B,美团日报!$C40,线上订单!$D:$D,"美团")-SUMIFS(线上订单!$E:$E,线上订单!$B:$B,美团日报!$C40,线上订单!$D:$D,"饿了么")</f>
        <v>778.2972663797</v>
      </c>
      <c r="G40" s="19">
        <f t="shared" si="0"/>
        <v>0.0437680936337327</v>
      </c>
      <c r="H40" s="18">
        <f>SUMIFS(线上订单!$F:$F,线上订单!$B:$B,美团日报!$C40)-SUMIFS(线上订单!$F:$F,线上订单!$B:$B,美团日报!$C40,线上订单!$D:$D,"美团")-SUMIFS(线上订单!$F:$F,线上订单!$B:$B,美团日报!$C40,线上订单!$D:$D,"饿了么")</f>
        <v>24</v>
      </c>
      <c r="I40" s="18">
        <f>SUMIFS(线上订单!$F:$F,线上订单!$B:$B,美团日报!$C40)-SUMIFS(线上订单!$F:$F,线上订单!$B:$B,美团日报!$C40,线上订单!$D:$D,"美团")-SUMIFS(线上订单!$F:$F,线上订单!$B:$B,美团日报!$C40,线上订单!$D:$D,"饿了么")</f>
        <v>24</v>
      </c>
      <c r="J40" s="21">
        <f t="shared" si="1"/>
        <v>32.4290527658208</v>
      </c>
      <c r="K40" s="22" t="e">
        <f t="shared" si="2"/>
        <v>#REF!</v>
      </c>
      <c r="L40" s="19" t="e">
        <f>SUMIFS(#REF!,#REF!,美团日报!$C$2,#REF!,"秒达")</f>
        <v>#REF!</v>
      </c>
      <c r="M40" s="23"/>
      <c r="N40" s="23"/>
      <c r="O40" s="22" t="e">
        <f t="shared" si="3"/>
        <v>#REF!</v>
      </c>
      <c r="P40" s="19" t="e">
        <f>SUMIFS(#REF!,#REF!,美团日报!$C40,#REF!,"秒达")</f>
        <v>#REF!</v>
      </c>
      <c r="Q40" s="23"/>
      <c r="R40" s="23"/>
      <c r="S40" s="22" t="e">
        <f t="shared" si="4"/>
        <v>#REF!</v>
      </c>
      <c r="T40" s="19" t="e">
        <f>SUMIFS(#REF!,#REF!,美团日报!$C40,#REF!,"O2O")</f>
        <v>#REF!</v>
      </c>
      <c r="U40" s="22" t="e">
        <f t="shared" si="5"/>
        <v>#REF!</v>
      </c>
      <c r="V40" s="19" t="e">
        <f>SUMIFS(#REF!,#REF!,美团日报!$C40,#REF!,"O2O")</f>
        <v>#REF!</v>
      </c>
      <c r="W40" s="24" t="s">
        <v>13</v>
      </c>
    </row>
    <row r="41" ht="14.4" spans="1:23">
      <c r="A41" s="16" t="s">
        <v>63</v>
      </c>
      <c r="B41" s="16" t="s">
        <v>574</v>
      </c>
      <c r="C41" s="16">
        <v>8676</v>
      </c>
      <c r="D41" s="16" t="s">
        <v>146</v>
      </c>
      <c r="E41" s="18">
        <f>_xlfn.IFNA(VLOOKUP(C:C,线上线下销售!B:D,3,0),0)</f>
        <v>0</v>
      </c>
      <c r="F41" s="18">
        <f>SUMIFS(线上订单!$E:$E,线上订单!$B:$B,美团日报!$C41)-SUMIFS(线上订单!$E:$E,线上订单!$B:$B,美团日报!$C41,线上订单!$D:$D,"美团")-SUMIFS(线上订单!$E:$E,线上订单!$B:$B,美团日报!$C41,线上订单!$D:$D,"饿了么")</f>
        <v>0</v>
      </c>
      <c r="G41" s="19">
        <f t="shared" si="0"/>
        <v>0</v>
      </c>
      <c r="H41" s="18">
        <f>SUMIFS(线上订单!$F:$F,线上订单!$B:$B,美团日报!$C41)-SUMIFS(线上订单!$F:$F,线上订单!$B:$B,美团日报!$C41,线上订单!$D:$D,"美团")-SUMIFS(线上订单!$F:$F,线上订单!$B:$B,美团日报!$C41,线上订单!$D:$D,"饿了么")</f>
        <v>0</v>
      </c>
      <c r="I41" s="18">
        <f>SUMIFS(线上订单!$F:$F,线上订单!$B:$B,美团日报!$C41)-SUMIFS(线上订单!$F:$F,线上订单!$B:$B,美团日报!$C41,线上订单!$D:$D,"美团")-SUMIFS(线上订单!$F:$F,线上订单!$B:$B,美团日报!$C41,线上订单!$D:$D,"饿了么")</f>
        <v>0</v>
      </c>
      <c r="J41" s="21">
        <f t="shared" si="1"/>
        <v>0</v>
      </c>
      <c r="K41" s="22" t="e">
        <f t="shared" si="2"/>
        <v>#REF!</v>
      </c>
      <c r="L41" s="19" t="e">
        <f>SUMIFS(#REF!,#REF!,美团日报!$C$2,#REF!,"秒达")</f>
        <v>#REF!</v>
      </c>
      <c r="M41" s="23"/>
      <c r="N41" s="23"/>
      <c r="O41" s="22" t="e">
        <f t="shared" si="3"/>
        <v>#REF!</v>
      </c>
      <c r="P41" s="19" t="e">
        <f>SUMIFS(#REF!,#REF!,美团日报!$C41,#REF!,"秒达")</f>
        <v>#REF!</v>
      </c>
      <c r="Q41" s="23"/>
      <c r="R41" s="23"/>
      <c r="S41" s="22" t="e">
        <f t="shared" si="4"/>
        <v>#REF!</v>
      </c>
      <c r="T41" s="19" t="e">
        <f>SUMIFS(#REF!,#REF!,美团日报!$C41,#REF!,"O2O")</f>
        <v>#REF!</v>
      </c>
      <c r="U41" s="22" t="e">
        <f t="shared" si="5"/>
        <v>#REF!</v>
      </c>
      <c r="V41" s="19" t="e">
        <f>SUMIFS(#REF!,#REF!,美团日报!$C41,#REF!,"O2O")</f>
        <v>#REF!</v>
      </c>
      <c r="W41" s="24" t="s">
        <v>13</v>
      </c>
    </row>
    <row r="42" ht="14.4" spans="1:23">
      <c r="A42" s="16" t="s">
        <v>63</v>
      </c>
      <c r="B42" s="16" t="s">
        <v>86</v>
      </c>
      <c r="C42" s="16">
        <v>8602</v>
      </c>
      <c r="D42" s="16" t="s">
        <v>148</v>
      </c>
      <c r="E42" s="18">
        <f>_xlfn.IFNA(VLOOKUP(C:C,线上线下销售!B:D,3,0),0)</f>
        <v>7365.873</v>
      </c>
      <c r="F42" s="18">
        <f>SUMIFS(线上订单!$E:$E,线上订单!$B:$B,美团日报!$C42)-SUMIFS(线上订单!$E:$E,线上订单!$B:$B,美团日报!$C42,线上订单!$D:$D,"美团")-SUMIFS(线上订单!$E:$E,线上订单!$B:$B,美团日报!$C42,线上订单!$D:$D,"饿了么")</f>
        <v>357.17699115041</v>
      </c>
      <c r="G42" s="19">
        <f t="shared" si="0"/>
        <v>0.048490788688647</v>
      </c>
      <c r="H42" s="18">
        <f>SUMIFS(线上订单!$F:$F,线上订单!$B:$B,美团日报!$C42)-SUMIFS(线上订单!$F:$F,线上订单!$B:$B,美团日报!$C42,线上订单!$D:$D,"美团")-SUMIFS(线上订单!$F:$F,线上订单!$B:$B,美团日报!$C42,线上订单!$D:$D,"饿了么")</f>
        <v>7</v>
      </c>
      <c r="I42" s="18">
        <f>SUMIFS(线上订单!$F:$F,线上订单!$B:$B,美团日报!$C42)-SUMIFS(线上订单!$F:$F,线上订单!$B:$B,美团日报!$C42,线上订单!$D:$D,"美团")-SUMIFS(线上订单!$F:$F,线上订单!$B:$B,美团日报!$C42,线上订单!$D:$D,"饿了么")</f>
        <v>7</v>
      </c>
      <c r="J42" s="21">
        <f t="shared" si="1"/>
        <v>51.0252844500586</v>
      </c>
      <c r="K42" s="22" t="e">
        <f t="shared" si="2"/>
        <v>#REF!</v>
      </c>
      <c r="L42" s="19" t="e">
        <f>SUMIFS(#REF!,#REF!,美团日报!$C$2,#REF!,"秒达")</f>
        <v>#REF!</v>
      </c>
      <c r="M42" s="23"/>
      <c r="N42" s="23"/>
      <c r="O42" s="22" t="e">
        <f t="shared" si="3"/>
        <v>#REF!</v>
      </c>
      <c r="P42" s="19" t="e">
        <f>SUMIFS(#REF!,#REF!,美团日报!$C42,#REF!,"秒达")</f>
        <v>#REF!</v>
      </c>
      <c r="Q42" s="23"/>
      <c r="R42" s="23"/>
      <c r="S42" s="22" t="e">
        <f t="shared" si="4"/>
        <v>#REF!</v>
      </c>
      <c r="T42" s="19" t="e">
        <f>SUMIFS(#REF!,#REF!,美团日报!$C42,#REF!,"O2O")</f>
        <v>#REF!</v>
      </c>
      <c r="U42" s="22" t="e">
        <f t="shared" si="5"/>
        <v>#REF!</v>
      </c>
      <c r="V42" s="19" t="e">
        <f>SUMIFS(#REF!,#REF!,美团日报!$C42,#REF!,"O2O")</f>
        <v>#REF!</v>
      </c>
      <c r="W42" s="24" t="s">
        <v>13</v>
      </c>
    </row>
    <row r="43" ht="14.4" spans="1:23">
      <c r="A43" s="16" t="s">
        <v>56</v>
      </c>
      <c r="B43" s="16" t="s">
        <v>573</v>
      </c>
      <c r="C43" s="16">
        <v>8661</v>
      </c>
      <c r="D43" s="16" t="s">
        <v>150</v>
      </c>
      <c r="E43" s="18">
        <f>_xlfn.IFNA(VLOOKUP(C:C,线上线下销售!B:D,3,0),0)</f>
        <v>10607.3592</v>
      </c>
      <c r="F43" s="18">
        <f>SUMIFS(线上订单!$E:$E,线上订单!$B:$B,美团日报!$C43)-SUMIFS(线上订单!$E:$E,线上订单!$B:$B,美团日报!$C43,线上订单!$D:$D,"美团")-SUMIFS(线上订单!$E:$E,线上订单!$B:$B,美团日报!$C43,线上订单!$D:$D,"饿了么")</f>
        <v>97.9999999999695</v>
      </c>
      <c r="G43" s="19">
        <f t="shared" si="0"/>
        <v>0.00923886880345954</v>
      </c>
      <c r="H43" s="18">
        <f>SUMIFS(线上订单!$F:$F,线上订单!$B:$B,美团日报!$C43)-SUMIFS(线上订单!$F:$F,线上订单!$B:$B,美团日报!$C43,线上订单!$D:$D,"美团")-SUMIFS(线上订单!$F:$F,线上订单!$B:$B,美团日报!$C43,线上订单!$D:$D,"饿了么")</f>
        <v>5</v>
      </c>
      <c r="I43" s="18">
        <f>SUMIFS(线上订单!$F:$F,线上订单!$B:$B,美团日报!$C43)-SUMIFS(线上订单!$F:$F,线上订单!$B:$B,美团日报!$C43,线上订单!$D:$D,"美团")-SUMIFS(线上订单!$F:$F,线上订单!$B:$B,美团日报!$C43,线上订单!$D:$D,"饿了么")</f>
        <v>5</v>
      </c>
      <c r="J43" s="21">
        <f t="shared" si="1"/>
        <v>19.5999999999939</v>
      </c>
      <c r="K43" s="22" t="e">
        <f t="shared" si="2"/>
        <v>#REF!</v>
      </c>
      <c r="L43" s="19" t="e">
        <f>SUMIFS(#REF!,#REF!,美团日报!$C$2,#REF!,"秒达")</f>
        <v>#REF!</v>
      </c>
      <c r="M43" s="23"/>
      <c r="N43" s="23"/>
      <c r="O43" s="22" t="e">
        <f t="shared" si="3"/>
        <v>#REF!</v>
      </c>
      <c r="P43" s="19" t="e">
        <f>SUMIFS(#REF!,#REF!,美团日报!$C43,#REF!,"秒达")</f>
        <v>#REF!</v>
      </c>
      <c r="Q43" s="23"/>
      <c r="R43" s="23"/>
      <c r="S43" s="22" t="e">
        <f t="shared" si="4"/>
        <v>#REF!</v>
      </c>
      <c r="T43" s="19" t="e">
        <f>SUMIFS(#REF!,#REF!,美团日报!$C43,#REF!,"O2O")</f>
        <v>#REF!</v>
      </c>
      <c r="U43" s="22" t="e">
        <f t="shared" si="5"/>
        <v>#REF!</v>
      </c>
      <c r="V43" s="19" t="e">
        <f>SUMIFS(#REF!,#REF!,美团日报!$C43,#REF!,"O2O")</f>
        <v>#REF!</v>
      </c>
      <c r="W43" s="24" t="s">
        <v>13</v>
      </c>
    </row>
    <row r="44" ht="14.4" spans="1:23">
      <c r="A44" s="16" t="s">
        <v>63</v>
      </c>
      <c r="B44" s="16" t="s">
        <v>86</v>
      </c>
      <c r="C44" s="16">
        <v>8665</v>
      </c>
      <c r="D44" s="16" t="s">
        <v>153</v>
      </c>
      <c r="E44" s="18">
        <f>_xlfn.IFNA(VLOOKUP(C:C,线上线下销售!B:D,3,0),0)</f>
        <v>6267.4401</v>
      </c>
      <c r="F44" s="18">
        <f>SUMIFS(线上订单!$E:$E,线上订单!$B:$B,美团日报!$C44)-SUMIFS(线上订单!$E:$E,线上订单!$B:$B,美团日报!$C44,线上订单!$D:$D,"美团")-SUMIFS(线上订单!$E:$E,线上订单!$B:$B,美团日报!$C44,线上订单!$D:$D,"饿了么")</f>
        <v>151.9347243647</v>
      </c>
      <c r="G44" s="19">
        <f t="shared" si="0"/>
        <v>0.0242419108823553</v>
      </c>
      <c r="H44" s="18">
        <f>SUMIFS(线上订单!$F:$F,线上订单!$B:$B,美团日报!$C44)-SUMIFS(线上订单!$F:$F,线上订单!$B:$B,美团日报!$C44,线上订单!$D:$D,"美团")-SUMIFS(线上订单!$F:$F,线上订单!$B:$B,美团日报!$C44,线上订单!$D:$D,"饿了么")</f>
        <v>3</v>
      </c>
      <c r="I44" s="18">
        <f>SUMIFS(线上订单!$F:$F,线上订单!$B:$B,美团日报!$C44)-SUMIFS(线上订单!$F:$F,线上订单!$B:$B,美团日报!$C44,线上订单!$D:$D,"美团")-SUMIFS(线上订单!$F:$F,线上订单!$B:$B,美团日报!$C44,线上订单!$D:$D,"饿了么")</f>
        <v>3</v>
      </c>
      <c r="J44" s="21">
        <f t="shared" si="1"/>
        <v>50.6449081215667</v>
      </c>
      <c r="K44" s="22" t="e">
        <f t="shared" si="2"/>
        <v>#REF!</v>
      </c>
      <c r="L44" s="19" t="e">
        <f>SUMIFS(#REF!,#REF!,美团日报!$C$2,#REF!,"秒达")</f>
        <v>#REF!</v>
      </c>
      <c r="M44" s="23"/>
      <c r="N44" s="23"/>
      <c r="O44" s="22" t="e">
        <f t="shared" si="3"/>
        <v>#REF!</v>
      </c>
      <c r="P44" s="19" t="e">
        <f>SUMIFS(#REF!,#REF!,美团日报!$C44,#REF!,"秒达")</f>
        <v>#REF!</v>
      </c>
      <c r="Q44" s="23"/>
      <c r="R44" s="23"/>
      <c r="S44" s="22" t="e">
        <f t="shared" si="4"/>
        <v>#REF!</v>
      </c>
      <c r="T44" s="19" t="e">
        <f>SUMIFS(#REF!,#REF!,美团日报!$C44,#REF!,"O2O")</f>
        <v>#REF!</v>
      </c>
      <c r="U44" s="22" t="e">
        <f t="shared" si="5"/>
        <v>#REF!</v>
      </c>
      <c r="V44" s="19" t="e">
        <f>SUMIFS(#REF!,#REF!,美团日报!$C44,#REF!,"O2O")</f>
        <v>#REF!</v>
      </c>
      <c r="W44" s="24" t="s">
        <v>13</v>
      </c>
    </row>
    <row r="45" ht="14.4" spans="1:23">
      <c r="A45" s="16" t="s">
        <v>63</v>
      </c>
      <c r="B45" s="16" t="s">
        <v>99</v>
      </c>
      <c r="C45" s="16">
        <v>8642</v>
      </c>
      <c r="D45" s="16" t="s">
        <v>155</v>
      </c>
      <c r="E45" s="18">
        <f>_xlfn.IFNA(VLOOKUP(C:C,线上线下销售!B:D,3,0),0)</f>
        <v>7054.7823</v>
      </c>
      <c r="F45" s="18">
        <f>SUMIFS(线上订单!$E:$E,线上订单!$B:$B,美团日报!$C45)-SUMIFS(线上订单!$E:$E,线上订单!$B:$B,美团日报!$C45,线上订单!$D:$D,"美团")-SUMIFS(线上订单!$E:$E,线上订单!$B:$B,美团日报!$C45,线上订单!$D:$D,"饿了么")</f>
        <v>125.02581797515</v>
      </c>
      <c r="G45" s="19">
        <f t="shared" si="0"/>
        <v>0.0177221369361249</v>
      </c>
      <c r="H45" s="18">
        <f>SUMIFS(线上订单!$F:$F,线上订单!$B:$B,美团日报!$C45)-SUMIFS(线上订单!$F:$F,线上订单!$B:$B,美团日报!$C45,线上订单!$D:$D,"美团")-SUMIFS(线上订单!$F:$F,线上订单!$B:$B,美团日报!$C45,线上订单!$D:$D,"饿了么")</f>
        <v>3</v>
      </c>
      <c r="I45" s="18">
        <f>SUMIFS(线上订单!$F:$F,线上订单!$B:$B,美团日报!$C45)-SUMIFS(线上订单!$F:$F,线上订单!$B:$B,美团日报!$C45,线上订单!$D:$D,"美团")-SUMIFS(线上订单!$F:$F,线上订单!$B:$B,美团日报!$C45,线上订单!$D:$D,"饿了么")</f>
        <v>3</v>
      </c>
      <c r="J45" s="21">
        <f t="shared" si="1"/>
        <v>41.6752726583833</v>
      </c>
      <c r="K45" s="22" t="e">
        <f t="shared" si="2"/>
        <v>#REF!</v>
      </c>
      <c r="L45" s="19" t="e">
        <f>SUMIFS(#REF!,#REF!,美团日报!$C$2,#REF!,"秒达")</f>
        <v>#REF!</v>
      </c>
      <c r="M45" s="23"/>
      <c r="N45" s="23"/>
      <c r="O45" s="22" t="e">
        <f t="shared" si="3"/>
        <v>#REF!</v>
      </c>
      <c r="P45" s="19" t="e">
        <f>SUMIFS(#REF!,#REF!,美团日报!$C45,#REF!,"秒达")</f>
        <v>#REF!</v>
      </c>
      <c r="Q45" s="23"/>
      <c r="R45" s="23"/>
      <c r="S45" s="22" t="e">
        <f t="shared" si="4"/>
        <v>#REF!</v>
      </c>
      <c r="T45" s="19" t="e">
        <f>SUMIFS(#REF!,#REF!,美团日报!$C45,#REF!,"O2O")</f>
        <v>#REF!</v>
      </c>
      <c r="U45" s="22" t="e">
        <f t="shared" si="5"/>
        <v>#REF!</v>
      </c>
      <c r="V45" s="19" t="e">
        <f>SUMIFS(#REF!,#REF!,美团日报!$C45,#REF!,"O2O")</f>
        <v>#REF!</v>
      </c>
      <c r="W45" s="24" t="s">
        <v>13</v>
      </c>
    </row>
    <row r="46" ht="14.4" spans="1:23">
      <c r="A46" s="16" t="s">
        <v>56</v>
      </c>
      <c r="B46" s="16" t="s">
        <v>70</v>
      </c>
      <c r="C46" s="16">
        <v>8644</v>
      </c>
      <c r="D46" s="16" t="s">
        <v>157</v>
      </c>
      <c r="E46" s="18">
        <f>_xlfn.IFNA(VLOOKUP(C:C,线上线下销售!B:D,3,0),0)</f>
        <v>5018.9736</v>
      </c>
      <c r="F46" s="18">
        <f>SUMIFS(线上订单!$E:$E,线上订单!$B:$B,美团日报!$C46)-SUMIFS(线上订单!$E:$E,线上订单!$B:$B,美团日报!$C46,线上订单!$D:$D,"美团")-SUMIFS(线上订单!$E:$E,线上订单!$B:$B,美团日报!$C46,线上订单!$D:$D,"饿了么")</f>
        <v>0</v>
      </c>
      <c r="G46" s="19">
        <f t="shared" si="0"/>
        <v>0</v>
      </c>
      <c r="H46" s="18">
        <f>SUMIFS(线上订单!$F:$F,线上订单!$B:$B,美团日报!$C46)-SUMIFS(线上订单!$F:$F,线上订单!$B:$B,美团日报!$C46,线上订单!$D:$D,"美团")-SUMIFS(线上订单!$F:$F,线上订单!$B:$B,美团日报!$C46,线上订单!$D:$D,"饿了么")</f>
        <v>0</v>
      </c>
      <c r="I46" s="18">
        <f>SUMIFS(线上订单!$F:$F,线上订单!$B:$B,美团日报!$C46)-SUMIFS(线上订单!$F:$F,线上订单!$B:$B,美团日报!$C46,线上订单!$D:$D,"美团")-SUMIFS(线上订单!$F:$F,线上订单!$B:$B,美团日报!$C46,线上订单!$D:$D,"饿了么")</f>
        <v>0</v>
      </c>
      <c r="J46" s="21">
        <f t="shared" si="1"/>
        <v>0</v>
      </c>
      <c r="K46" s="22" t="e">
        <f t="shared" si="2"/>
        <v>#REF!</v>
      </c>
      <c r="L46" s="19" t="e">
        <f>SUMIFS(#REF!,#REF!,美团日报!$C$2,#REF!,"秒达")</f>
        <v>#REF!</v>
      </c>
      <c r="M46" s="23"/>
      <c r="N46" s="23"/>
      <c r="O46" s="22" t="e">
        <f t="shared" si="3"/>
        <v>#REF!</v>
      </c>
      <c r="P46" s="19" t="e">
        <f>SUMIFS(#REF!,#REF!,美团日报!$C46,#REF!,"秒达")</f>
        <v>#REF!</v>
      </c>
      <c r="Q46" s="23"/>
      <c r="R46" s="23"/>
      <c r="S46" s="22" t="e">
        <f t="shared" si="4"/>
        <v>#REF!</v>
      </c>
      <c r="T46" s="19" t="e">
        <f>SUMIFS(#REF!,#REF!,美团日报!$C46,#REF!,"O2O")</f>
        <v>#REF!</v>
      </c>
      <c r="U46" s="22" t="e">
        <f t="shared" si="5"/>
        <v>#REF!</v>
      </c>
      <c r="V46" s="19" t="e">
        <f>SUMIFS(#REF!,#REF!,美团日报!$C46,#REF!,"O2O")</f>
        <v>#REF!</v>
      </c>
      <c r="W46" s="24" t="s">
        <v>13</v>
      </c>
    </row>
    <row r="47" ht="14.4" spans="1:23">
      <c r="A47" s="16" t="s">
        <v>56</v>
      </c>
      <c r="B47" s="16" t="s">
        <v>118</v>
      </c>
      <c r="C47" s="16">
        <v>8671</v>
      </c>
      <c r="D47" s="16" t="s">
        <v>159</v>
      </c>
      <c r="E47" s="18">
        <f>_xlfn.IFNA(VLOOKUP(C:C,线上线下销售!B:D,3,0),0)</f>
        <v>8623.7971</v>
      </c>
      <c r="F47" s="18">
        <f>SUMIFS(线上订单!$E:$E,线上订单!$B:$B,美团日报!$C47)-SUMIFS(线上订单!$E:$E,线上订单!$B:$B,美团日报!$C47,线上订单!$D:$D,"美团")-SUMIFS(线上订单!$E:$E,线上订单!$B:$B,美团日报!$C47,线上订单!$D:$D,"饿了么")</f>
        <v>308.74750345049</v>
      </c>
      <c r="G47" s="19">
        <f t="shared" si="0"/>
        <v>0.035801805152685</v>
      </c>
      <c r="H47" s="18">
        <f>SUMIFS(线上订单!$F:$F,线上订单!$B:$B,美团日报!$C47)-SUMIFS(线上订单!$F:$F,线上订单!$B:$B,美团日报!$C47,线上订单!$D:$D,"美团")-SUMIFS(线上订单!$F:$F,线上订单!$B:$B,美团日报!$C47,线上订单!$D:$D,"饿了么")</f>
        <v>7</v>
      </c>
      <c r="I47" s="18">
        <f>SUMIFS(线上订单!$F:$F,线上订单!$B:$B,美团日报!$C47)-SUMIFS(线上订单!$F:$F,线上订单!$B:$B,美团日报!$C47,线上订单!$D:$D,"美团")-SUMIFS(线上订单!$F:$F,线上订单!$B:$B,美团日报!$C47,线上订单!$D:$D,"饿了么")</f>
        <v>7</v>
      </c>
      <c r="J47" s="21">
        <f t="shared" si="1"/>
        <v>44.1067862072129</v>
      </c>
      <c r="K47" s="22" t="e">
        <f t="shared" si="2"/>
        <v>#REF!</v>
      </c>
      <c r="L47" s="19" t="e">
        <f>SUMIFS(#REF!,#REF!,美团日报!$C$2,#REF!,"秒达")</f>
        <v>#REF!</v>
      </c>
      <c r="M47" s="23"/>
      <c r="N47" s="23"/>
      <c r="O47" s="22" t="e">
        <f t="shared" si="3"/>
        <v>#REF!</v>
      </c>
      <c r="P47" s="19" t="e">
        <f>SUMIFS(#REF!,#REF!,美团日报!$C47,#REF!,"秒达")</f>
        <v>#REF!</v>
      </c>
      <c r="Q47" s="23"/>
      <c r="R47" s="23"/>
      <c r="S47" s="22" t="e">
        <f t="shared" si="4"/>
        <v>#REF!</v>
      </c>
      <c r="T47" s="19" t="e">
        <f>SUMIFS(#REF!,#REF!,美团日报!$C47,#REF!,"O2O")</f>
        <v>#REF!</v>
      </c>
      <c r="U47" s="22" t="e">
        <f t="shared" si="5"/>
        <v>#REF!</v>
      </c>
      <c r="V47" s="19" t="e">
        <f>SUMIFS(#REF!,#REF!,美团日报!$C47,#REF!,"O2O")</f>
        <v>#REF!</v>
      </c>
      <c r="W47" s="24" t="s">
        <v>13</v>
      </c>
    </row>
    <row r="48" ht="14.4" spans="1:23">
      <c r="A48" s="16" t="s">
        <v>43</v>
      </c>
      <c r="B48" s="16" t="s">
        <v>575</v>
      </c>
      <c r="C48" s="16">
        <v>8657</v>
      </c>
      <c r="D48" s="16" t="s">
        <v>162</v>
      </c>
      <c r="E48" s="18">
        <f>_xlfn.IFNA(VLOOKUP(C:C,线上线下销售!B:D,3,0),0)</f>
        <v>7426.7198</v>
      </c>
      <c r="F48" s="18">
        <f>SUMIFS(线上订单!$E:$E,线上订单!$B:$B,美团日报!$C48)-SUMIFS(线上订单!$E:$E,线上订单!$B:$B,美团日报!$C48,线上订单!$D:$D,"美团")-SUMIFS(线上订单!$E:$E,线上订单!$B:$B,美团日报!$C48,线上订单!$D:$D,"饿了么")</f>
        <v>28.9380530973301</v>
      </c>
      <c r="G48" s="19">
        <f t="shared" si="0"/>
        <v>0.00389647837492537</v>
      </c>
      <c r="H48" s="18">
        <f>SUMIFS(线上订单!$F:$F,线上订单!$B:$B,美团日报!$C48)-SUMIFS(线上订单!$F:$F,线上订单!$B:$B,美团日报!$C48,线上订单!$D:$D,"美团")-SUMIFS(线上订单!$F:$F,线上订单!$B:$B,美团日报!$C48,线上订单!$D:$D,"饿了么")</f>
        <v>2</v>
      </c>
      <c r="I48" s="18">
        <f>SUMIFS(线上订单!$F:$F,线上订单!$B:$B,美团日报!$C48)-SUMIFS(线上订单!$F:$F,线上订单!$B:$B,美团日报!$C48,线上订单!$D:$D,"美团")-SUMIFS(线上订单!$F:$F,线上订单!$B:$B,美团日报!$C48,线上订单!$D:$D,"饿了么")</f>
        <v>2</v>
      </c>
      <c r="J48" s="21">
        <f t="shared" si="1"/>
        <v>14.469026548665</v>
      </c>
      <c r="K48" s="22" t="e">
        <f t="shared" si="2"/>
        <v>#REF!</v>
      </c>
      <c r="L48" s="19" t="e">
        <f>SUMIFS(#REF!,#REF!,美团日报!$C$2,#REF!,"秒达")</f>
        <v>#REF!</v>
      </c>
      <c r="M48" s="23"/>
      <c r="N48" s="23"/>
      <c r="O48" s="22" t="e">
        <f t="shared" si="3"/>
        <v>#REF!</v>
      </c>
      <c r="P48" s="19" t="e">
        <f>SUMIFS(#REF!,#REF!,美团日报!$C48,#REF!,"秒达")</f>
        <v>#REF!</v>
      </c>
      <c r="Q48" s="23"/>
      <c r="R48" s="23"/>
      <c r="S48" s="22" t="e">
        <f t="shared" si="4"/>
        <v>#REF!</v>
      </c>
      <c r="T48" s="19" t="e">
        <f>SUMIFS(#REF!,#REF!,美团日报!$C48,#REF!,"O2O")</f>
        <v>#REF!</v>
      </c>
      <c r="U48" s="22" t="e">
        <f t="shared" si="5"/>
        <v>#REF!</v>
      </c>
      <c r="V48" s="19" t="e">
        <f>SUMIFS(#REF!,#REF!,美团日报!$C48,#REF!,"O2O")</f>
        <v>#REF!</v>
      </c>
      <c r="W48" s="24" t="s">
        <v>13</v>
      </c>
    </row>
    <row r="49" ht="14.4" spans="1:23">
      <c r="A49" s="16" t="s">
        <v>43</v>
      </c>
      <c r="B49" s="16" t="s">
        <v>143</v>
      </c>
      <c r="C49" s="16">
        <v>8660</v>
      </c>
      <c r="D49" s="16" t="s">
        <v>164</v>
      </c>
      <c r="E49" s="18">
        <f>_xlfn.IFNA(VLOOKUP(C:C,线上线下销售!B:D,3,0),0)</f>
        <v>0</v>
      </c>
      <c r="F49" s="18">
        <f>SUMIFS(线上订单!$E:$E,线上订单!$B:$B,美团日报!$C49)-SUMIFS(线上订单!$E:$E,线上订单!$B:$B,美团日报!$C49,线上订单!$D:$D,"美团")-SUMIFS(线上订单!$E:$E,线上订单!$B:$B,美团日报!$C49,线上订单!$D:$D,"饿了么")</f>
        <v>0</v>
      </c>
      <c r="G49" s="19">
        <f t="shared" si="0"/>
        <v>0</v>
      </c>
      <c r="H49" s="18">
        <f>SUMIFS(线上订单!$F:$F,线上订单!$B:$B,美团日报!$C49)-SUMIFS(线上订单!$F:$F,线上订单!$B:$B,美团日报!$C49,线上订单!$D:$D,"美团")-SUMIFS(线上订单!$F:$F,线上订单!$B:$B,美团日报!$C49,线上订单!$D:$D,"饿了么")</f>
        <v>0</v>
      </c>
      <c r="I49" s="18">
        <f>SUMIFS(线上订单!$F:$F,线上订单!$B:$B,美团日报!$C49)-SUMIFS(线上订单!$F:$F,线上订单!$B:$B,美团日报!$C49,线上订单!$D:$D,"美团")-SUMIFS(线上订单!$F:$F,线上订单!$B:$B,美团日报!$C49,线上订单!$D:$D,"饿了么")</f>
        <v>0</v>
      </c>
      <c r="J49" s="21">
        <f t="shared" si="1"/>
        <v>0</v>
      </c>
      <c r="K49" s="22" t="e">
        <f t="shared" si="2"/>
        <v>#REF!</v>
      </c>
      <c r="L49" s="19" t="e">
        <f>SUMIFS(#REF!,#REF!,美团日报!$C$2,#REF!,"秒达")</f>
        <v>#REF!</v>
      </c>
      <c r="M49" s="23"/>
      <c r="N49" s="23"/>
      <c r="O49" s="22" t="e">
        <f t="shared" si="3"/>
        <v>#REF!</v>
      </c>
      <c r="P49" s="19" t="e">
        <f>SUMIFS(#REF!,#REF!,美团日报!$C49,#REF!,"秒达")</f>
        <v>#REF!</v>
      </c>
      <c r="Q49" s="23"/>
      <c r="R49" s="23"/>
      <c r="S49" s="22" t="e">
        <f t="shared" si="4"/>
        <v>#REF!</v>
      </c>
      <c r="T49" s="19" t="e">
        <f>SUMIFS(#REF!,#REF!,美团日报!$C49,#REF!,"O2O")</f>
        <v>#REF!</v>
      </c>
      <c r="U49" s="22" t="e">
        <f t="shared" si="5"/>
        <v>#REF!</v>
      </c>
      <c r="V49" s="19" t="e">
        <f>SUMIFS(#REF!,#REF!,美团日报!$C49,#REF!,"O2O")</f>
        <v>#REF!</v>
      </c>
      <c r="W49" s="24" t="s">
        <v>13</v>
      </c>
    </row>
    <row r="50" ht="14.4" spans="1:23">
      <c r="A50" s="16" t="s">
        <v>48</v>
      </c>
      <c r="B50" s="16" t="s">
        <v>83</v>
      </c>
      <c r="C50" s="16">
        <v>8668</v>
      </c>
      <c r="D50" s="16" t="s">
        <v>166</v>
      </c>
      <c r="E50" s="18">
        <f>_xlfn.IFNA(VLOOKUP(C:C,线上线下销售!B:D,3,0),0)</f>
        <v>4905.8484</v>
      </c>
      <c r="F50" s="18">
        <f>SUMIFS(线上订单!$E:$E,线上订单!$B:$B,美团日报!$C50)-SUMIFS(线上订单!$E:$E,线上订单!$B:$B,美团日报!$C50,线上订单!$D:$D,"美团")-SUMIFS(线上订单!$E:$E,线上订单!$B:$B,美团日报!$C50,线上订单!$D:$D,"饿了么")</f>
        <v>74.6902654867299</v>
      </c>
      <c r="G50" s="19">
        <f t="shared" si="0"/>
        <v>0.0152247398200747</v>
      </c>
      <c r="H50" s="18">
        <f>SUMIFS(线上订单!$F:$F,线上订单!$B:$B,美团日报!$C50)-SUMIFS(线上订单!$F:$F,线上订单!$B:$B,美团日报!$C50,线上订单!$D:$D,"美团")-SUMIFS(线上订单!$F:$F,线上订单!$B:$B,美团日报!$C50,线上订单!$D:$D,"饿了么")</f>
        <v>1</v>
      </c>
      <c r="I50" s="18">
        <f>SUMIFS(线上订单!$F:$F,线上订单!$B:$B,美团日报!$C50)-SUMIFS(线上订单!$F:$F,线上订单!$B:$B,美团日报!$C50,线上订单!$D:$D,"美团")-SUMIFS(线上订单!$F:$F,线上订单!$B:$B,美团日报!$C50,线上订单!$D:$D,"饿了么")</f>
        <v>1</v>
      </c>
      <c r="J50" s="21">
        <f t="shared" si="1"/>
        <v>74.6902654867299</v>
      </c>
      <c r="K50" s="22" t="e">
        <f t="shared" si="2"/>
        <v>#REF!</v>
      </c>
      <c r="L50" s="19" t="e">
        <f>SUMIFS(#REF!,#REF!,美团日报!$C$2,#REF!,"秒达")</f>
        <v>#REF!</v>
      </c>
      <c r="M50" s="23"/>
      <c r="N50" s="23"/>
      <c r="O50" s="22" t="e">
        <f t="shared" si="3"/>
        <v>#REF!</v>
      </c>
      <c r="P50" s="19" t="e">
        <f>SUMIFS(#REF!,#REF!,美团日报!$C50,#REF!,"秒达")</f>
        <v>#REF!</v>
      </c>
      <c r="Q50" s="23"/>
      <c r="R50" s="23"/>
      <c r="S50" s="22" t="e">
        <f t="shared" si="4"/>
        <v>#REF!</v>
      </c>
      <c r="T50" s="19" t="e">
        <f>SUMIFS(#REF!,#REF!,美团日报!$C50,#REF!,"O2O")</f>
        <v>#REF!</v>
      </c>
      <c r="U50" s="22" t="e">
        <f t="shared" si="5"/>
        <v>#REF!</v>
      </c>
      <c r="V50" s="19" t="e">
        <f>SUMIFS(#REF!,#REF!,美团日报!$C50,#REF!,"O2O")</f>
        <v>#REF!</v>
      </c>
      <c r="W50" s="24" t="s">
        <v>13</v>
      </c>
    </row>
    <row r="51" ht="14.4" spans="1:23">
      <c r="A51" s="16" t="s">
        <v>63</v>
      </c>
      <c r="B51" s="16" t="s">
        <v>168</v>
      </c>
      <c r="C51" s="16">
        <v>8680</v>
      </c>
      <c r="D51" s="16" t="s">
        <v>169</v>
      </c>
      <c r="E51" s="18">
        <f>_xlfn.IFNA(VLOOKUP(C:C,线上线下销售!B:D,3,0),0)</f>
        <v>6415.0378</v>
      </c>
      <c r="F51" s="18">
        <f>SUMIFS(线上订单!$E:$E,线上订单!$B:$B,美团日报!$C51)-SUMIFS(线上订单!$E:$E,线上订单!$B:$B,美团日报!$C51,线上订单!$D:$D,"美团")-SUMIFS(线上订单!$E:$E,线上订单!$B:$B,美团日报!$C51,线上订单!$D:$D,"饿了么")</f>
        <v>250.61946902651</v>
      </c>
      <c r="G51" s="19">
        <f t="shared" si="0"/>
        <v>0.0390674968472532</v>
      </c>
      <c r="H51" s="18">
        <f>SUMIFS(线上订单!$F:$F,线上订单!$B:$B,美团日报!$C51)-SUMIFS(线上订单!$F:$F,线上订单!$B:$B,美团日报!$C51,线上订单!$D:$D,"美团")-SUMIFS(线上订单!$F:$F,线上订单!$B:$B,美团日报!$C51,线上订单!$D:$D,"饿了么")</f>
        <v>7</v>
      </c>
      <c r="I51" s="18">
        <f>SUMIFS(线上订单!$F:$F,线上订单!$B:$B,美团日报!$C51)-SUMIFS(线上订单!$F:$F,线上订单!$B:$B,美团日报!$C51,线上订单!$D:$D,"美团")-SUMIFS(线上订单!$F:$F,线上订单!$B:$B,美团日报!$C51,线上订单!$D:$D,"饿了么")</f>
        <v>7</v>
      </c>
      <c r="J51" s="21">
        <f t="shared" si="1"/>
        <v>35.8027812895014</v>
      </c>
      <c r="K51" s="22" t="e">
        <f t="shared" si="2"/>
        <v>#REF!</v>
      </c>
      <c r="L51" s="19" t="e">
        <f>SUMIFS(#REF!,#REF!,美团日报!$C$2,#REF!,"秒达")</f>
        <v>#REF!</v>
      </c>
      <c r="M51" s="23"/>
      <c r="N51" s="23"/>
      <c r="O51" s="22" t="e">
        <f t="shared" si="3"/>
        <v>#REF!</v>
      </c>
      <c r="P51" s="19" t="e">
        <f>SUMIFS(#REF!,#REF!,美团日报!$C51,#REF!,"秒达")</f>
        <v>#REF!</v>
      </c>
      <c r="Q51" s="23"/>
      <c r="R51" s="23"/>
      <c r="S51" s="22" t="e">
        <f t="shared" si="4"/>
        <v>#REF!</v>
      </c>
      <c r="T51" s="19" t="e">
        <f>SUMIFS(#REF!,#REF!,美团日报!$C51,#REF!,"O2O")</f>
        <v>#REF!</v>
      </c>
      <c r="U51" s="22" t="e">
        <f t="shared" si="5"/>
        <v>#REF!</v>
      </c>
      <c r="V51" s="19" t="e">
        <f>SUMIFS(#REF!,#REF!,美团日报!$C51,#REF!,"O2O")</f>
        <v>#REF!</v>
      </c>
      <c r="W51" s="24" t="s">
        <v>13</v>
      </c>
    </row>
    <row r="52" ht="14.4" spans="1:23">
      <c r="A52" s="16" t="s">
        <v>56</v>
      </c>
      <c r="B52" s="16" t="s">
        <v>52</v>
      </c>
      <c r="C52" s="16">
        <v>8681</v>
      </c>
      <c r="D52" s="16" t="s">
        <v>171</v>
      </c>
      <c r="E52" s="18">
        <f>_xlfn.IFNA(VLOOKUP(C:C,线上线下销售!B:D,3,0),0)</f>
        <v>10859.0732</v>
      </c>
      <c r="F52" s="18">
        <f>SUMIFS(线上订单!$E:$E,线上订单!$B:$B,美团日报!$C52)-SUMIFS(线上订单!$E:$E,线上订单!$B:$B,美团日报!$C52,线上订单!$D:$D,"美团")-SUMIFS(线上订单!$E:$E,线上订单!$B:$B,美团日报!$C52,线上订单!$D:$D,"饿了么")</f>
        <v>1628.07964601767</v>
      </c>
      <c r="G52" s="19">
        <f t="shared" si="0"/>
        <v>0.149928047820662</v>
      </c>
      <c r="H52" s="18">
        <f>SUMIFS(线上订单!$F:$F,线上订单!$B:$B,美团日报!$C52)-SUMIFS(线上订单!$F:$F,线上订单!$B:$B,美团日报!$C52,线上订单!$D:$D,"美团")-SUMIFS(线上订单!$F:$F,线上订单!$B:$B,美团日报!$C52,线上订单!$D:$D,"饿了么")</f>
        <v>53</v>
      </c>
      <c r="I52" s="18">
        <f>SUMIFS(线上订单!$F:$F,线上订单!$B:$B,美团日报!$C52)-SUMIFS(线上订单!$F:$F,线上订单!$B:$B,美团日报!$C52,线上订单!$D:$D,"美团")-SUMIFS(线上订单!$F:$F,线上订单!$B:$B,美团日报!$C52,线上订单!$D:$D,"饿了么")</f>
        <v>53</v>
      </c>
      <c r="J52" s="21">
        <f t="shared" si="1"/>
        <v>30.7184838871258</v>
      </c>
      <c r="K52" s="22" t="e">
        <f t="shared" si="2"/>
        <v>#REF!</v>
      </c>
      <c r="L52" s="19" t="e">
        <f>SUMIFS(#REF!,#REF!,美团日报!$C$2,#REF!,"秒达")</f>
        <v>#REF!</v>
      </c>
      <c r="M52" s="23"/>
      <c r="N52" s="23"/>
      <c r="O52" s="22" t="e">
        <f t="shared" si="3"/>
        <v>#REF!</v>
      </c>
      <c r="P52" s="19" t="e">
        <f>SUMIFS(#REF!,#REF!,美团日报!$C52,#REF!,"秒达")</f>
        <v>#REF!</v>
      </c>
      <c r="Q52" s="23"/>
      <c r="R52" s="23"/>
      <c r="S52" s="22" t="e">
        <f t="shared" si="4"/>
        <v>#REF!</v>
      </c>
      <c r="T52" s="19" t="e">
        <f>SUMIFS(#REF!,#REF!,美团日报!$C52,#REF!,"O2O")</f>
        <v>#REF!</v>
      </c>
      <c r="U52" s="22" t="e">
        <f t="shared" si="5"/>
        <v>#REF!</v>
      </c>
      <c r="V52" s="19" t="e">
        <f>SUMIFS(#REF!,#REF!,美团日报!$C52,#REF!,"O2O")</f>
        <v>#REF!</v>
      </c>
      <c r="W52" s="24" t="s">
        <v>13</v>
      </c>
    </row>
    <row r="53" ht="14.4" spans="1:23">
      <c r="A53" s="16" t="s">
        <v>56</v>
      </c>
      <c r="B53" s="16" t="s">
        <v>73</v>
      </c>
      <c r="C53" s="16">
        <v>8663</v>
      </c>
      <c r="D53" s="16" t="s">
        <v>173</v>
      </c>
      <c r="E53" s="18">
        <f>_xlfn.IFNA(VLOOKUP(C:C,线上线下销售!B:D,3,0),0)</f>
        <v>0</v>
      </c>
      <c r="F53" s="18">
        <f>SUMIFS(线上订单!$E:$E,线上订单!$B:$B,美团日报!$C53)-SUMIFS(线上订单!$E:$E,线上订单!$B:$B,美团日报!$C53,线上订单!$D:$D,"美团")-SUMIFS(线上订单!$E:$E,线上订单!$B:$B,美团日报!$C53,线上订单!$D:$D,"饿了么")</f>
        <v>0</v>
      </c>
      <c r="G53" s="19">
        <f t="shared" si="0"/>
        <v>0</v>
      </c>
      <c r="H53" s="18">
        <f>SUMIFS(线上订单!$F:$F,线上订单!$B:$B,美团日报!$C53)-SUMIFS(线上订单!$F:$F,线上订单!$B:$B,美团日报!$C53,线上订单!$D:$D,"美团")-SUMIFS(线上订单!$F:$F,线上订单!$B:$B,美团日报!$C53,线上订单!$D:$D,"饿了么")</f>
        <v>0</v>
      </c>
      <c r="I53" s="18">
        <f>SUMIFS(线上订单!$F:$F,线上订单!$B:$B,美团日报!$C53)-SUMIFS(线上订单!$F:$F,线上订单!$B:$B,美团日报!$C53,线上订单!$D:$D,"美团")-SUMIFS(线上订单!$F:$F,线上订单!$B:$B,美团日报!$C53,线上订单!$D:$D,"饿了么")</f>
        <v>0</v>
      </c>
      <c r="J53" s="21">
        <f t="shared" si="1"/>
        <v>0</v>
      </c>
      <c r="K53" s="22" t="e">
        <f t="shared" si="2"/>
        <v>#REF!</v>
      </c>
      <c r="L53" s="19" t="e">
        <f>SUMIFS(#REF!,#REF!,美团日报!$C$2,#REF!,"秒达")</f>
        <v>#REF!</v>
      </c>
      <c r="M53" s="23"/>
      <c r="N53" s="23"/>
      <c r="O53" s="22" t="e">
        <f t="shared" si="3"/>
        <v>#REF!</v>
      </c>
      <c r="P53" s="19" t="e">
        <f>SUMIFS(#REF!,#REF!,美团日报!$C53,#REF!,"秒达")</f>
        <v>#REF!</v>
      </c>
      <c r="Q53" s="23"/>
      <c r="R53" s="23"/>
      <c r="S53" s="22" t="e">
        <f t="shared" si="4"/>
        <v>#REF!</v>
      </c>
      <c r="T53" s="19" t="e">
        <f>SUMIFS(#REF!,#REF!,美团日报!$C53,#REF!,"O2O")</f>
        <v>#REF!</v>
      </c>
      <c r="U53" s="22" t="e">
        <f t="shared" si="5"/>
        <v>#REF!</v>
      </c>
      <c r="V53" s="19" t="e">
        <f>SUMIFS(#REF!,#REF!,美团日报!$C53,#REF!,"O2O")</f>
        <v>#REF!</v>
      </c>
      <c r="W53" s="24" t="s">
        <v>13</v>
      </c>
    </row>
    <row r="54" ht="14.4" spans="1:23">
      <c r="A54" s="16" t="s">
        <v>63</v>
      </c>
      <c r="B54" s="16" t="s">
        <v>168</v>
      </c>
      <c r="C54" s="16">
        <v>8664</v>
      </c>
      <c r="D54" s="16" t="s">
        <v>175</v>
      </c>
      <c r="E54" s="18">
        <f>_xlfn.IFNA(VLOOKUP(C:C,线上线下销售!B:D,3,0),0)</f>
        <v>13719.6431</v>
      </c>
      <c r="F54" s="18">
        <f>SUMIFS(线上订单!$E:$E,线上订单!$B:$B,美团日报!$C54)-SUMIFS(线上订单!$E:$E,线上订单!$B:$B,美团日报!$C54,线上订单!$D:$D,"美团")-SUMIFS(线上订单!$E:$E,线上订单!$B:$B,美团日报!$C54,线上订单!$D:$D,"饿了么")</f>
        <v>199.02654867254</v>
      </c>
      <c r="G54" s="19">
        <f t="shared" si="0"/>
        <v>0.0145066855764302</v>
      </c>
      <c r="H54" s="18">
        <f>SUMIFS(线上订单!$F:$F,线上订单!$B:$B,美团日报!$C54)-SUMIFS(线上订单!$F:$F,线上订单!$B:$B,美团日报!$C54,线上订单!$D:$D,"美团")-SUMIFS(线上订单!$F:$F,线上订单!$B:$B,美团日报!$C54,线上订单!$D:$D,"饿了么")</f>
        <v>10</v>
      </c>
      <c r="I54" s="18">
        <f>SUMIFS(线上订单!$F:$F,线上订单!$B:$B,美团日报!$C54)-SUMIFS(线上订单!$F:$F,线上订单!$B:$B,美团日报!$C54,线上订单!$D:$D,"美团")-SUMIFS(线上订单!$F:$F,线上订单!$B:$B,美团日报!$C54,线上订单!$D:$D,"饿了么")</f>
        <v>10</v>
      </c>
      <c r="J54" s="21">
        <f t="shared" si="1"/>
        <v>19.902654867254</v>
      </c>
      <c r="K54" s="22" t="e">
        <f t="shared" si="2"/>
        <v>#REF!</v>
      </c>
      <c r="L54" s="19" t="e">
        <f>SUMIFS(#REF!,#REF!,美团日报!$C$2,#REF!,"秒达")</f>
        <v>#REF!</v>
      </c>
      <c r="M54" s="23"/>
      <c r="N54" s="23"/>
      <c r="O54" s="22" t="e">
        <f t="shared" si="3"/>
        <v>#REF!</v>
      </c>
      <c r="P54" s="19" t="e">
        <f>SUMIFS(#REF!,#REF!,美团日报!$C54,#REF!,"秒达")</f>
        <v>#REF!</v>
      </c>
      <c r="Q54" s="23"/>
      <c r="R54" s="23"/>
      <c r="S54" s="22" t="e">
        <f t="shared" si="4"/>
        <v>#REF!</v>
      </c>
      <c r="T54" s="19" t="e">
        <f>SUMIFS(#REF!,#REF!,美团日报!$C54,#REF!,"O2O")</f>
        <v>#REF!</v>
      </c>
      <c r="U54" s="22" t="e">
        <f t="shared" si="5"/>
        <v>#REF!</v>
      </c>
      <c r="V54" s="19" t="e">
        <f>SUMIFS(#REF!,#REF!,美团日报!$C54,#REF!,"O2O")</f>
        <v>#REF!</v>
      </c>
      <c r="W54" s="24" t="s">
        <v>13</v>
      </c>
    </row>
    <row r="55" ht="14.4" spans="1:23">
      <c r="A55" s="16" t="s">
        <v>56</v>
      </c>
      <c r="B55" s="16" t="s">
        <v>118</v>
      </c>
      <c r="C55" s="16">
        <v>8652</v>
      </c>
      <c r="D55" s="16" t="s">
        <v>177</v>
      </c>
      <c r="E55" s="18">
        <f>_xlfn.IFNA(VLOOKUP(C:C,线上线下销售!B:D,3,0),0)</f>
        <v>0</v>
      </c>
      <c r="F55" s="18">
        <f>SUMIFS(线上订单!$E:$E,线上订单!$B:$B,美团日报!$C55)-SUMIFS(线上订单!$E:$E,线上订单!$B:$B,美团日报!$C55,线上订单!$D:$D,"美团")-SUMIFS(线上订单!$E:$E,线上订单!$B:$B,美团日报!$C55,线上订单!$D:$D,"饿了么")</f>
        <v>0</v>
      </c>
      <c r="G55" s="19">
        <f t="shared" si="0"/>
        <v>0</v>
      </c>
      <c r="H55" s="18">
        <f>SUMIFS(线上订单!$F:$F,线上订单!$B:$B,美团日报!$C55)-SUMIFS(线上订单!$F:$F,线上订单!$B:$B,美团日报!$C55,线上订单!$D:$D,"美团")-SUMIFS(线上订单!$F:$F,线上订单!$B:$B,美团日报!$C55,线上订单!$D:$D,"饿了么")</f>
        <v>0</v>
      </c>
      <c r="I55" s="18">
        <f>SUMIFS(线上订单!$F:$F,线上订单!$B:$B,美团日报!$C55)-SUMIFS(线上订单!$F:$F,线上订单!$B:$B,美团日报!$C55,线上订单!$D:$D,"美团")-SUMIFS(线上订单!$F:$F,线上订单!$B:$B,美团日报!$C55,线上订单!$D:$D,"饿了么")</f>
        <v>0</v>
      </c>
      <c r="J55" s="21">
        <f t="shared" si="1"/>
        <v>0</v>
      </c>
      <c r="K55" s="22" t="e">
        <f t="shared" si="2"/>
        <v>#REF!</v>
      </c>
      <c r="L55" s="19" t="e">
        <f>SUMIFS(#REF!,#REF!,美团日报!$C$2,#REF!,"秒达")</f>
        <v>#REF!</v>
      </c>
      <c r="M55" s="23"/>
      <c r="N55" s="23"/>
      <c r="O55" s="22" t="e">
        <f t="shared" si="3"/>
        <v>#REF!</v>
      </c>
      <c r="P55" s="19" t="e">
        <f>SUMIFS(#REF!,#REF!,美团日报!$C55,#REF!,"秒达")</f>
        <v>#REF!</v>
      </c>
      <c r="Q55" s="23"/>
      <c r="R55" s="23"/>
      <c r="S55" s="22" t="e">
        <f t="shared" si="4"/>
        <v>#REF!</v>
      </c>
      <c r="T55" s="19" t="e">
        <f>SUMIFS(#REF!,#REF!,美团日报!$C55,#REF!,"O2O")</f>
        <v>#REF!</v>
      </c>
      <c r="U55" s="22" t="e">
        <f t="shared" si="5"/>
        <v>#REF!</v>
      </c>
      <c r="V55" s="19" t="e">
        <f>SUMIFS(#REF!,#REF!,美团日报!$C55,#REF!,"O2O")</f>
        <v>#REF!</v>
      </c>
      <c r="W55" s="24" t="s">
        <v>13</v>
      </c>
    </row>
    <row r="56" ht="14.4" spans="1:23">
      <c r="A56" s="16" t="s">
        <v>43</v>
      </c>
      <c r="B56" s="16" t="s">
        <v>143</v>
      </c>
      <c r="C56" s="16">
        <v>8632</v>
      </c>
      <c r="D56" s="16" t="s">
        <v>179</v>
      </c>
      <c r="E56" s="18">
        <f>_xlfn.IFNA(VLOOKUP(C:C,线上线下销售!B:D,3,0),0)</f>
        <v>8313.4658</v>
      </c>
      <c r="F56" s="18">
        <f>SUMIFS(线上订单!$E:$E,线上订单!$B:$B,美团日报!$C56)-SUMIFS(线上订单!$E:$E,线上订单!$B:$B,美团日报!$C56,线上订单!$D:$D,"美团")-SUMIFS(线上订单!$E:$E,线上订单!$B:$B,美团日报!$C56,线上订单!$D:$D,"饿了么")</f>
        <v>289.36031501177</v>
      </c>
      <c r="G56" s="19">
        <f t="shared" si="0"/>
        <v>0.0348062194484243</v>
      </c>
      <c r="H56" s="18">
        <f>SUMIFS(线上订单!$F:$F,线上订单!$B:$B,美团日报!$C56)-SUMIFS(线上订单!$F:$F,线上订单!$B:$B,美团日报!$C56,线上订单!$D:$D,"美团")-SUMIFS(线上订单!$F:$F,线上订单!$B:$B,美团日报!$C56,线上订单!$D:$D,"饿了么")</f>
        <v>7</v>
      </c>
      <c r="I56" s="18">
        <f>SUMIFS(线上订单!$F:$F,线上订单!$B:$B,美团日报!$C56)-SUMIFS(线上订单!$F:$F,线上订单!$B:$B,美团日报!$C56,线上订单!$D:$D,"美团")-SUMIFS(线上订单!$F:$F,线上订单!$B:$B,美团日报!$C56,线上订单!$D:$D,"饿了么")</f>
        <v>7</v>
      </c>
      <c r="J56" s="21">
        <f t="shared" si="1"/>
        <v>41.3371878588243</v>
      </c>
      <c r="K56" s="22" t="e">
        <f t="shared" si="2"/>
        <v>#REF!</v>
      </c>
      <c r="L56" s="19" t="e">
        <f>SUMIFS(#REF!,#REF!,美团日报!$C$2,#REF!,"秒达")</f>
        <v>#REF!</v>
      </c>
      <c r="M56" s="23"/>
      <c r="N56" s="23"/>
      <c r="O56" s="22" t="e">
        <f t="shared" si="3"/>
        <v>#REF!</v>
      </c>
      <c r="P56" s="19" t="e">
        <f>SUMIFS(#REF!,#REF!,美团日报!$C56,#REF!,"秒达")</f>
        <v>#REF!</v>
      </c>
      <c r="Q56" s="23"/>
      <c r="R56" s="23"/>
      <c r="S56" s="22" t="e">
        <f t="shared" si="4"/>
        <v>#REF!</v>
      </c>
      <c r="T56" s="19" t="e">
        <f>SUMIFS(#REF!,#REF!,美团日报!$C56,#REF!,"O2O")</f>
        <v>#REF!</v>
      </c>
      <c r="U56" s="22" t="e">
        <f t="shared" si="5"/>
        <v>#REF!</v>
      </c>
      <c r="V56" s="19" t="e">
        <f>SUMIFS(#REF!,#REF!,美团日报!$C56,#REF!,"O2O")</f>
        <v>#REF!</v>
      </c>
      <c r="W56" s="24" t="s">
        <v>13</v>
      </c>
    </row>
    <row r="57" ht="14.4" spans="1:23">
      <c r="A57" s="16" t="s">
        <v>43</v>
      </c>
      <c r="B57" s="16" t="s">
        <v>161</v>
      </c>
      <c r="C57" s="16">
        <v>8678</v>
      </c>
      <c r="D57" s="16" t="s">
        <v>181</v>
      </c>
      <c r="E57" s="18">
        <f>_xlfn.IFNA(VLOOKUP(C:C,线上线下销售!B:D,3,0),0)</f>
        <v>6175.2973</v>
      </c>
      <c r="F57" s="18">
        <f>SUMIFS(线上订单!$E:$E,线上订单!$B:$B,美团日报!$C57)-SUMIFS(线上订单!$E:$E,线上订单!$B:$B,美团日报!$C57,线上订单!$D:$D,"美团")-SUMIFS(线上订单!$E:$E,线上订单!$B:$B,美团日报!$C57,线上订单!$D:$D,"饿了么")</f>
        <v>29.5575221238903</v>
      </c>
      <c r="G57" s="19">
        <f t="shared" si="0"/>
        <v>0.00478641281349973</v>
      </c>
      <c r="H57" s="18">
        <f>SUMIFS(线上订单!$F:$F,线上订单!$B:$B,美团日报!$C57)-SUMIFS(线上订单!$F:$F,线上订单!$B:$B,美团日报!$C57,线上订单!$D:$D,"美团")-SUMIFS(线上订单!$F:$F,线上订单!$B:$B,美团日报!$C57,线上订单!$D:$D,"饿了么")</f>
        <v>1</v>
      </c>
      <c r="I57" s="18">
        <f>SUMIFS(线上订单!$F:$F,线上订单!$B:$B,美团日报!$C57)-SUMIFS(线上订单!$F:$F,线上订单!$B:$B,美团日报!$C57,线上订单!$D:$D,"美团")-SUMIFS(线上订单!$F:$F,线上订单!$B:$B,美团日报!$C57,线上订单!$D:$D,"饿了么")</f>
        <v>1</v>
      </c>
      <c r="J57" s="21">
        <f t="shared" si="1"/>
        <v>29.5575221238903</v>
      </c>
      <c r="K57" s="22" t="e">
        <f t="shared" si="2"/>
        <v>#REF!</v>
      </c>
      <c r="L57" s="19" t="e">
        <f>SUMIFS(#REF!,#REF!,美团日报!$C$2,#REF!,"秒达")</f>
        <v>#REF!</v>
      </c>
      <c r="M57" s="23"/>
      <c r="N57" s="23"/>
      <c r="O57" s="22" t="e">
        <f t="shared" si="3"/>
        <v>#REF!</v>
      </c>
      <c r="P57" s="19" t="e">
        <f>SUMIFS(#REF!,#REF!,美团日报!$C57,#REF!,"秒达")</f>
        <v>#REF!</v>
      </c>
      <c r="Q57" s="23"/>
      <c r="R57" s="23"/>
      <c r="S57" s="22" t="e">
        <f t="shared" si="4"/>
        <v>#REF!</v>
      </c>
      <c r="T57" s="19" t="e">
        <f>SUMIFS(#REF!,#REF!,美团日报!$C57,#REF!,"O2O")</f>
        <v>#REF!</v>
      </c>
      <c r="U57" s="22" t="e">
        <f t="shared" si="5"/>
        <v>#REF!</v>
      </c>
      <c r="V57" s="19" t="e">
        <f>SUMIFS(#REF!,#REF!,美团日报!$C57,#REF!,"O2O")</f>
        <v>#REF!</v>
      </c>
      <c r="W57" s="24" t="s">
        <v>13</v>
      </c>
    </row>
    <row r="58" ht="14.4" spans="1:23">
      <c r="A58" s="16" t="s">
        <v>48</v>
      </c>
      <c r="B58" s="16" t="s">
        <v>64</v>
      </c>
      <c r="C58" s="16">
        <v>8684</v>
      </c>
      <c r="D58" s="16" t="s">
        <v>183</v>
      </c>
      <c r="E58" s="18">
        <f>_xlfn.IFNA(VLOOKUP(C:C,线上线下销售!B:D,3,0),0)</f>
        <v>8032.1862</v>
      </c>
      <c r="F58" s="18">
        <f>SUMIFS(线上订单!$E:$E,线上订单!$B:$B,美团日报!$C58)-SUMIFS(线上订单!$E:$E,线上订单!$B:$B,美团日报!$C58,线上订单!$D:$D,"美团")-SUMIFS(线上订单!$E:$E,线上订单!$B:$B,美团日报!$C58,线上订单!$D:$D,"饿了么")</f>
        <v>105.82300884953</v>
      </c>
      <c r="G58" s="19">
        <f t="shared" si="0"/>
        <v>0.0131748699811678</v>
      </c>
      <c r="H58" s="18">
        <f>SUMIFS(线上订单!$F:$F,线上订单!$B:$B,美团日报!$C58)-SUMIFS(线上订单!$F:$F,线上订单!$B:$B,美团日报!$C58,线上订单!$D:$D,"美团")-SUMIFS(线上订单!$F:$F,线上订单!$B:$B,美团日报!$C58,线上订单!$D:$D,"饿了么")</f>
        <v>3</v>
      </c>
      <c r="I58" s="18">
        <f>SUMIFS(线上订单!$F:$F,线上订单!$B:$B,美团日报!$C58)-SUMIFS(线上订单!$F:$F,线上订单!$B:$B,美团日报!$C58,线上订单!$D:$D,"美团")-SUMIFS(线上订单!$F:$F,线上订单!$B:$B,美团日报!$C58,线上订单!$D:$D,"饿了么")</f>
        <v>3</v>
      </c>
      <c r="J58" s="21">
        <f t="shared" si="1"/>
        <v>35.2743362831767</v>
      </c>
      <c r="K58" s="22" t="e">
        <f t="shared" si="2"/>
        <v>#REF!</v>
      </c>
      <c r="L58" s="19" t="e">
        <f>SUMIFS(#REF!,#REF!,美团日报!$C$2,#REF!,"秒达")</f>
        <v>#REF!</v>
      </c>
      <c r="M58" s="23"/>
      <c r="N58" s="23"/>
      <c r="O58" s="22" t="e">
        <f t="shared" si="3"/>
        <v>#REF!</v>
      </c>
      <c r="P58" s="19" t="e">
        <f>SUMIFS(#REF!,#REF!,美团日报!$C58,#REF!,"秒达")</f>
        <v>#REF!</v>
      </c>
      <c r="Q58" s="23"/>
      <c r="R58" s="23"/>
      <c r="S58" s="22" t="e">
        <f t="shared" si="4"/>
        <v>#REF!</v>
      </c>
      <c r="T58" s="19" t="e">
        <f>SUMIFS(#REF!,#REF!,美团日报!$C58,#REF!,"O2O")</f>
        <v>#REF!</v>
      </c>
      <c r="U58" s="22" t="e">
        <f t="shared" si="5"/>
        <v>#REF!</v>
      </c>
      <c r="V58" s="19" t="e">
        <f>SUMIFS(#REF!,#REF!,美团日报!$C58,#REF!,"O2O")</f>
        <v>#REF!</v>
      </c>
      <c r="W58" s="24" t="s">
        <v>13</v>
      </c>
    </row>
    <row r="59" ht="14.4" spans="1:23">
      <c r="A59" s="16" t="s">
        <v>63</v>
      </c>
      <c r="B59" s="16" t="s">
        <v>168</v>
      </c>
      <c r="C59" s="16">
        <v>8687</v>
      </c>
      <c r="D59" s="16" t="s">
        <v>185</v>
      </c>
      <c r="E59" s="18">
        <f>_xlfn.IFNA(VLOOKUP(C:C,线上线下销售!B:D,3,0),0)</f>
        <v>7746.6434</v>
      </c>
      <c r="F59" s="18">
        <f>SUMIFS(线上订单!$E:$E,线上订单!$B:$B,美团日报!$C59)-SUMIFS(线上订单!$E:$E,线上订单!$B:$B,美团日报!$C59,线上订单!$D:$D,"美团")-SUMIFS(线上订单!$E:$E,线上订单!$B:$B,美团日报!$C59,线上订单!$D:$D,"饿了么")</f>
        <v>149.20353982296</v>
      </c>
      <c r="G59" s="19">
        <f t="shared" si="0"/>
        <v>0.0192604115251981</v>
      </c>
      <c r="H59" s="18">
        <f>SUMIFS(线上订单!$F:$F,线上订单!$B:$B,美团日报!$C59)-SUMIFS(线上订单!$F:$F,线上订单!$B:$B,美团日报!$C59,线上订单!$D:$D,"美团")-SUMIFS(线上订单!$F:$F,线上订单!$B:$B,美团日报!$C59,线上订单!$D:$D,"饿了么")</f>
        <v>5</v>
      </c>
      <c r="I59" s="18">
        <f>SUMIFS(线上订单!$F:$F,线上订单!$B:$B,美团日报!$C59)-SUMIFS(线上订单!$F:$F,线上订单!$B:$B,美团日报!$C59,线上订单!$D:$D,"美团")-SUMIFS(线上订单!$F:$F,线上订单!$B:$B,美团日报!$C59,线上订单!$D:$D,"饿了么")</f>
        <v>5</v>
      </c>
      <c r="J59" s="21">
        <f t="shared" si="1"/>
        <v>29.840707964592</v>
      </c>
      <c r="K59" s="22" t="e">
        <f t="shared" si="2"/>
        <v>#REF!</v>
      </c>
      <c r="L59" s="19" t="e">
        <f>SUMIFS(#REF!,#REF!,美团日报!$C$2,#REF!,"秒达")</f>
        <v>#REF!</v>
      </c>
      <c r="M59" s="23"/>
      <c r="N59" s="23"/>
      <c r="O59" s="22" t="e">
        <f t="shared" si="3"/>
        <v>#REF!</v>
      </c>
      <c r="P59" s="19" t="e">
        <f>SUMIFS(#REF!,#REF!,美团日报!$C59,#REF!,"秒达")</f>
        <v>#REF!</v>
      </c>
      <c r="Q59" s="23"/>
      <c r="R59" s="23"/>
      <c r="S59" s="22" t="e">
        <f t="shared" si="4"/>
        <v>#REF!</v>
      </c>
      <c r="T59" s="19" t="e">
        <f>SUMIFS(#REF!,#REF!,美团日报!$C59,#REF!,"O2O")</f>
        <v>#REF!</v>
      </c>
      <c r="U59" s="22" t="e">
        <f t="shared" si="5"/>
        <v>#REF!</v>
      </c>
      <c r="V59" s="19" t="e">
        <f>SUMIFS(#REF!,#REF!,美团日报!$C59,#REF!,"O2O")</f>
        <v>#REF!</v>
      </c>
      <c r="W59" s="24" t="s">
        <v>13</v>
      </c>
    </row>
    <row r="60" ht="14.4" spans="1:23">
      <c r="A60" s="16" t="s">
        <v>48</v>
      </c>
      <c r="B60" s="16" t="s">
        <v>111</v>
      </c>
      <c r="C60" s="16">
        <v>8692</v>
      </c>
      <c r="D60" s="16" t="s">
        <v>187</v>
      </c>
      <c r="E60" s="18">
        <f>_xlfn.IFNA(VLOOKUP(C:C,线上线下销售!B:D,3,0),0)</f>
        <v>11005.8161</v>
      </c>
      <c r="F60" s="18">
        <f>SUMIFS(线上订单!$E:$E,线上订单!$B:$B,美团日报!$C60)-SUMIFS(线上订单!$E:$E,线上订单!$B:$B,美团日报!$C60,线上订单!$D:$D,"美团")-SUMIFS(线上订单!$E:$E,线上订单!$B:$B,美团日报!$C60,线上订单!$D:$D,"饿了么")</f>
        <v>173.69026548673</v>
      </c>
      <c r="G60" s="19">
        <f t="shared" si="0"/>
        <v>0.0157816797871745</v>
      </c>
      <c r="H60" s="18">
        <f>SUMIFS(线上订单!$F:$F,线上订单!$B:$B,美团日报!$C60)-SUMIFS(线上订单!$F:$F,线上订单!$B:$B,美团日报!$C60,线上订单!$D:$D,"美团")-SUMIFS(线上订单!$F:$F,线上订单!$B:$B,美团日报!$C60,线上订单!$D:$D,"饿了么")</f>
        <v>5</v>
      </c>
      <c r="I60" s="18">
        <f>SUMIFS(线上订单!$F:$F,线上订单!$B:$B,美团日报!$C60)-SUMIFS(线上订单!$F:$F,线上订单!$B:$B,美团日报!$C60,线上订单!$D:$D,"美团")-SUMIFS(线上订单!$F:$F,线上订单!$B:$B,美团日报!$C60,线上订单!$D:$D,"饿了么")</f>
        <v>5</v>
      </c>
      <c r="J60" s="21">
        <f t="shared" si="1"/>
        <v>34.738053097346</v>
      </c>
      <c r="K60" s="22" t="e">
        <f t="shared" si="2"/>
        <v>#REF!</v>
      </c>
      <c r="L60" s="19" t="e">
        <f>SUMIFS(#REF!,#REF!,美团日报!$C$2,#REF!,"秒达")</f>
        <v>#REF!</v>
      </c>
      <c r="M60" s="23"/>
      <c r="N60" s="23"/>
      <c r="O60" s="22" t="e">
        <f t="shared" si="3"/>
        <v>#REF!</v>
      </c>
      <c r="P60" s="19" t="e">
        <f>SUMIFS(#REF!,#REF!,美团日报!$C60,#REF!,"秒达")</f>
        <v>#REF!</v>
      </c>
      <c r="Q60" s="23"/>
      <c r="R60" s="23"/>
      <c r="S60" s="22" t="e">
        <f t="shared" si="4"/>
        <v>#REF!</v>
      </c>
      <c r="T60" s="19" t="e">
        <f>SUMIFS(#REF!,#REF!,美团日报!$C60,#REF!,"O2O")</f>
        <v>#REF!</v>
      </c>
      <c r="U60" s="22" t="e">
        <f t="shared" si="5"/>
        <v>#REF!</v>
      </c>
      <c r="V60" s="19" t="e">
        <f>SUMIFS(#REF!,#REF!,美团日报!$C60,#REF!,"O2O")</f>
        <v>#REF!</v>
      </c>
      <c r="W60" s="24" t="s">
        <v>13</v>
      </c>
    </row>
    <row r="61" ht="14.4" spans="1:23">
      <c r="A61" s="16" t="s">
        <v>56</v>
      </c>
      <c r="B61" s="16" t="s">
        <v>73</v>
      </c>
      <c r="C61" s="16">
        <v>8670</v>
      </c>
      <c r="D61" s="16" t="s">
        <v>189</v>
      </c>
      <c r="E61" s="18">
        <f>_xlfn.IFNA(VLOOKUP(C:C,线上线下销售!B:D,3,0),0)</f>
        <v>0</v>
      </c>
      <c r="F61" s="18">
        <f>SUMIFS(线上订单!$E:$E,线上订单!$B:$B,美团日报!$C61)-SUMIFS(线上订单!$E:$E,线上订单!$B:$B,美团日报!$C61,线上订单!$D:$D,"美团")-SUMIFS(线上订单!$E:$E,线上订单!$B:$B,美团日报!$C61,线上订单!$D:$D,"饿了么")</f>
        <v>0</v>
      </c>
      <c r="G61" s="19">
        <f t="shared" si="0"/>
        <v>0</v>
      </c>
      <c r="H61" s="18">
        <f>SUMIFS(线上订单!$F:$F,线上订单!$B:$B,美团日报!$C61)-SUMIFS(线上订单!$F:$F,线上订单!$B:$B,美团日报!$C61,线上订单!$D:$D,"美团")-SUMIFS(线上订单!$F:$F,线上订单!$B:$B,美团日报!$C61,线上订单!$D:$D,"饿了么")</f>
        <v>0</v>
      </c>
      <c r="I61" s="18">
        <f>SUMIFS(线上订单!$F:$F,线上订单!$B:$B,美团日报!$C61)-SUMIFS(线上订单!$F:$F,线上订单!$B:$B,美团日报!$C61,线上订单!$D:$D,"美团")-SUMIFS(线上订单!$F:$F,线上订单!$B:$B,美团日报!$C61,线上订单!$D:$D,"饿了么")</f>
        <v>0</v>
      </c>
      <c r="J61" s="21">
        <f t="shared" si="1"/>
        <v>0</v>
      </c>
      <c r="K61" s="22" t="e">
        <f t="shared" si="2"/>
        <v>#REF!</v>
      </c>
      <c r="L61" s="19" t="e">
        <f>SUMIFS(#REF!,#REF!,美团日报!$C$2,#REF!,"秒达")</f>
        <v>#REF!</v>
      </c>
      <c r="M61" s="23"/>
      <c r="N61" s="23"/>
      <c r="O61" s="22" t="e">
        <f t="shared" si="3"/>
        <v>#REF!</v>
      </c>
      <c r="P61" s="19" t="e">
        <f>SUMIFS(#REF!,#REF!,美团日报!$C61,#REF!,"秒达")</f>
        <v>#REF!</v>
      </c>
      <c r="Q61" s="23"/>
      <c r="R61" s="23"/>
      <c r="S61" s="22" t="e">
        <f t="shared" si="4"/>
        <v>#REF!</v>
      </c>
      <c r="T61" s="19" t="e">
        <f>SUMIFS(#REF!,#REF!,美团日报!$C61,#REF!,"O2O")</f>
        <v>#REF!</v>
      </c>
      <c r="U61" s="22" t="e">
        <f t="shared" si="5"/>
        <v>#REF!</v>
      </c>
      <c r="V61" s="19" t="e">
        <f>SUMIFS(#REF!,#REF!,美团日报!$C61,#REF!,"O2O")</f>
        <v>#REF!</v>
      </c>
      <c r="W61" s="24" t="s">
        <v>13</v>
      </c>
    </row>
    <row r="62" ht="14.4" spans="1:23">
      <c r="A62" s="16" t="s">
        <v>63</v>
      </c>
      <c r="B62" s="16" t="s">
        <v>86</v>
      </c>
      <c r="C62" s="16">
        <v>8682</v>
      </c>
      <c r="D62" s="16" t="s">
        <v>191</v>
      </c>
      <c r="E62" s="18">
        <f>_xlfn.IFNA(VLOOKUP(C:C,线上线下销售!B:D,3,0),0)</f>
        <v>6403.0207</v>
      </c>
      <c r="F62" s="18">
        <f>SUMIFS(线上订单!$E:$E,线上订单!$B:$B,美团日报!$C62)-SUMIFS(线上订单!$E:$E,线上订单!$B:$B,美团日报!$C62,线上订单!$D:$D,"美团")-SUMIFS(线上订单!$E:$E,线上订单!$B:$B,美团日报!$C62,线上订单!$D:$D,"饿了么")</f>
        <v>323.94950069007</v>
      </c>
      <c r="G62" s="19">
        <f t="shared" si="0"/>
        <v>0.0505932302686558</v>
      </c>
      <c r="H62" s="18">
        <f>SUMIFS(线上订单!$F:$F,线上订单!$B:$B,美团日报!$C62)-SUMIFS(线上订单!$F:$F,线上订单!$B:$B,美团日报!$C62,线上订单!$D:$D,"美团")-SUMIFS(线上订单!$F:$F,线上订单!$B:$B,美团日报!$C62,线上订单!$D:$D,"饿了么")</f>
        <v>3</v>
      </c>
      <c r="I62" s="18">
        <f>SUMIFS(线上订单!$F:$F,线上订单!$B:$B,美团日报!$C62)-SUMIFS(线上订单!$F:$F,线上订单!$B:$B,美团日报!$C62,线上订单!$D:$D,"美团")-SUMIFS(线上订单!$F:$F,线上订单!$B:$B,美团日报!$C62,线上订单!$D:$D,"饿了么")</f>
        <v>3</v>
      </c>
      <c r="J62" s="21">
        <f t="shared" si="1"/>
        <v>107.98316689669</v>
      </c>
      <c r="K62" s="22" t="e">
        <f t="shared" si="2"/>
        <v>#REF!</v>
      </c>
      <c r="L62" s="19" t="e">
        <f>SUMIFS(#REF!,#REF!,美团日报!$C$2,#REF!,"秒达")</f>
        <v>#REF!</v>
      </c>
      <c r="M62" s="23"/>
      <c r="N62" s="23"/>
      <c r="O62" s="22" t="e">
        <f t="shared" si="3"/>
        <v>#REF!</v>
      </c>
      <c r="P62" s="19" t="e">
        <f>SUMIFS(#REF!,#REF!,美团日报!$C62,#REF!,"秒达")</f>
        <v>#REF!</v>
      </c>
      <c r="Q62" s="23"/>
      <c r="R62" s="23"/>
      <c r="S62" s="22" t="e">
        <f t="shared" si="4"/>
        <v>#REF!</v>
      </c>
      <c r="T62" s="19" t="e">
        <f>SUMIFS(#REF!,#REF!,美团日报!$C62,#REF!,"O2O")</f>
        <v>#REF!</v>
      </c>
      <c r="U62" s="22" t="e">
        <f t="shared" si="5"/>
        <v>#REF!</v>
      </c>
      <c r="V62" s="19" t="e">
        <f>SUMIFS(#REF!,#REF!,美团日报!$C62,#REF!,"O2O")</f>
        <v>#REF!</v>
      </c>
      <c r="W62" s="24" t="s">
        <v>13</v>
      </c>
    </row>
    <row r="63" ht="14.4" spans="1:23">
      <c r="A63" s="16" t="s">
        <v>43</v>
      </c>
      <c r="B63" s="16" t="s">
        <v>575</v>
      </c>
      <c r="C63" s="16">
        <v>8686</v>
      </c>
      <c r="D63" s="16" t="s">
        <v>193</v>
      </c>
      <c r="E63" s="18">
        <f>_xlfn.IFNA(VLOOKUP(C:C,线上线下销售!B:D,3,0),0)</f>
        <v>4748.7726</v>
      </c>
      <c r="F63" s="18">
        <f>SUMIFS(线上订单!$E:$E,线上订单!$B:$B,美团日报!$C63)-SUMIFS(线上订单!$E:$E,线上订单!$B:$B,美团日报!$C63,线上订单!$D:$D,"美团")-SUMIFS(线上订单!$E:$E,线上订单!$B:$B,美团日报!$C63,线上订单!$D:$D,"饿了么")</f>
        <v>167.610619469</v>
      </c>
      <c r="G63" s="19">
        <f t="shared" si="0"/>
        <v>0.0352955665784038</v>
      </c>
      <c r="H63" s="18">
        <f>SUMIFS(线上订单!$F:$F,线上订单!$B:$B,美团日报!$C63)-SUMIFS(线上订单!$F:$F,线上订单!$B:$B,美团日报!$C63,线上订单!$D:$D,"美团")-SUMIFS(线上订单!$F:$F,线上订单!$B:$B,美团日报!$C63,线上订单!$D:$D,"饿了么")</f>
        <v>3</v>
      </c>
      <c r="I63" s="18">
        <f>SUMIFS(线上订单!$F:$F,线上订单!$B:$B,美团日报!$C63)-SUMIFS(线上订单!$F:$F,线上订单!$B:$B,美团日报!$C63,线上订单!$D:$D,"美团")-SUMIFS(线上订单!$F:$F,线上订单!$B:$B,美团日报!$C63,线上订单!$D:$D,"饿了么")</f>
        <v>3</v>
      </c>
      <c r="J63" s="21">
        <f t="shared" si="1"/>
        <v>55.8702064896666</v>
      </c>
      <c r="K63" s="22" t="e">
        <f t="shared" si="2"/>
        <v>#REF!</v>
      </c>
      <c r="L63" s="19" t="e">
        <f>SUMIFS(#REF!,#REF!,美团日报!$C$2,#REF!,"秒达")</f>
        <v>#REF!</v>
      </c>
      <c r="M63" s="23"/>
      <c r="N63" s="23"/>
      <c r="O63" s="22" t="e">
        <f t="shared" si="3"/>
        <v>#REF!</v>
      </c>
      <c r="P63" s="19" t="e">
        <f>SUMIFS(#REF!,#REF!,美团日报!$C63,#REF!,"秒达")</f>
        <v>#REF!</v>
      </c>
      <c r="Q63" s="23"/>
      <c r="R63" s="23"/>
      <c r="S63" s="22" t="e">
        <f t="shared" si="4"/>
        <v>#REF!</v>
      </c>
      <c r="T63" s="19" t="e">
        <f>SUMIFS(#REF!,#REF!,美团日报!$C63,#REF!,"O2O")</f>
        <v>#REF!</v>
      </c>
      <c r="U63" s="22" t="e">
        <f t="shared" si="5"/>
        <v>#REF!</v>
      </c>
      <c r="V63" s="19" t="e">
        <f>SUMIFS(#REF!,#REF!,美团日报!$C63,#REF!,"O2O")</f>
        <v>#REF!</v>
      </c>
      <c r="W63" s="24" t="s">
        <v>13</v>
      </c>
    </row>
    <row r="64" ht="14.4" spans="1:23">
      <c r="A64" s="16" t="s">
        <v>63</v>
      </c>
      <c r="B64" s="16" t="s">
        <v>152</v>
      </c>
      <c r="C64" s="16">
        <v>8694</v>
      </c>
      <c r="D64" s="16" t="s">
        <v>195</v>
      </c>
      <c r="E64" s="18">
        <f>_xlfn.IFNA(VLOOKUP(C:C,线上线下销售!B:D,3,0),0)</f>
        <v>7822.9249</v>
      </c>
      <c r="F64" s="18">
        <f>SUMIFS(线上订单!$E:$E,线上订单!$B:$B,美团日报!$C64)-SUMIFS(线上订单!$E:$E,线上订单!$B:$B,美团日报!$C64,线上订单!$D:$D,"美团")-SUMIFS(线上订单!$E:$E,线上订单!$B:$B,美团日报!$C64,线上订单!$D:$D,"饿了么")</f>
        <v>359.80108792723</v>
      </c>
      <c r="G64" s="19">
        <f t="shared" si="0"/>
        <v>0.0459931665619377</v>
      </c>
      <c r="H64" s="18">
        <f>SUMIFS(线上订单!$F:$F,线上订单!$B:$B,美团日报!$C64)-SUMIFS(线上订单!$F:$F,线上订单!$B:$B,美团日报!$C64,线上订单!$D:$D,"美团")-SUMIFS(线上订单!$F:$F,线上订单!$B:$B,美团日报!$C64,线上订单!$D:$D,"饿了么")</f>
        <v>7</v>
      </c>
      <c r="I64" s="18">
        <f>SUMIFS(线上订单!$F:$F,线上订单!$B:$B,美团日报!$C64)-SUMIFS(线上订单!$F:$F,线上订单!$B:$B,美团日报!$C64,线上订单!$D:$D,"美团")-SUMIFS(线上订单!$F:$F,线上订单!$B:$B,美团日报!$C64,线上订单!$D:$D,"饿了么")</f>
        <v>7</v>
      </c>
      <c r="J64" s="21">
        <f t="shared" si="1"/>
        <v>51.4001554181757</v>
      </c>
      <c r="K64" s="22" t="e">
        <f t="shared" ref="K64:K117" si="6">H64*L64</f>
        <v>#REF!</v>
      </c>
      <c r="L64" s="19" t="e">
        <f>SUMIFS(#REF!,#REF!,美团日报!$C$2,#REF!,"秒达")</f>
        <v>#REF!</v>
      </c>
      <c r="M64" s="23"/>
      <c r="N64" s="23"/>
      <c r="O64" s="22" t="e">
        <f t="shared" ref="O64:O117" si="7">H64*(1-P64)</f>
        <v>#REF!</v>
      </c>
      <c r="P64" s="19" t="e">
        <f>SUMIFS(#REF!,#REF!,美团日报!$C64,#REF!,"秒达")</f>
        <v>#REF!</v>
      </c>
      <c r="Q64" s="23"/>
      <c r="R64" s="23"/>
      <c r="S64" s="22" t="e">
        <f t="shared" ref="S64:S117" si="8">H64*T64</f>
        <v>#REF!</v>
      </c>
      <c r="T64" s="19" t="e">
        <f>SUMIFS(#REF!,#REF!,美团日报!$C64,#REF!,"O2O")</f>
        <v>#REF!</v>
      </c>
      <c r="U64" s="22" t="e">
        <f t="shared" ref="U64:U117" si="9">H64*V64</f>
        <v>#REF!</v>
      </c>
      <c r="V64" s="19" t="e">
        <f>SUMIFS(#REF!,#REF!,美团日报!$C64,#REF!,"O2O")</f>
        <v>#REF!</v>
      </c>
      <c r="W64" s="24" t="s">
        <v>13</v>
      </c>
    </row>
    <row r="65" ht="14.4" spans="1:23">
      <c r="A65" s="16" t="s">
        <v>43</v>
      </c>
      <c r="B65" s="16" t="s">
        <v>143</v>
      </c>
      <c r="C65" s="16">
        <v>8646</v>
      </c>
      <c r="D65" s="16" t="s">
        <v>197</v>
      </c>
      <c r="E65" s="18">
        <f>_xlfn.IFNA(VLOOKUP(C:C,线上线下销售!B:D,3,0),0)</f>
        <v>8105.9535</v>
      </c>
      <c r="F65" s="18">
        <f>SUMIFS(线上订单!$E:$E,线上订单!$B:$B,美团日报!$C65)-SUMIFS(线上订单!$E:$E,线上订单!$B:$B,美团日报!$C65,线上订单!$D:$D,"美团")-SUMIFS(线上订单!$E:$E,线上订单!$B:$B,美团日报!$C65,线上订单!$D:$D,"饿了么")</f>
        <v>252.75083218318</v>
      </c>
      <c r="G65" s="19">
        <f t="shared" si="0"/>
        <v>0.0311808884893282</v>
      </c>
      <c r="H65" s="18">
        <f>SUMIFS(线上订单!$F:$F,线上订单!$B:$B,美团日报!$C65)-SUMIFS(线上订单!$F:$F,线上订单!$B:$B,美团日报!$C65,线上订单!$D:$D,"美团")-SUMIFS(线上订单!$F:$F,线上订单!$B:$B,美团日报!$C65,线上订单!$D:$D,"饿了么")</f>
        <v>4</v>
      </c>
      <c r="I65" s="18">
        <f>SUMIFS(线上订单!$F:$F,线上订单!$B:$B,美团日报!$C65)-SUMIFS(线上订单!$F:$F,线上订单!$B:$B,美团日报!$C65,线上订单!$D:$D,"美团")-SUMIFS(线上订单!$F:$F,线上订单!$B:$B,美团日报!$C65,线上订单!$D:$D,"饿了么")</f>
        <v>4</v>
      </c>
      <c r="J65" s="21">
        <f t="shared" si="1"/>
        <v>63.187708045795</v>
      </c>
      <c r="K65" s="22" t="e">
        <f t="shared" si="6"/>
        <v>#REF!</v>
      </c>
      <c r="L65" s="19" t="e">
        <f>SUMIFS(#REF!,#REF!,美团日报!$C$2,#REF!,"秒达")</f>
        <v>#REF!</v>
      </c>
      <c r="M65" s="23"/>
      <c r="N65" s="23"/>
      <c r="O65" s="22" t="e">
        <f t="shared" si="7"/>
        <v>#REF!</v>
      </c>
      <c r="P65" s="19" t="e">
        <f>SUMIFS(#REF!,#REF!,美团日报!$C65,#REF!,"秒达")</f>
        <v>#REF!</v>
      </c>
      <c r="Q65" s="23"/>
      <c r="R65" s="23"/>
      <c r="S65" s="22" t="e">
        <f t="shared" si="8"/>
        <v>#REF!</v>
      </c>
      <c r="T65" s="19" t="e">
        <f>SUMIFS(#REF!,#REF!,美团日报!$C65,#REF!,"O2O")</f>
        <v>#REF!</v>
      </c>
      <c r="U65" s="22" t="e">
        <f t="shared" si="9"/>
        <v>#REF!</v>
      </c>
      <c r="V65" s="19" t="e">
        <f>SUMIFS(#REF!,#REF!,美团日报!$C65,#REF!,"O2O")</f>
        <v>#REF!</v>
      </c>
      <c r="W65" s="24" t="s">
        <v>13</v>
      </c>
    </row>
    <row r="66" ht="14.4" spans="1:23">
      <c r="A66" s="16" t="s">
        <v>56</v>
      </c>
      <c r="B66" s="16" t="s">
        <v>52</v>
      </c>
      <c r="C66" s="16">
        <v>8691</v>
      </c>
      <c r="D66" s="16" t="s">
        <v>199</v>
      </c>
      <c r="E66" s="18">
        <f>_xlfn.IFNA(VLOOKUP(C:C,线上线下销售!B:D,3,0),0)</f>
        <v>7912.9107</v>
      </c>
      <c r="F66" s="18">
        <f>SUMIFS(线上订单!$E:$E,线上订单!$B:$B,美团日报!$C66)-SUMIFS(线上订单!$E:$E,线上订单!$B:$B,美团日报!$C66,线上订单!$D:$D,"美团")-SUMIFS(线上订单!$E:$E,线上订单!$B:$B,美团日报!$C66,线上订单!$D:$D,"饿了么")</f>
        <v>786.53251603465</v>
      </c>
      <c r="G66" s="19">
        <f t="shared" si="0"/>
        <v>0.099398634188384</v>
      </c>
      <c r="H66" s="18">
        <f>SUMIFS(线上订单!$F:$F,线上订单!$B:$B,美团日报!$C66)-SUMIFS(线上订单!$F:$F,线上订单!$B:$B,美团日报!$C66,线上订单!$D:$D,"美团")-SUMIFS(线上订单!$F:$F,线上订单!$B:$B,美团日报!$C66,线上订单!$D:$D,"饿了么")</f>
        <v>21</v>
      </c>
      <c r="I66" s="18">
        <f>SUMIFS(线上订单!$F:$F,线上订单!$B:$B,美团日报!$C66)-SUMIFS(线上订单!$F:$F,线上订单!$B:$B,美团日报!$C66,线上订单!$D:$D,"美团")-SUMIFS(线上订单!$F:$F,线上订单!$B:$B,美团日报!$C66,线上订单!$D:$D,"饿了么")</f>
        <v>21</v>
      </c>
      <c r="J66" s="21">
        <f t="shared" si="1"/>
        <v>37.4539293349833</v>
      </c>
      <c r="K66" s="22" t="e">
        <f t="shared" si="6"/>
        <v>#REF!</v>
      </c>
      <c r="L66" s="19" t="e">
        <f>SUMIFS(#REF!,#REF!,美团日报!$C$2,#REF!,"秒达")</f>
        <v>#REF!</v>
      </c>
      <c r="M66" s="23"/>
      <c r="N66" s="23"/>
      <c r="O66" s="22" t="e">
        <f t="shared" si="7"/>
        <v>#REF!</v>
      </c>
      <c r="P66" s="19" t="e">
        <f>SUMIFS(#REF!,#REF!,美团日报!$C66,#REF!,"秒达")</f>
        <v>#REF!</v>
      </c>
      <c r="Q66" s="23"/>
      <c r="R66" s="23"/>
      <c r="S66" s="22" t="e">
        <f t="shared" si="8"/>
        <v>#REF!</v>
      </c>
      <c r="T66" s="19" t="e">
        <f>SUMIFS(#REF!,#REF!,美团日报!$C66,#REF!,"O2O")</f>
        <v>#REF!</v>
      </c>
      <c r="U66" s="22" t="e">
        <f t="shared" si="9"/>
        <v>#REF!</v>
      </c>
      <c r="V66" s="19" t="e">
        <f>SUMIFS(#REF!,#REF!,美团日报!$C66,#REF!,"O2O")</f>
        <v>#REF!</v>
      </c>
      <c r="W66" s="24" t="s">
        <v>13</v>
      </c>
    </row>
    <row r="67" ht="14.4" spans="1:23">
      <c r="A67" s="16" t="s">
        <v>56</v>
      </c>
      <c r="B67" s="16" t="s">
        <v>573</v>
      </c>
      <c r="C67" s="16">
        <v>8695</v>
      </c>
      <c r="D67" s="16" t="s">
        <v>201</v>
      </c>
      <c r="E67" s="18">
        <f>_xlfn.IFNA(VLOOKUP(C:C,线上线下销售!B:D,3,0),0)</f>
        <v>7163.393</v>
      </c>
      <c r="F67" s="18">
        <f>SUMIFS(线上订单!$E:$E,线上订单!$B:$B,美团日报!$C67)-SUMIFS(线上订单!$E:$E,线上订单!$B:$B,美团日报!$C67,线上订单!$D:$D,"美团")-SUMIFS(线上订单!$E:$E,线上订单!$B:$B,美团日报!$C67,线上订单!$D:$D,"饿了么")</f>
        <v>363.53982300884</v>
      </c>
      <c r="G67" s="19">
        <f t="shared" ref="G67:G130" si="10">IFERROR(F67/E67,0%)</f>
        <v>0.0507496689081333</v>
      </c>
      <c r="H67" s="18">
        <f>SUMIFS(线上订单!$F:$F,线上订单!$B:$B,美团日报!$C67)-SUMIFS(线上订单!$F:$F,线上订单!$B:$B,美团日报!$C67,线上订单!$D:$D,"美团")-SUMIFS(线上订单!$F:$F,线上订单!$B:$B,美团日报!$C67,线上订单!$D:$D,"饿了么")</f>
        <v>8</v>
      </c>
      <c r="I67" s="18">
        <f>SUMIFS(线上订单!$F:$F,线上订单!$B:$B,美团日报!$C67)-SUMIFS(线上订单!$F:$F,线上订单!$B:$B,美团日报!$C67,线上订单!$D:$D,"美团")-SUMIFS(线上订单!$F:$F,线上订单!$B:$B,美团日报!$C67,线上订单!$D:$D,"饿了么")</f>
        <v>8</v>
      </c>
      <c r="J67" s="21">
        <f t="shared" ref="J67:J130" si="11">IFERROR(F67/I67,0)</f>
        <v>45.442477876105</v>
      </c>
      <c r="K67" s="22" t="e">
        <f t="shared" si="6"/>
        <v>#REF!</v>
      </c>
      <c r="L67" s="19" t="e">
        <f>SUMIFS(#REF!,#REF!,美团日报!$C$2,#REF!,"秒达")</f>
        <v>#REF!</v>
      </c>
      <c r="M67" s="23"/>
      <c r="N67" s="23"/>
      <c r="O67" s="22" t="e">
        <f t="shared" si="7"/>
        <v>#REF!</v>
      </c>
      <c r="P67" s="19" t="e">
        <f>SUMIFS(#REF!,#REF!,美团日报!$C67,#REF!,"秒达")</f>
        <v>#REF!</v>
      </c>
      <c r="Q67" s="23"/>
      <c r="R67" s="23"/>
      <c r="S67" s="22" t="e">
        <f t="shared" si="8"/>
        <v>#REF!</v>
      </c>
      <c r="T67" s="19" t="e">
        <f>SUMIFS(#REF!,#REF!,美团日报!$C67,#REF!,"O2O")</f>
        <v>#REF!</v>
      </c>
      <c r="U67" s="22" t="e">
        <f t="shared" si="9"/>
        <v>#REF!</v>
      </c>
      <c r="V67" s="19" t="e">
        <f>SUMIFS(#REF!,#REF!,美团日报!$C67,#REF!,"O2O")</f>
        <v>#REF!</v>
      </c>
      <c r="W67" s="24" t="s">
        <v>13</v>
      </c>
    </row>
    <row r="68" ht="14.4" spans="1:23">
      <c r="A68" s="16" t="s">
        <v>43</v>
      </c>
      <c r="B68" s="16" t="s">
        <v>575</v>
      </c>
      <c r="C68" s="16">
        <v>8707</v>
      </c>
      <c r="D68" s="16" t="s">
        <v>203</v>
      </c>
      <c r="E68" s="18">
        <f>_xlfn.IFNA(VLOOKUP(C:C,线上线下销售!B:D,3,0),0)</f>
        <v>7379.6535</v>
      </c>
      <c r="F68" s="18">
        <f>SUMIFS(线上订单!$E:$E,线上订单!$B:$B,美团日报!$C68)-SUMIFS(线上订单!$E:$E,线上订单!$B:$B,美团日报!$C68,线上订单!$D:$D,"美团")-SUMIFS(线上订单!$E:$E,线上订单!$B:$B,美团日报!$C68,线上订单!$D:$D,"饿了么")</f>
        <v>239.6460176991</v>
      </c>
      <c r="G68" s="19">
        <f t="shared" si="10"/>
        <v>0.0324738848103234</v>
      </c>
      <c r="H68" s="18">
        <f>SUMIFS(线上订单!$F:$F,线上订单!$B:$B,美团日报!$C68)-SUMIFS(线上订单!$F:$F,线上订单!$B:$B,美团日报!$C68,线上订单!$D:$D,"美团")-SUMIFS(线上订单!$F:$F,线上订单!$B:$B,美团日报!$C68,线上订单!$D:$D,"饿了么")</f>
        <v>6</v>
      </c>
      <c r="I68" s="18">
        <f>SUMIFS(线上订单!$F:$F,线上订单!$B:$B,美团日报!$C68)-SUMIFS(线上订单!$F:$F,线上订单!$B:$B,美团日报!$C68,线上订单!$D:$D,"美团")-SUMIFS(线上订单!$F:$F,线上订单!$B:$B,美团日报!$C68,线上订单!$D:$D,"饿了么")</f>
        <v>6</v>
      </c>
      <c r="J68" s="21">
        <f t="shared" si="11"/>
        <v>39.94100294985</v>
      </c>
      <c r="K68" s="22" t="e">
        <f t="shared" si="6"/>
        <v>#REF!</v>
      </c>
      <c r="L68" s="19" t="e">
        <f>SUMIFS(#REF!,#REF!,美团日报!$C$2,#REF!,"秒达")</f>
        <v>#REF!</v>
      </c>
      <c r="M68" s="23"/>
      <c r="N68" s="23"/>
      <c r="O68" s="22" t="e">
        <f t="shared" si="7"/>
        <v>#REF!</v>
      </c>
      <c r="P68" s="19" t="e">
        <f>SUMIFS(#REF!,#REF!,美团日报!$C68,#REF!,"秒达")</f>
        <v>#REF!</v>
      </c>
      <c r="Q68" s="23"/>
      <c r="R68" s="23"/>
      <c r="S68" s="22" t="e">
        <f t="shared" si="8"/>
        <v>#REF!</v>
      </c>
      <c r="T68" s="19" t="e">
        <f>SUMIFS(#REF!,#REF!,美团日报!$C68,#REF!,"O2O")</f>
        <v>#REF!</v>
      </c>
      <c r="U68" s="22" t="e">
        <f t="shared" si="9"/>
        <v>#REF!</v>
      </c>
      <c r="V68" s="19" t="e">
        <f>SUMIFS(#REF!,#REF!,美团日报!$C68,#REF!,"O2O")</f>
        <v>#REF!</v>
      </c>
      <c r="W68" s="24" t="s">
        <v>13</v>
      </c>
    </row>
    <row r="69" ht="14.4" spans="1:23">
      <c r="A69" s="16" t="s">
        <v>43</v>
      </c>
      <c r="B69" s="16" t="s">
        <v>38</v>
      </c>
      <c r="C69" s="16">
        <v>8685</v>
      </c>
      <c r="D69" s="16" t="s">
        <v>205</v>
      </c>
      <c r="E69" s="18">
        <f>_xlfn.IFNA(VLOOKUP(C:C,线上线下销售!B:D,3,0),0)</f>
        <v>8375.6268</v>
      </c>
      <c r="F69" s="18">
        <f>SUMIFS(线上订单!$E:$E,线上订单!$B:$B,美团日报!$C69)-SUMIFS(线上订单!$E:$E,线上订单!$B:$B,美团日报!$C69,线上订单!$D:$D,"美团")-SUMIFS(线上订单!$E:$E,线上订单!$B:$B,美团日报!$C69,线上订单!$D:$D,"饿了么")</f>
        <v>91.9469026548597</v>
      </c>
      <c r="G69" s="19">
        <f t="shared" si="10"/>
        <v>0.0109779130386826</v>
      </c>
      <c r="H69" s="18">
        <f>SUMIFS(线上订单!$F:$F,线上订单!$B:$B,美团日报!$C69)-SUMIFS(线上订单!$F:$F,线上订单!$B:$B,美团日报!$C69,线上订单!$D:$D,"美团")-SUMIFS(线上订单!$F:$F,线上订单!$B:$B,美团日报!$C69,线上订单!$D:$D,"饿了么")</f>
        <v>2</v>
      </c>
      <c r="I69" s="18">
        <f>SUMIFS(线上订单!$F:$F,线上订单!$B:$B,美团日报!$C69)-SUMIFS(线上订单!$F:$F,线上订单!$B:$B,美团日报!$C69,线上订单!$D:$D,"美团")-SUMIFS(线上订单!$F:$F,线上订单!$B:$B,美团日报!$C69,线上订单!$D:$D,"饿了么")</f>
        <v>2</v>
      </c>
      <c r="J69" s="21">
        <f t="shared" si="11"/>
        <v>45.9734513274299</v>
      </c>
      <c r="K69" s="22" t="e">
        <f t="shared" si="6"/>
        <v>#REF!</v>
      </c>
      <c r="L69" s="19" t="e">
        <f>SUMIFS(#REF!,#REF!,美团日报!$C$2,#REF!,"秒达")</f>
        <v>#REF!</v>
      </c>
      <c r="M69" s="23"/>
      <c r="N69" s="23"/>
      <c r="O69" s="22" t="e">
        <f t="shared" si="7"/>
        <v>#REF!</v>
      </c>
      <c r="P69" s="19" t="e">
        <f>SUMIFS(#REF!,#REF!,美团日报!$C69,#REF!,"秒达")</f>
        <v>#REF!</v>
      </c>
      <c r="Q69" s="23"/>
      <c r="R69" s="23"/>
      <c r="S69" s="22" t="e">
        <f t="shared" si="8"/>
        <v>#REF!</v>
      </c>
      <c r="T69" s="19" t="e">
        <f>SUMIFS(#REF!,#REF!,美团日报!$C69,#REF!,"O2O")</f>
        <v>#REF!</v>
      </c>
      <c r="U69" s="22" t="e">
        <f t="shared" si="9"/>
        <v>#REF!</v>
      </c>
      <c r="V69" s="19" t="e">
        <f>SUMIFS(#REF!,#REF!,美团日报!$C69,#REF!,"O2O")</f>
        <v>#REF!</v>
      </c>
      <c r="W69" s="24" t="s">
        <v>13</v>
      </c>
    </row>
    <row r="70" ht="14.4" spans="1:23">
      <c r="A70" s="16" t="s">
        <v>48</v>
      </c>
      <c r="B70" s="16" t="s">
        <v>83</v>
      </c>
      <c r="C70" s="16">
        <v>8714</v>
      </c>
      <c r="D70" s="16" t="s">
        <v>207</v>
      </c>
      <c r="E70" s="18">
        <f>_xlfn.IFNA(VLOOKUP(C:C,线上线下销售!B:D,3,0),0)</f>
        <v>16540.2644</v>
      </c>
      <c r="F70" s="18">
        <f>SUMIFS(线上订单!$E:$E,线上订单!$B:$B,美团日报!$C70)-SUMIFS(线上订单!$E:$E,线上订单!$B:$B,美团日报!$C70,线上订单!$D:$D,"美团")-SUMIFS(线上订单!$E:$E,线上订单!$B:$B,美团日报!$C70,线上订单!$D:$D,"饿了么")</f>
        <v>334.97345132743</v>
      </c>
      <c r="G70" s="19">
        <f t="shared" si="10"/>
        <v>0.0202520010095746</v>
      </c>
      <c r="H70" s="18">
        <f>SUMIFS(线上订单!$F:$F,线上订单!$B:$B,美团日报!$C70)-SUMIFS(线上订单!$F:$F,线上订单!$B:$B,美团日报!$C70,线上订单!$D:$D,"美团")-SUMIFS(线上订单!$F:$F,线上订单!$B:$B,美团日报!$C70,线上订单!$D:$D,"饿了么")</f>
        <v>7</v>
      </c>
      <c r="I70" s="18">
        <f>SUMIFS(线上订单!$F:$F,线上订单!$B:$B,美团日报!$C70)-SUMIFS(线上订单!$F:$F,线上订单!$B:$B,美团日报!$C70,线上订单!$D:$D,"美团")-SUMIFS(线上订单!$F:$F,线上订单!$B:$B,美团日报!$C70,线上订单!$D:$D,"饿了么")</f>
        <v>7</v>
      </c>
      <c r="J70" s="21">
        <f t="shared" si="11"/>
        <v>47.8533501896329</v>
      </c>
      <c r="K70" s="22" t="e">
        <f t="shared" si="6"/>
        <v>#REF!</v>
      </c>
      <c r="L70" s="19" t="e">
        <f>SUMIFS(#REF!,#REF!,美团日报!$C$2,#REF!,"秒达")</f>
        <v>#REF!</v>
      </c>
      <c r="M70" s="23"/>
      <c r="N70" s="23"/>
      <c r="O70" s="22" t="e">
        <f t="shared" si="7"/>
        <v>#REF!</v>
      </c>
      <c r="P70" s="19" t="e">
        <f>SUMIFS(#REF!,#REF!,美团日报!$C70,#REF!,"秒达")</f>
        <v>#REF!</v>
      </c>
      <c r="Q70" s="23"/>
      <c r="R70" s="23"/>
      <c r="S70" s="22" t="e">
        <f t="shared" si="8"/>
        <v>#REF!</v>
      </c>
      <c r="T70" s="19" t="e">
        <f>SUMIFS(#REF!,#REF!,美团日报!$C70,#REF!,"O2O")</f>
        <v>#REF!</v>
      </c>
      <c r="U70" s="22" t="e">
        <f t="shared" si="9"/>
        <v>#REF!</v>
      </c>
      <c r="V70" s="19" t="e">
        <f>SUMIFS(#REF!,#REF!,美团日报!$C70,#REF!,"O2O")</f>
        <v>#REF!</v>
      </c>
      <c r="W70" s="24" t="s">
        <v>13</v>
      </c>
    </row>
    <row r="71" ht="14.4" spans="1:23">
      <c r="A71" s="16" t="s">
        <v>48</v>
      </c>
      <c r="B71" s="16" t="s">
        <v>89</v>
      </c>
      <c r="C71" s="16">
        <v>8701</v>
      </c>
      <c r="D71" s="16" t="s">
        <v>209</v>
      </c>
      <c r="E71" s="18">
        <f>_xlfn.IFNA(VLOOKUP(C:C,线上线下销售!B:D,3,0),0)</f>
        <v>0</v>
      </c>
      <c r="F71" s="18">
        <f>SUMIFS(线上订单!$E:$E,线上订单!$B:$B,美团日报!$C71)-SUMIFS(线上订单!$E:$E,线上订单!$B:$B,美团日报!$C71,线上订单!$D:$D,"美团")-SUMIFS(线上订单!$E:$E,线上订单!$B:$B,美团日报!$C71,线上订单!$D:$D,"饿了么")</f>
        <v>0</v>
      </c>
      <c r="G71" s="19">
        <f t="shared" si="10"/>
        <v>0</v>
      </c>
      <c r="H71" s="18">
        <f>SUMIFS(线上订单!$F:$F,线上订单!$B:$B,美团日报!$C71)-SUMIFS(线上订单!$F:$F,线上订单!$B:$B,美团日报!$C71,线上订单!$D:$D,"美团")-SUMIFS(线上订单!$F:$F,线上订单!$B:$B,美团日报!$C71,线上订单!$D:$D,"饿了么")</f>
        <v>0</v>
      </c>
      <c r="I71" s="18">
        <f>SUMIFS(线上订单!$F:$F,线上订单!$B:$B,美团日报!$C71)-SUMIFS(线上订单!$F:$F,线上订单!$B:$B,美团日报!$C71,线上订单!$D:$D,"美团")-SUMIFS(线上订单!$F:$F,线上订单!$B:$B,美团日报!$C71,线上订单!$D:$D,"饿了么")</f>
        <v>0</v>
      </c>
      <c r="J71" s="21">
        <f t="shared" si="11"/>
        <v>0</v>
      </c>
      <c r="K71" s="22" t="e">
        <f t="shared" si="6"/>
        <v>#REF!</v>
      </c>
      <c r="L71" s="19" t="e">
        <f>SUMIFS(#REF!,#REF!,美团日报!$C$2,#REF!,"秒达")</f>
        <v>#REF!</v>
      </c>
      <c r="M71" s="23"/>
      <c r="N71" s="23"/>
      <c r="O71" s="22" t="e">
        <f t="shared" si="7"/>
        <v>#REF!</v>
      </c>
      <c r="P71" s="19" t="e">
        <f>SUMIFS(#REF!,#REF!,美团日报!$C71,#REF!,"秒达")</f>
        <v>#REF!</v>
      </c>
      <c r="Q71" s="23"/>
      <c r="R71" s="23"/>
      <c r="S71" s="22" t="e">
        <f t="shared" si="8"/>
        <v>#REF!</v>
      </c>
      <c r="T71" s="19" t="e">
        <f>SUMIFS(#REF!,#REF!,美团日报!$C71,#REF!,"O2O")</f>
        <v>#REF!</v>
      </c>
      <c r="U71" s="22" t="e">
        <f t="shared" si="9"/>
        <v>#REF!</v>
      </c>
      <c r="V71" s="19" t="e">
        <f>SUMIFS(#REF!,#REF!,美团日报!$C71,#REF!,"O2O")</f>
        <v>#REF!</v>
      </c>
      <c r="W71" s="24" t="s">
        <v>13</v>
      </c>
    </row>
    <row r="72" ht="14.4" spans="1:23">
      <c r="A72" s="16" t="s">
        <v>63</v>
      </c>
      <c r="B72" s="16" t="s">
        <v>574</v>
      </c>
      <c r="C72" s="16">
        <v>8713</v>
      </c>
      <c r="D72" s="16" t="s">
        <v>211</v>
      </c>
      <c r="E72" s="18">
        <f>_xlfn.IFNA(VLOOKUP(C:C,线上线下销售!B:D,3,0),0)</f>
        <v>4320.8855</v>
      </c>
      <c r="F72" s="18">
        <f>SUMIFS(线上订单!$E:$E,线上订单!$B:$B,美团日报!$C72)-SUMIFS(线上订单!$E:$E,线上订单!$B:$B,美团日报!$C72,线上订单!$D:$D,"美团")-SUMIFS(线上订单!$E:$E,线上订单!$B:$B,美团日报!$C72,线上订单!$D:$D,"饿了么")</f>
        <v>516.01566939997</v>
      </c>
      <c r="G72" s="19">
        <f t="shared" si="10"/>
        <v>0.119423592548326</v>
      </c>
      <c r="H72" s="18">
        <f>SUMIFS(线上订单!$F:$F,线上订单!$B:$B,美团日报!$C72)-SUMIFS(线上订单!$F:$F,线上订单!$B:$B,美团日报!$C72,线上订单!$D:$D,"美团")-SUMIFS(线上订单!$F:$F,线上订单!$B:$B,美团日报!$C72,线上订单!$D:$D,"饿了么")</f>
        <v>20</v>
      </c>
      <c r="I72" s="18">
        <f>SUMIFS(线上订单!$F:$F,线上订单!$B:$B,美团日报!$C72)-SUMIFS(线上订单!$F:$F,线上订单!$B:$B,美团日报!$C72,线上订单!$D:$D,"美团")-SUMIFS(线上订单!$F:$F,线上订单!$B:$B,美团日报!$C72,线上订单!$D:$D,"饿了么")</f>
        <v>20</v>
      </c>
      <c r="J72" s="21">
        <f t="shared" si="11"/>
        <v>25.8007834699985</v>
      </c>
      <c r="K72" s="22" t="e">
        <f t="shared" si="6"/>
        <v>#REF!</v>
      </c>
      <c r="L72" s="19" t="e">
        <f>SUMIFS(#REF!,#REF!,美团日报!$C$2,#REF!,"秒达")</f>
        <v>#REF!</v>
      </c>
      <c r="M72" s="23"/>
      <c r="N72" s="23"/>
      <c r="O72" s="22" t="e">
        <f t="shared" si="7"/>
        <v>#REF!</v>
      </c>
      <c r="P72" s="19" t="e">
        <f>SUMIFS(#REF!,#REF!,美团日报!$C72,#REF!,"秒达")</f>
        <v>#REF!</v>
      </c>
      <c r="Q72" s="23"/>
      <c r="R72" s="23"/>
      <c r="S72" s="22" t="e">
        <f t="shared" si="8"/>
        <v>#REF!</v>
      </c>
      <c r="T72" s="19" t="e">
        <f>SUMIFS(#REF!,#REF!,美团日报!$C72,#REF!,"O2O")</f>
        <v>#REF!</v>
      </c>
      <c r="U72" s="22" t="e">
        <f t="shared" si="9"/>
        <v>#REF!</v>
      </c>
      <c r="V72" s="19" t="e">
        <f>SUMIFS(#REF!,#REF!,美团日报!$C72,#REF!,"O2O")</f>
        <v>#REF!</v>
      </c>
      <c r="W72" s="24" t="s">
        <v>13</v>
      </c>
    </row>
    <row r="73" ht="14.4" spans="1:23">
      <c r="A73" s="16" t="s">
        <v>56</v>
      </c>
      <c r="B73" s="16" t="s">
        <v>57</v>
      </c>
      <c r="C73" s="16">
        <v>8700</v>
      </c>
      <c r="D73" s="16" t="s">
        <v>213</v>
      </c>
      <c r="E73" s="18">
        <f>_xlfn.IFNA(VLOOKUP(C:C,线上线下销售!B:D,3,0),0)</f>
        <v>7394.6707</v>
      </c>
      <c r="F73" s="18">
        <f>SUMIFS(线上订单!$E:$E,线上订单!$B:$B,美团日报!$C73)-SUMIFS(线上订单!$E:$E,线上订单!$B:$B,美团日报!$C73,线上订单!$D:$D,"美团")-SUMIFS(线上订单!$E:$E,线上订单!$B:$B,美团日报!$C73,线上订单!$D:$D,"饿了么")</f>
        <v>65.88495575223</v>
      </c>
      <c r="G73" s="19">
        <f t="shared" si="10"/>
        <v>0.00890978901227204</v>
      </c>
      <c r="H73" s="18">
        <f>SUMIFS(线上订单!$F:$F,线上订单!$B:$B,美团日报!$C73)-SUMIFS(线上订单!$F:$F,线上订单!$B:$B,美团日报!$C73,线上订单!$D:$D,"美团")-SUMIFS(线上订单!$F:$F,线上订单!$B:$B,美团日报!$C73,线上订单!$D:$D,"饿了么")</f>
        <v>2</v>
      </c>
      <c r="I73" s="18">
        <f>SUMIFS(线上订单!$F:$F,线上订单!$B:$B,美团日报!$C73)-SUMIFS(线上订单!$F:$F,线上订单!$B:$B,美团日报!$C73,线上订单!$D:$D,"美团")-SUMIFS(线上订单!$F:$F,线上订单!$B:$B,美团日报!$C73,线上订单!$D:$D,"饿了么")</f>
        <v>2</v>
      </c>
      <c r="J73" s="21">
        <f t="shared" si="11"/>
        <v>32.942477876115</v>
      </c>
      <c r="K73" s="22" t="e">
        <f t="shared" si="6"/>
        <v>#REF!</v>
      </c>
      <c r="L73" s="19" t="e">
        <f>SUMIFS(#REF!,#REF!,美团日报!$C$2,#REF!,"秒达")</f>
        <v>#REF!</v>
      </c>
      <c r="M73" s="23"/>
      <c r="N73" s="23"/>
      <c r="O73" s="22" t="e">
        <f t="shared" si="7"/>
        <v>#REF!</v>
      </c>
      <c r="P73" s="19" t="e">
        <f>SUMIFS(#REF!,#REF!,美团日报!$C73,#REF!,"秒达")</f>
        <v>#REF!</v>
      </c>
      <c r="Q73" s="23"/>
      <c r="R73" s="23"/>
      <c r="S73" s="22" t="e">
        <f t="shared" si="8"/>
        <v>#REF!</v>
      </c>
      <c r="T73" s="19" t="e">
        <f>SUMIFS(#REF!,#REF!,美团日报!$C73,#REF!,"O2O")</f>
        <v>#REF!</v>
      </c>
      <c r="U73" s="22" t="e">
        <f t="shared" si="9"/>
        <v>#REF!</v>
      </c>
      <c r="V73" s="19" t="e">
        <f>SUMIFS(#REF!,#REF!,美团日报!$C73,#REF!,"O2O")</f>
        <v>#REF!</v>
      </c>
      <c r="W73" s="24" t="s">
        <v>13</v>
      </c>
    </row>
    <row r="74" ht="14.4" spans="1:23">
      <c r="A74" s="16" t="s">
        <v>43</v>
      </c>
      <c r="B74" s="16" t="s">
        <v>301</v>
      </c>
      <c r="C74" s="16">
        <v>8693</v>
      </c>
      <c r="D74" s="16" t="s">
        <v>215</v>
      </c>
      <c r="E74" s="18">
        <f>_xlfn.IFNA(VLOOKUP(C:C,线上线下销售!B:D,3,0),0)</f>
        <v>4141.2441</v>
      </c>
      <c r="F74" s="18">
        <f>SUMIFS(线上订单!$E:$E,线上订单!$B:$B,美团日报!$C74)-SUMIFS(线上订单!$E:$E,线上订单!$B:$B,美团日报!$C74,线上订单!$D:$D,"美团")-SUMIFS(线上订单!$E:$E,线上订单!$B:$B,美团日报!$C74,线上订单!$D:$D,"饿了么")</f>
        <v>112.03539823009</v>
      </c>
      <c r="G74" s="19">
        <f t="shared" si="10"/>
        <v>0.0270535606027401</v>
      </c>
      <c r="H74" s="18">
        <f>SUMIFS(线上订单!$F:$F,线上订单!$B:$B,美团日报!$C74)-SUMIFS(线上订单!$F:$F,线上订单!$B:$B,美团日报!$C74,线上订单!$D:$D,"美团")-SUMIFS(线上订单!$F:$F,线上订单!$B:$B,美团日报!$C74,线上订单!$D:$D,"饿了么")</f>
        <v>2</v>
      </c>
      <c r="I74" s="18">
        <f>SUMIFS(线上订单!$F:$F,线上订单!$B:$B,美团日报!$C74)-SUMIFS(线上订单!$F:$F,线上订单!$B:$B,美团日报!$C74,线上订单!$D:$D,"美团")-SUMIFS(线上订单!$F:$F,线上订单!$B:$B,美团日报!$C74,线上订单!$D:$D,"饿了么")</f>
        <v>2</v>
      </c>
      <c r="J74" s="21">
        <f t="shared" si="11"/>
        <v>56.017699115045</v>
      </c>
      <c r="K74" s="22" t="e">
        <f t="shared" si="6"/>
        <v>#REF!</v>
      </c>
      <c r="L74" s="19" t="e">
        <f>SUMIFS(#REF!,#REF!,美团日报!$C$2,#REF!,"秒达")</f>
        <v>#REF!</v>
      </c>
      <c r="M74" s="23"/>
      <c r="N74" s="23"/>
      <c r="O74" s="22" t="e">
        <f t="shared" si="7"/>
        <v>#REF!</v>
      </c>
      <c r="P74" s="19" t="e">
        <f>SUMIFS(#REF!,#REF!,美团日报!$C74,#REF!,"秒达")</f>
        <v>#REF!</v>
      </c>
      <c r="Q74" s="23"/>
      <c r="R74" s="23"/>
      <c r="S74" s="22" t="e">
        <f t="shared" si="8"/>
        <v>#REF!</v>
      </c>
      <c r="T74" s="19" t="e">
        <f>SUMIFS(#REF!,#REF!,美团日报!$C74,#REF!,"O2O")</f>
        <v>#REF!</v>
      </c>
      <c r="U74" s="22" t="e">
        <f t="shared" si="9"/>
        <v>#REF!</v>
      </c>
      <c r="V74" s="19" t="e">
        <f>SUMIFS(#REF!,#REF!,美团日报!$C74,#REF!,"O2O")</f>
        <v>#REF!</v>
      </c>
      <c r="W74" s="24" t="s">
        <v>13</v>
      </c>
    </row>
    <row r="75" ht="14.4" spans="1:23">
      <c r="A75" s="16" t="s">
        <v>56</v>
      </c>
      <c r="B75" s="16" t="s">
        <v>118</v>
      </c>
      <c r="C75" s="16">
        <v>8709</v>
      </c>
      <c r="D75" s="16" t="s">
        <v>217</v>
      </c>
      <c r="E75" s="18">
        <f>_xlfn.IFNA(VLOOKUP(C:C,线上线下销售!B:D,3,0),0)</f>
        <v>7086.9007</v>
      </c>
      <c r="F75" s="18">
        <f>SUMIFS(线上订单!$E:$E,线上订单!$B:$B,美团日报!$C75)-SUMIFS(线上订单!$E:$E,线上订单!$B:$B,美团日报!$C75,线上订单!$D:$D,"美团")-SUMIFS(线上订单!$E:$E,线上订单!$B:$B,美团日报!$C75,线上订单!$D:$D,"饿了么")</f>
        <v>115.81415929203</v>
      </c>
      <c r="G75" s="19">
        <f t="shared" si="10"/>
        <v>0.0163420039583777</v>
      </c>
      <c r="H75" s="18">
        <f>SUMIFS(线上订单!$F:$F,线上订单!$B:$B,美团日报!$C75)-SUMIFS(线上订单!$F:$F,线上订单!$B:$B,美团日报!$C75,线上订单!$D:$D,"美团")-SUMIFS(线上订单!$F:$F,线上订单!$B:$B,美团日报!$C75,线上订单!$D:$D,"饿了么")</f>
        <v>6</v>
      </c>
      <c r="I75" s="18">
        <f>SUMIFS(线上订单!$F:$F,线上订单!$B:$B,美团日报!$C75)-SUMIFS(线上订单!$F:$F,线上订单!$B:$B,美团日报!$C75,线上订单!$D:$D,"美团")-SUMIFS(线上订单!$F:$F,线上订单!$B:$B,美团日报!$C75,线上订单!$D:$D,"饿了么")</f>
        <v>6</v>
      </c>
      <c r="J75" s="21">
        <f t="shared" si="11"/>
        <v>19.302359882005</v>
      </c>
      <c r="K75" s="22" t="e">
        <f t="shared" si="6"/>
        <v>#REF!</v>
      </c>
      <c r="L75" s="19" t="e">
        <f>SUMIFS(#REF!,#REF!,美团日报!$C$2,#REF!,"秒达")</f>
        <v>#REF!</v>
      </c>
      <c r="M75" s="23"/>
      <c r="N75" s="23"/>
      <c r="O75" s="22" t="e">
        <f t="shared" si="7"/>
        <v>#REF!</v>
      </c>
      <c r="P75" s="19" t="e">
        <f>SUMIFS(#REF!,#REF!,美团日报!$C75,#REF!,"秒达")</f>
        <v>#REF!</v>
      </c>
      <c r="Q75" s="23"/>
      <c r="R75" s="23"/>
      <c r="S75" s="22" t="e">
        <f t="shared" si="8"/>
        <v>#REF!</v>
      </c>
      <c r="T75" s="19" t="e">
        <f>SUMIFS(#REF!,#REF!,美团日报!$C75,#REF!,"O2O")</f>
        <v>#REF!</v>
      </c>
      <c r="U75" s="22" t="e">
        <f t="shared" si="9"/>
        <v>#REF!</v>
      </c>
      <c r="V75" s="19" t="e">
        <f>SUMIFS(#REF!,#REF!,美团日报!$C75,#REF!,"O2O")</f>
        <v>#REF!</v>
      </c>
      <c r="W75" s="24" t="s">
        <v>13</v>
      </c>
    </row>
    <row r="76" ht="14.4" spans="1:23">
      <c r="A76" s="16" t="s">
        <v>48</v>
      </c>
      <c r="B76" s="16" t="s">
        <v>83</v>
      </c>
      <c r="C76" s="16">
        <v>8677</v>
      </c>
      <c r="D76" s="16" t="s">
        <v>219</v>
      </c>
      <c r="E76" s="18">
        <f>_xlfn.IFNA(VLOOKUP(C:C,线上线下销售!B:D,3,0),0)</f>
        <v>7157.3854</v>
      </c>
      <c r="F76" s="18">
        <f>SUMIFS(线上订单!$E:$E,线上订单!$B:$B,美团日报!$C76)-SUMIFS(线上订单!$E:$E,线上订单!$B:$B,美团日报!$C76,线上订单!$D:$D,"美团")-SUMIFS(线上订单!$E:$E,线上订单!$B:$B,美团日报!$C76,线上订单!$D:$D,"饿了么")</f>
        <v>150.90265486724</v>
      </c>
      <c r="G76" s="19">
        <f t="shared" si="10"/>
        <v>0.0210834887928824</v>
      </c>
      <c r="H76" s="18">
        <f>SUMIFS(线上订单!$F:$F,线上订单!$B:$B,美团日报!$C76)-SUMIFS(线上订单!$F:$F,线上订单!$B:$B,美团日报!$C76,线上订单!$D:$D,"美团")-SUMIFS(线上订单!$F:$F,线上订单!$B:$B,美团日报!$C76,线上订单!$D:$D,"饿了么")</f>
        <v>4</v>
      </c>
      <c r="I76" s="18">
        <f>SUMIFS(线上订单!$F:$F,线上订单!$B:$B,美团日报!$C76)-SUMIFS(线上订单!$F:$F,线上订单!$B:$B,美团日报!$C76,线上订单!$D:$D,"美团")-SUMIFS(线上订单!$F:$F,线上订单!$B:$B,美团日报!$C76,线上订单!$D:$D,"饿了么")</f>
        <v>4</v>
      </c>
      <c r="J76" s="21">
        <f t="shared" si="11"/>
        <v>37.72566371681</v>
      </c>
      <c r="K76" s="22" t="e">
        <f t="shared" si="6"/>
        <v>#REF!</v>
      </c>
      <c r="L76" s="19" t="e">
        <f>SUMIFS(#REF!,#REF!,美团日报!$C$2,#REF!,"秒达")</f>
        <v>#REF!</v>
      </c>
      <c r="M76" s="23"/>
      <c r="N76" s="23"/>
      <c r="O76" s="22" t="e">
        <f t="shared" si="7"/>
        <v>#REF!</v>
      </c>
      <c r="P76" s="19" t="e">
        <f>SUMIFS(#REF!,#REF!,美团日报!$C76,#REF!,"秒达")</f>
        <v>#REF!</v>
      </c>
      <c r="Q76" s="23"/>
      <c r="R76" s="23"/>
      <c r="S76" s="22" t="e">
        <f t="shared" si="8"/>
        <v>#REF!</v>
      </c>
      <c r="T76" s="19" t="e">
        <f>SUMIFS(#REF!,#REF!,美团日报!$C76,#REF!,"O2O")</f>
        <v>#REF!</v>
      </c>
      <c r="U76" s="22" t="e">
        <f t="shared" si="9"/>
        <v>#REF!</v>
      </c>
      <c r="V76" s="19" t="e">
        <f>SUMIFS(#REF!,#REF!,美团日报!$C76,#REF!,"O2O")</f>
        <v>#REF!</v>
      </c>
      <c r="W76" s="24" t="s">
        <v>13</v>
      </c>
    </row>
    <row r="77" ht="14.4" spans="1:23">
      <c r="A77" s="16" t="s">
        <v>48</v>
      </c>
      <c r="B77" s="16" t="s">
        <v>83</v>
      </c>
      <c r="C77" s="16">
        <v>8704</v>
      </c>
      <c r="D77" s="16" t="s">
        <v>221</v>
      </c>
      <c r="E77" s="18">
        <f>_xlfn.IFNA(VLOOKUP(C:C,线上线下销售!B:D,3,0),0)</f>
        <v>6066.3782</v>
      </c>
      <c r="F77" s="18">
        <f>SUMIFS(线上订单!$E:$E,线上订单!$B:$B,美团日报!$C77)-SUMIFS(线上订单!$E:$E,线上订单!$B:$B,美团日报!$C77,线上订单!$D:$D,"美团")-SUMIFS(线上订单!$E:$E,线上订单!$B:$B,美团日报!$C77,线上订单!$D:$D,"饿了么")</f>
        <v>219.94690265483</v>
      </c>
      <c r="G77" s="19">
        <f t="shared" si="10"/>
        <v>0.0362567079406342</v>
      </c>
      <c r="H77" s="18">
        <f>SUMIFS(线上订单!$F:$F,线上订单!$B:$B,美团日报!$C77)-SUMIFS(线上订单!$F:$F,线上订单!$B:$B,美团日报!$C77,线上订单!$D:$D,"美团")-SUMIFS(线上订单!$F:$F,线上订单!$B:$B,美团日报!$C77,线上订单!$D:$D,"饿了么")</f>
        <v>9</v>
      </c>
      <c r="I77" s="18">
        <f>SUMIFS(线上订单!$F:$F,线上订单!$B:$B,美团日报!$C77)-SUMIFS(线上订单!$F:$F,线上订单!$B:$B,美团日报!$C77,线上订单!$D:$D,"美团")-SUMIFS(线上订单!$F:$F,线上订单!$B:$B,美团日报!$C77,线上订单!$D:$D,"饿了么")</f>
        <v>9</v>
      </c>
      <c r="J77" s="21">
        <f t="shared" si="11"/>
        <v>24.4385447394256</v>
      </c>
      <c r="K77" s="22" t="e">
        <f t="shared" si="6"/>
        <v>#REF!</v>
      </c>
      <c r="L77" s="19" t="e">
        <f>SUMIFS(#REF!,#REF!,美团日报!$C$2,#REF!,"秒达")</f>
        <v>#REF!</v>
      </c>
      <c r="M77" s="23"/>
      <c r="N77" s="23"/>
      <c r="O77" s="22" t="e">
        <f t="shared" si="7"/>
        <v>#REF!</v>
      </c>
      <c r="P77" s="19" t="e">
        <f>SUMIFS(#REF!,#REF!,美团日报!$C77,#REF!,"秒达")</f>
        <v>#REF!</v>
      </c>
      <c r="Q77" s="23"/>
      <c r="R77" s="23"/>
      <c r="S77" s="22" t="e">
        <f t="shared" si="8"/>
        <v>#REF!</v>
      </c>
      <c r="T77" s="19" t="e">
        <f>SUMIFS(#REF!,#REF!,美团日报!$C77,#REF!,"O2O")</f>
        <v>#REF!</v>
      </c>
      <c r="U77" s="22" t="e">
        <f t="shared" si="9"/>
        <v>#REF!</v>
      </c>
      <c r="V77" s="19" t="e">
        <f>SUMIFS(#REF!,#REF!,美团日报!$C77,#REF!,"O2O")</f>
        <v>#REF!</v>
      </c>
      <c r="W77" s="24" t="s">
        <v>13</v>
      </c>
    </row>
    <row r="78" ht="14.4" spans="1:23">
      <c r="A78" s="16" t="s">
        <v>43</v>
      </c>
      <c r="B78" s="16" t="s">
        <v>131</v>
      </c>
      <c r="C78" s="16">
        <v>8740</v>
      </c>
      <c r="D78" s="16" t="s">
        <v>223</v>
      </c>
      <c r="E78" s="18">
        <f>_xlfn.IFNA(VLOOKUP(C:C,线上线下销售!B:D,3,0),0)</f>
        <v>8226.2309</v>
      </c>
      <c r="F78" s="18">
        <f>SUMIFS(线上订单!$E:$E,线上订单!$B:$B,美团日报!$C78)-SUMIFS(线上订单!$E:$E,线上订单!$B:$B,美团日报!$C78,线上订单!$D:$D,"美团")-SUMIFS(线上订单!$E:$E,线上订单!$B:$B,美团日报!$C78,线上订单!$D:$D,"饿了么")</f>
        <v>186.76106194689</v>
      </c>
      <c r="G78" s="19">
        <f t="shared" si="10"/>
        <v>0.0227031144903664</v>
      </c>
      <c r="H78" s="18">
        <f>SUMIFS(线上订单!$F:$F,线上订单!$B:$B,美团日报!$C78)-SUMIFS(线上订单!$F:$F,线上订单!$B:$B,美团日报!$C78,线上订单!$D:$D,"美团")-SUMIFS(线上订单!$F:$F,线上订单!$B:$B,美团日报!$C78,线上订单!$D:$D,"饿了么")</f>
        <v>1</v>
      </c>
      <c r="I78" s="18">
        <f>SUMIFS(线上订单!$F:$F,线上订单!$B:$B,美团日报!$C78)-SUMIFS(线上订单!$F:$F,线上订单!$B:$B,美团日报!$C78,线上订单!$D:$D,"美团")-SUMIFS(线上订单!$F:$F,线上订单!$B:$B,美团日报!$C78,线上订单!$D:$D,"饿了么")</f>
        <v>1</v>
      </c>
      <c r="J78" s="21">
        <f t="shared" si="11"/>
        <v>186.76106194689</v>
      </c>
      <c r="K78" s="22" t="e">
        <f t="shared" si="6"/>
        <v>#REF!</v>
      </c>
      <c r="L78" s="19" t="e">
        <f>SUMIFS(#REF!,#REF!,美团日报!$C$2,#REF!,"秒达")</f>
        <v>#REF!</v>
      </c>
      <c r="M78" s="23"/>
      <c r="N78" s="23"/>
      <c r="O78" s="22" t="e">
        <f t="shared" si="7"/>
        <v>#REF!</v>
      </c>
      <c r="P78" s="19" t="e">
        <f>SUMIFS(#REF!,#REF!,美团日报!$C78,#REF!,"秒达")</f>
        <v>#REF!</v>
      </c>
      <c r="Q78" s="23"/>
      <c r="R78" s="23"/>
      <c r="S78" s="22" t="e">
        <f t="shared" si="8"/>
        <v>#REF!</v>
      </c>
      <c r="T78" s="19" t="e">
        <f>SUMIFS(#REF!,#REF!,美团日报!$C78,#REF!,"O2O")</f>
        <v>#REF!</v>
      </c>
      <c r="U78" s="22" t="e">
        <f t="shared" si="9"/>
        <v>#REF!</v>
      </c>
      <c r="V78" s="19" t="e">
        <f>SUMIFS(#REF!,#REF!,美团日报!$C78,#REF!,"O2O")</f>
        <v>#REF!</v>
      </c>
      <c r="W78" s="24" t="s">
        <v>13</v>
      </c>
    </row>
    <row r="79" ht="14.4" spans="1:23">
      <c r="A79" s="16" t="s">
        <v>48</v>
      </c>
      <c r="B79" s="16" t="s">
        <v>49</v>
      </c>
      <c r="C79" s="16">
        <v>8659</v>
      </c>
      <c r="D79" s="16" t="s">
        <v>225</v>
      </c>
      <c r="E79" s="18">
        <f>_xlfn.IFNA(VLOOKUP(C:C,线上线下销售!B:D,3,0),0)</f>
        <v>5515.2495</v>
      </c>
      <c r="F79" s="18">
        <f>SUMIFS(线上订单!$E:$E,线上订单!$B:$B,美团日报!$C79)-SUMIFS(线上订单!$E:$E,线上订单!$B:$B,美团日报!$C79,线上订单!$D:$D,"美团")-SUMIFS(线上订单!$E:$E,线上订单!$B:$B,美团日报!$C79,线上订单!$D:$D,"饿了么")</f>
        <v>450.9056588455</v>
      </c>
      <c r="G79" s="19">
        <f t="shared" si="10"/>
        <v>0.0817561669414049</v>
      </c>
      <c r="H79" s="18">
        <f>SUMIFS(线上订单!$F:$F,线上订单!$B:$B,美团日报!$C79)-SUMIFS(线上订单!$F:$F,线上订单!$B:$B,美团日报!$C79,线上订单!$D:$D,"美团")-SUMIFS(线上订单!$F:$F,线上订单!$B:$B,美团日报!$C79,线上订单!$D:$D,"饿了么")</f>
        <v>15</v>
      </c>
      <c r="I79" s="18">
        <f>SUMIFS(线上订单!$F:$F,线上订单!$B:$B,美团日报!$C79)-SUMIFS(线上订单!$F:$F,线上订单!$B:$B,美团日报!$C79,线上订单!$D:$D,"美团")-SUMIFS(线上订单!$F:$F,线上订单!$B:$B,美团日报!$C79,线上订单!$D:$D,"饿了么")</f>
        <v>15</v>
      </c>
      <c r="J79" s="21">
        <f t="shared" si="11"/>
        <v>30.0603772563667</v>
      </c>
      <c r="K79" s="22" t="e">
        <f t="shared" si="6"/>
        <v>#REF!</v>
      </c>
      <c r="L79" s="19" t="e">
        <f>SUMIFS(#REF!,#REF!,美团日报!$C$2,#REF!,"秒达")</f>
        <v>#REF!</v>
      </c>
      <c r="M79" s="23"/>
      <c r="N79" s="23"/>
      <c r="O79" s="22" t="e">
        <f t="shared" si="7"/>
        <v>#REF!</v>
      </c>
      <c r="P79" s="19" t="e">
        <f>SUMIFS(#REF!,#REF!,美团日报!$C79,#REF!,"秒达")</f>
        <v>#REF!</v>
      </c>
      <c r="Q79" s="23"/>
      <c r="R79" s="23"/>
      <c r="S79" s="22" t="e">
        <f t="shared" si="8"/>
        <v>#REF!</v>
      </c>
      <c r="T79" s="19" t="e">
        <f>SUMIFS(#REF!,#REF!,美团日报!$C79,#REF!,"O2O")</f>
        <v>#REF!</v>
      </c>
      <c r="U79" s="22" t="e">
        <f t="shared" si="9"/>
        <v>#REF!</v>
      </c>
      <c r="V79" s="19" t="e">
        <f>SUMIFS(#REF!,#REF!,美团日报!$C79,#REF!,"O2O")</f>
        <v>#REF!</v>
      </c>
      <c r="W79" s="24" t="s">
        <v>13</v>
      </c>
    </row>
    <row r="80" ht="14.4" spans="1:23">
      <c r="A80" s="16" t="s">
        <v>56</v>
      </c>
      <c r="B80" s="16" t="s">
        <v>57</v>
      </c>
      <c r="C80" s="16">
        <v>8697</v>
      </c>
      <c r="D80" s="16" t="s">
        <v>227</v>
      </c>
      <c r="E80" s="18">
        <f>_xlfn.IFNA(VLOOKUP(C:C,线上线下销售!B:D,3,0),0)</f>
        <v>7516.7383</v>
      </c>
      <c r="F80" s="18">
        <f>SUMIFS(线上订单!$E:$E,线上订单!$B:$B,美团日报!$C80)-SUMIFS(线上订单!$E:$E,线上订单!$B:$B,美团日报!$C80,线上订单!$D:$D,"美团")-SUMIFS(线上订单!$E:$E,线上订单!$B:$B,美团日报!$C80,线上订单!$D:$D,"饿了么")</f>
        <v>185.69643582041</v>
      </c>
      <c r="G80" s="19">
        <f t="shared" si="10"/>
        <v>0.0247043901768418</v>
      </c>
      <c r="H80" s="18">
        <f>SUMIFS(线上订单!$F:$F,线上订单!$B:$B,美团日报!$C80)-SUMIFS(线上订单!$F:$F,线上订单!$B:$B,美团日报!$C80,线上订单!$D:$D,"美团")-SUMIFS(线上订单!$F:$F,线上订单!$B:$B,美团日报!$C80,线上订单!$D:$D,"饿了么")</f>
        <v>5</v>
      </c>
      <c r="I80" s="18">
        <f>SUMIFS(线上订单!$F:$F,线上订单!$B:$B,美团日报!$C80)-SUMIFS(线上订单!$F:$F,线上订单!$B:$B,美团日报!$C80,线上订单!$D:$D,"美团")-SUMIFS(线上订单!$F:$F,线上订单!$B:$B,美团日报!$C80,线上订单!$D:$D,"饿了么")</f>
        <v>5</v>
      </c>
      <c r="J80" s="21">
        <f t="shared" si="11"/>
        <v>37.139287164082</v>
      </c>
      <c r="K80" s="22" t="e">
        <f t="shared" si="6"/>
        <v>#REF!</v>
      </c>
      <c r="L80" s="19" t="e">
        <f>SUMIFS(#REF!,#REF!,美团日报!$C$2,#REF!,"秒达")</f>
        <v>#REF!</v>
      </c>
      <c r="M80" s="23"/>
      <c r="N80" s="23"/>
      <c r="O80" s="22" t="e">
        <f t="shared" si="7"/>
        <v>#REF!</v>
      </c>
      <c r="P80" s="19" t="e">
        <f>SUMIFS(#REF!,#REF!,美团日报!$C80,#REF!,"秒达")</f>
        <v>#REF!</v>
      </c>
      <c r="Q80" s="23"/>
      <c r="R80" s="23"/>
      <c r="S80" s="22" t="e">
        <f t="shared" si="8"/>
        <v>#REF!</v>
      </c>
      <c r="T80" s="19" t="e">
        <f>SUMIFS(#REF!,#REF!,美团日报!$C80,#REF!,"O2O")</f>
        <v>#REF!</v>
      </c>
      <c r="U80" s="22" t="e">
        <f t="shared" si="9"/>
        <v>#REF!</v>
      </c>
      <c r="V80" s="19" t="e">
        <f>SUMIFS(#REF!,#REF!,美团日报!$C80,#REF!,"O2O")</f>
        <v>#REF!</v>
      </c>
      <c r="W80" s="24" t="s">
        <v>13</v>
      </c>
    </row>
    <row r="81" ht="14.4" spans="1:23">
      <c r="A81" s="16" t="s">
        <v>43</v>
      </c>
      <c r="B81" s="16" t="s">
        <v>301</v>
      </c>
      <c r="C81" s="16">
        <v>8710</v>
      </c>
      <c r="D81" s="16" t="s">
        <v>229</v>
      </c>
      <c r="E81" s="18">
        <f>_xlfn.IFNA(VLOOKUP(C:C,线上线下销售!B:D,3,0),0)</f>
        <v>5498.149</v>
      </c>
      <c r="F81" s="18">
        <f>SUMIFS(线上订单!$E:$E,线上订单!$B:$B,美团日报!$C81)-SUMIFS(线上订单!$E:$E,线上订单!$B:$B,美团日报!$C81,线上订单!$D:$D,"美团")-SUMIFS(线上订单!$E:$E,线上订单!$B:$B,美团日报!$C81,线上订单!$D:$D,"饿了么")</f>
        <v>492.2123893805</v>
      </c>
      <c r="G81" s="19">
        <f t="shared" si="10"/>
        <v>0.0895232903619927</v>
      </c>
      <c r="H81" s="18">
        <f>SUMIFS(线上订单!$F:$F,线上订单!$B:$B,美团日报!$C81)-SUMIFS(线上订单!$F:$F,线上订单!$B:$B,美团日报!$C81,线上订单!$D:$D,"美团")-SUMIFS(线上订单!$F:$F,线上订单!$B:$B,美团日报!$C81,线上订单!$D:$D,"饿了么")</f>
        <v>13</v>
      </c>
      <c r="I81" s="18">
        <f>SUMIFS(线上订单!$F:$F,线上订单!$B:$B,美团日报!$C81)-SUMIFS(线上订单!$F:$F,线上订单!$B:$B,美团日报!$C81,线上订单!$D:$D,"美团")-SUMIFS(线上订单!$F:$F,线上订单!$B:$B,美团日报!$C81,线上订单!$D:$D,"饿了么")</f>
        <v>13</v>
      </c>
      <c r="J81" s="21">
        <f t="shared" si="11"/>
        <v>37.8624914908077</v>
      </c>
      <c r="K81" s="22" t="e">
        <f t="shared" si="6"/>
        <v>#REF!</v>
      </c>
      <c r="L81" s="19" t="e">
        <f>SUMIFS(#REF!,#REF!,美团日报!$C$2,#REF!,"秒达")</f>
        <v>#REF!</v>
      </c>
      <c r="M81" s="23"/>
      <c r="N81" s="23"/>
      <c r="O81" s="22" t="e">
        <f t="shared" si="7"/>
        <v>#REF!</v>
      </c>
      <c r="P81" s="19" t="e">
        <f>SUMIFS(#REF!,#REF!,美团日报!$C81,#REF!,"秒达")</f>
        <v>#REF!</v>
      </c>
      <c r="Q81" s="23"/>
      <c r="R81" s="23"/>
      <c r="S81" s="22" t="e">
        <f t="shared" si="8"/>
        <v>#REF!</v>
      </c>
      <c r="T81" s="19" t="e">
        <f>SUMIFS(#REF!,#REF!,美团日报!$C81,#REF!,"O2O")</f>
        <v>#REF!</v>
      </c>
      <c r="U81" s="22" t="e">
        <f t="shared" si="9"/>
        <v>#REF!</v>
      </c>
      <c r="V81" s="19" t="e">
        <f>SUMIFS(#REF!,#REF!,美团日报!$C81,#REF!,"O2O")</f>
        <v>#REF!</v>
      </c>
      <c r="W81" s="24" t="s">
        <v>13</v>
      </c>
    </row>
    <row r="82" ht="14.4" spans="1:23">
      <c r="A82" s="16" t="s">
        <v>56</v>
      </c>
      <c r="B82" s="16" t="s">
        <v>73</v>
      </c>
      <c r="C82" s="16">
        <v>8683</v>
      </c>
      <c r="D82" s="16" t="s">
        <v>231</v>
      </c>
      <c r="E82" s="18">
        <f>_xlfn.IFNA(VLOOKUP(C:C,线上线下销售!B:D,3,0),0)</f>
        <v>0</v>
      </c>
      <c r="F82" s="18">
        <f>SUMIFS(线上订单!$E:$E,线上订单!$B:$B,美团日报!$C82)-SUMIFS(线上订单!$E:$E,线上订单!$B:$B,美团日报!$C82,线上订单!$D:$D,"美团")-SUMIFS(线上订单!$E:$E,线上订单!$B:$B,美团日报!$C82,线上订单!$D:$D,"饿了么")</f>
        <v>0</v>
      </c>
      <c r="G82" s="19">
        <f t="shared" si="10"/>
        <v>0</v>
      </c>
      <c r="H82" s="18">
        <f>SUMIFS(线上订单!$F:$F,线上订单!$B:$B,美团日报!$C82)-SUMIFS(线上订单!$F:$F,线上订单!$B:$B,美团日报!$C82,线上订单!$D:$D,"美团")-SUMIFS(线上订单!$F:$F,线上订单!$B:$B,美团日报!$C82,线上订单!$D:$D,"饿了么")</f>
        <v>0</v>
      </c>
      <c r="I82" s="18">
        <f>SUMIFS(线上订单!$F:$F,线上订单!$B:$B,美团日报!$C82)-SUMIFS(线上订单!$F:$F,线上订单!$B:$B,美团日报!$C82,线上订单!$D:$D,"美团")-SUMIFS(线上订单!$F:$F,线上订单!$B:$B,美团日报!$C82,线上订单!$D:$D,"饿了么")</f>
        <v>0</v>
      </c>
      <c r="J82" s="21">
        <f t="shared" si="11"/>
        <v>0</v>
      </c>
      <c r="K82" s="22" t="e">
        <f t="shared" si="6"/>
        <v>#REF!</v>
      </c>
      <c r="L82" s="19" t="e">
        <f>SUMIFS(#REF!,#REF!,美团日报!$C$2,#REF!,"秒达")</f>
        <v>#REF!</v>
      </c>
      <c r="M82" s="23"/>
      <c r="N82" s="23"/>
      <c r="O82" s="22" t="e">
        <f t="shared" si="7"/>
        <v>#REF!</v>
      </c>
      <c r="P82" s="19" t="e">
        <f>SUMIFS(#REF!,#REF!,美团日报!$C82,#REF!,"秒达")</f>
        <v>#REF!</v>
      </c>
      <c r="Q82" s="23"/>
      <c r="R82" s="23"/>
      <c r="S82" s="22" t="e">
        <f t="shared" si="8"/>
        <v>#REF!</v>
      </c>
      <c r="T82" s="19" t="e">
        <f>SUMIFS(#REF!,#REF!,美团日报!$C82,#REF!,"O2O")</f>
        <v>#REF!</v>
      </c>
      <c r="U82" s="22" t="e">
        <f t="shared" si="9"/>
        <v>#REF!</v>
      </c>
      <c r="V82" s="19" t="e">
        <f>SUMIFS(#REF!,#REF!,美团日报!$C82,#REF!,"O2O")</f>
        <v>#REF!</v>
      </c>
      <c r="W82" s="24" t="s">
        <v>13</v>
      </c>
    </row>
    <row r="83" ht="14.4" spans="1:23">
      <c r="A83" s="16" t="s">
        <v>43</v>
      </c>
      <c r="B83" s="16" t="s">
        <v>131</v>
      </c>
      <c r="C83" s="16">
        <v>8711</v>
      </c>
      <c r="D83" s="16" t="s">
        <v>233</v>
      </c>
      <c r="E83" s="18">
        <f>_xlfn.IFNA(VLOOKUP(C:C,线上线下销售!B:D,3,0),0)</f>
        <v>7312.6012</v>
      </c>
      <c r="F83" s="18">
        <f>SUMIFS(线上订单!$E:$E,线上订单!$B:$B,美团日报!$C83)-SUMIFS(线上订单!$E:$E,线上订单!$B:$B,美团日报!$C83,线上订单!$D:$D,"美团")-SUMIFS(线上订单!$E:$E,线上订单!$B:$B,美团日报!$C83,线上订单!$D:$D,"饿了么")</f>
        <v>225.20418933175</v>
      </c>
      <c r="G83" s="19">
        <f t="shared" si="10"/>
        <v>0.0307967278909932</v>
      </c>
      <c r="H83" s="18">
        <f>SUMIFS(线上订单!$F:$F,线上订单!$B:$B,美团日报!$C83)-SUMIFS(线上订单!$F:$F,线上订单!$B:$B,美团日报!$C83,线上订单!$D:$D,"美团")-SUMIFS(线上订单!$F:$F,线上订单!$B:$B,美团日报!$C83,线上订单!$D:$D,"饿了么")</f>
        <v>11</v>
      </c>
      <c r="I83" s="18">
        <f>SUMIFS(线上订单!$F:$F,线上订单!$B:$B,美团日报!$C83)-SUMIFS(线上订单!$F:$F,线上订单!$B:$B,美团日报!$C83,线上订单!$D:$D,"美团")-SUMIFS(线上订单!$F:$F,线上订单!$B:$B,美团日报!$C83,线上订单!$D:$D,"饿了么")</f>
        <v>11</v>
      </c>
      <c r="J83" s="21">
        <f t="shared" si="11"/>
        <v>20.4731081210682</v>
      </c>
      <c r="K83" s="22" t="e">
        <f t="shared" si="6"/>
        <v>#REF!</v>
      </c>
      <c r="L83" s="19" t="e">
        <f>SUMIFS(#REF!,#REF!,美团日报!$C$2,#REF!,"秒达")</f>
        <v>#REF!</v>
      </c>
      <c r="M83" s="23"/>
      <c r="N83" s="23"/>
      <c r="O83" s="22" t="e">
        <f t="shared" si="7"/>
        <v>#REF!</v>
      </c>
      <c r="P83" s="19" t="e">
        <f>SUMIFS(#REF!,#REF!,美团日报!$C83,#REF!,"秒达")</f>
        <v>#REF!</v>
      </c>
      <c r="Q83" s="23"/>
      <c r="R83" s="23"/>
      <c r="S83" s="22" t="e">
        <f t="shared" si="8"/>
        <v>#REF!</v>
      </c>
      <c r="T83" s="19" t="e">
        <f>SUMIFS(#REF!,#REF!,美团日报!$C83,#REF!,"O2O")</f>
        <v>#REF!</v>
      </c>
      <c r="U83" s="22" t="e">
        <f t="shared" si="9"/>
        <v>#REF!</v>
      </c>
      <c r="V83" s="19" t="e">
        <f>SUMIFS(#REF!,#REF!,美团日报!$C83,#REF!,"O2O")</f>
        <v>#REF!</v>
      </c>
      <c r="W83" s="24" t="s">
        <v>13</v>
      </c>
    </row>
    <row r="84" ht="14.4" spans="1:23">
      <c r="A84" s="16" t="s">
        <v>63</v>
      </c>
      <c r="B84" s="16" t="s">
        <v>99</v>
      </c>
      <c r="C84" s="16">
        <v>8718</v>
      </c>
      <c r="D84" s="16" t="s">
        <v>235</v>
      </c>
      <c r="E84" s="18">
        <f>_xlfn.IFNA(VLOOKUP(C:C,线上线下销售!B:D,3,0),0)</f>
        <v>0</v>
      </c>
      <c r="F84" s="18">
        <f>SUMIFS(线上订单!$E:$E,线上订单!$B:$B,美团日报!$C84)-SUMIFS(线上订单!$E:$E,线上订单!$B:$B,美团日报!$C84,线上订单!$D:$D,"美团")-SUMIFS(线上订单!$E:$E,线上订单!$B:$B,美团日报!$C84,线上订单!$D:$D,"饿了么")</f>
        <v>0</v>
      </c>
      <c r="G84" s="19">
        <f t="shared" si="10"/>
        <v>0</v>
      </c>
      <c r="H84" s="18">
        <f>SUMIFS(线上订单!$F:$F,线上订单!$B:$B,美团日报!$C84)-SUMIFS(线上订单!$F:$F,线上订单!$B:$B,美团日报!$C84,线上订单!$D:$D,"美团")-SUMIFS(线上订单!$F:$F,线上订单!$B:$B,美团日报!$C84,线上订单!$D:$D,"饿了么")</f>
        <v>0</v>
      </c>
      <c r="I84" s="18">
        <f>SUMIFS(线上订单!$F:$F,线上订单!$B:$B,美团日报!$C84)-SUMIFS(线上订单!$F:$F,线上订单!$B:$B,美团日报!$C84,线上订单!$D:$D,"美团")-SUMIFS(线上订单!$F:$F,线上订单!$B:$B,美团日报!$C84,线上订单!$D:$D,"饿了么")</f>
        <v>0</v>
      </c>
      <c r="J84" s="21">
        <f t="shared" si="11"/>
        <v>0</v>
      </c>
      <c r="K84" s="22" t="e">
        <f t="shared" si="6"/>
        <v>#REF!</v>
      </c>
      <c r="L84" s="19" t="e">
        <f>SUMIFS(#REF!,#REF!,美团日报!$C$2,#REF!,"秒达")</f>
        <v>#REF!</v>
      </c>
      <c r="M84" s="23"/>
      <c r="N84" s="23"/>
      <c r="O84" s="22" t="e">
        <f t="shared" si="7"/>
        <v>#REF!</v>
      </c>
      <c r="P84" s="19" t="e">
        <f>SUMIFS(#REF!,#REF!,美团日报!$C84,#REF!,"秒达")</f>
        <v>#REF!</v>
      </c>
      <c r="Q84" s="23"/>
      <c r="R84" s="23"/>
      <c r="S84" s="22" t="e">
        <f t="shared" si="8"/>
        <v>#REF!</v>
      </c>
      <c r="T84" s="19" t="e">
        <f>SUMIFS(#REF!,#REF!,美团日报!$C84,#REF!,"O2O")</f>
        <v>#REF!</v>
      </c>
      <c r="U84" s="22" t="e">
        <f t="shared" si="9"/>
        <v>#REF!</v>
      </c>
      <c r="V84" s="19" t="e">
        <f>SUMIFS(#REF!,#REF!,美团日报!$C84,#REF!,"O2O")</f>
        <v>#REF!</v>
      </c>
      <c r="W84" s="24" t="s">
        <v>13</v>
      </c>
    </row>
    <row r="85" ht="14.4" spans="1:23">
      <c r="A85" s="16" t="s">
        <v>63</v>
      </c>
      <c r="B85" s="16" t="s">
        <v>574</v>
      </c>
      <c r="C85" s="16">
        <v>8690</v>
      </c>
      <c r="D85" s="16" t="s">
        <v>237</v>
      </c>
      <c r="E85" s="18">
        <f>_xlfn.IFNA(VLOOKUP(C:C,线上线下销售!B:D,3,0),0)</f>
        <v>6031.1086</v>
      </c>
      <c r="F85" s="18">
        <f>SUMIFS(线上订单!$E:$E,线上订单!$B:$B,美团日报!$C85)-SUMIFS(线上订单!$E:$E,线上订单!$B:$B,美团日报!$C85,线上订单!$D:$D,"美团")-SUMIFS(线上订单!$E:$E,线上订单!$B:$B,美团日报!$C85,线上订单!$D:$D,"饿了么")</f>
        <v>88.0733944954101</v>
      </c>
      <c r="G85" s="19">
        <f t="shared" si="10"/>
        <v>0.0146031849758782</v>
      </c>
      <c r="H85" s="18">
        <f>SUMIFS(线上订单!$F:$F,线上订单!$B:$B,美团日报!$C85)-SUMIFS(线上订单!$F:$F,线上订单!$B:$B,美团日报!$C85,线上订单!$D:$D,"美团")-SUMIFS(线上订单!$F:$F,线上订单!$B:$B,美团日报!$C85,线上订单!$D:$D,"饿了么")</f>
        <v>1</v>
      </c>
      <c r="I85" s="18">
        <f>SUMIFS(线上订单!$F:$F,线上订单!$B:$B,美团日报!$C85)-SUMIFS(线上订单!$F:$F,线上订单!$B:$B,美团日报!$C85,线上订单!$D:$D,"美团")-SUMIFS(线上订单!$F:$F,线上订单!$B:$B,美团日报!$C85,线上订单!$D:$D,"饿了么")</f>
        <v>1</v>
      </c>
      <c r="J85" s="21">
        <f t="shared" si="11"/>
        <v>88.0733944954101</v>
      </c>
      <c r="K85" s="22" t="e">
        <f t="shared" si="6"/>
        <v>#REF!</v>
      </c>
      <c r="L85" s="19" t="e">
        <f>SUMIFS(#REF!,#REF!,美团日报!$C$2,#REF!,"秒达")</f>
        <v>#REF!</v>
      </c>
      <c r="M85" s="23"/>
      <c r="N85" s="23"/>
      <c r="O85" s="22" t="e">
        <f t="shared" si="7"/>
        <v>#REF!</v>
      </c>
      <c r="P85" s="19" t="e">
        <f>SUMIFS(#REF!,#REF!,美团日报!$C85,#REF!,"秒达")</f>
        <v>#REF!</v>
      </c>
      <c r="Q85" s="23"/>
      <c r="R85" s="23"/>
      <c r="S85" s="22" t="e">
        <f t="shared" si="8"/>
        <v>#REF!</v>
      </c>
      <c r="T85" s="19" t="e">
        <f>SUMIFS(#REF!,#REF!,美团日报!$C85,#REF!,"O2O")</f>
        <v>#REF!</v>
      </c>
      <c r="U85" s="22" t="e">
        <f t="shared" si="9"/>
        <v>#REF!</v>
      </c>
      <c r="V85" s="19" t="e">
        <f>SUMIFS(#REF!,#REF!,美团日报!$C85,#REF!,"O2O")</f>
        <v>#REF!</v>
      </c>
      <c r="W85" s="24" t="s">
        <v>13</v>
      </c>
    </row>
    <row r="86" ht="14.4" spans="1:23">
      <c r="A86" s="16" t="s">
        <v>48</v>
      </c>
      <c r="B86" s="16" t="s">
        <v>89</v>
      </c>
      <c r="C86" s="16">
        <v>8719</v>
      </c>
      <c r="D86" s="16" t="s">
        <v>239</v>
      </c>
      <c r="E86" s="18">
        <f>_xlfn.IFNA(VLOOKUP(C:C,线上线下销售!B:D,3,0),0)</f>
        <v>4779.7659</v>
      </c>
      <c r="F86" s="18">
        <f>SUMIFS(线上订单!$E:$E,线上订单!$B:$B,美团日报!$C86)-SUMIFS(线上订单!$E:$E,线上订单!$B:$B,美团日报!$C86,线上订单!$D:$D,"美团")-SUMIFS(线上订单!$E:$E,线上订单!$B:$B,美团日报!$C86,线上订单!$D:$D,"饿了么")</f>
        <v>70.44247787609</v>
      </c>
      <c r="G86" s="19">
        <f t="shared" si="10"/>
        <v>0.0147376418322266</v>
      </c>
      <c r="H86" s="18">
        <f>SUMIFS(线上订单!$F:$F,线上订单!$B:$B,美团日报!$C86)-SUMIFS(线上订单!$F:$F,线上订单!$B:$B,美团日报!$C86,线上订单!$D:$D,"美团")-SUMIFS(线上订单!$F:$F,线上订单!$B:$B,美团日报!$C86,线上订单!$D:$D,"饿了么")</f>
        <v>4</v>
      </c>
      <c r="I86" s="18">
        <f>SUMIFS(线上订单!$F:$F,线上订单!$B:$B,美团日报!$C86)-SUMIFS(线上订单!$F:$F,线上订单!$B:$B,美团日报!$C86,线上订单!$D:$D,"美团")-SUMIFS(线上订单!$F:$F,线上订单!$B:$B,美团日报!$C86,线上订单!$D:$D,"饿了么")</f>
        <v>4</v>
      </c>
      <c r="J86" s="21">
        <f t="shared" si="11"/>
        <v>17.6106194690225</v>
      </c>
      <c r="K86" s="22" t="e">
        <f t="shared" si="6"/>
        <v>#REF!</v>
      </c>
      <c r="L86" s="19" t="e">
        <f>SUMIFS(#REF!,#REF!,美团日报!$C$2,#REF!,"秒达")</f>
        <v>#REF!</v>
      </c>
      <c r="M86" s="23"/>
      <c r="N86" s="23"/>
      <c r="O86" s="22" t="e">
        <f t="shared" si="7"/>
        <v>#REF!</v>
      </c>
      <c r="P86" s="19" t="e">
        <f>SUMIFS(#REF!,#REF!,美团日报!$C86,#REF!,"秒达")</f>
        <v>#REF!</v>
      </c>
      <c r="Q86" s="23"/>
      <c r="R86" s="23"/>
      <c r="S86" s="22" t="e">
        <f t="shared" si="8"/>
        <v>#REF!</v>
      </c>
      <c r="T86" s="19" t="e">
        <f>SUMIFS(#REF!,#REF!,美团日报!$C86,#REF!,"O2O")</f>
        <v>#REF!</v>
      </c>
      <c r="U86" s="22" t="e">
        <f t="shared" si="9"/>
        <v>#REF!</v>
      </c>
      <c r="V86" s="19" t="e">
        <f>SUMIFS(#REF!,#REF!,美团日报!$C86,#REF!,"O2O")</f>
        <v>#REF!</v>
      </c>
      <c r="W86" s="24" t="s">
        <v>13</v>
      </c>
    </row>
    <row r="87" ht="14.4" spans="1:23">
      <c r="A87" s="16" t="s">
        <v>63</v>
      </c>
      <c r="B87" s="16" t="s">
        <v>574</v>
      </c>
      <c r="C87" s="16">
        <v>8723</v>
      </c>
      <c r="D87" s="16" t="s">
        <v>241</v>
      </c>
      <c r="E87" s="18">
        <f>_xlfn.IFNA(VLOOKUP(C:C,线上线下销售!B:D,3,0),0)</f>
        <v>10718.1217</v>
      </c>
      <c r="F87" s="18">
        <f>SUMIFS(线上订单!$E:$E,线上订单!$B:$B,美团日报!$C87)-SUMIFS(线上订单!$E:$E,线上订单!$B:$B,美团日报!$C87,线上订单!$D:$D,"美团")-SUMIFS(线上订单!$E:$E,线上订单!$B:$B,美团日报!$C87,线上订单!$D:$D,"饿了么")</f>
        <v>134.3192335796</v>
      </c>
      <c r="G87" s="19">
        <f t="shared" si="10"/>
        <v>0.012531975036223</v>
      </c>
      <c r="H87" s="18">
        <f>SUMIFS(线上订单!$F:$F,线上订单!$B:$B,美团日报!$C87)-SUMIFS(线上订单!$F:$F,线上订单!$B:$B,美团日报!$C87,线上订单!$D:$D,"美团")-SUMIFS(线上订单!$F:$F,线上订单!$B:$B,美团日报!$C87,线上订单!$D:$D,"饿了么")</f>
        <v>4</v>
      </c>
      <c r="I87" s="18">
        <f>SUMIFS(线上订单!$F:$F,线上订单!$B:$B,美团日报!$C87)-SUMIFS(线上订单!$F:$F,线上订单!$B:$B,美团日报!$C87,线上订单!$D:$D,"美团")-SUMIFS(线上订单!$F:$F,线上订单!$B:$B,美团日报!$C87,线上订单!$D:$D,"饿了么")</f>
        <v>4</v>
      </c>
      <c r="J87" s="21">
        <f t="shared" si="11"/>
        <v>33.5798083949</v>
      </c>
      <c r="K87" s="22" t="e">
        <f t="shared" si="6"/>
        <v>#REF!</v>
      </c>
      <c r="L87" s="19" t="e">
        <f>SUMIFS(#REF!,#REF!,美团日报!$C$2,#REF!,"秒达")</f>
        <v>#REF!</v>
      </c>
      <c r="M87" s="23"/>
      <c r="N87" s="23"/>
      <c r="O87" s="22" t="e">
        <f t="shared" si="7"/>
        <v>#REF!</v>
      </c>
      <c r="P87" s="19" t="e">
        <f>SUMIFS(#REF!,#REF!,美团日报!$C87,#REF!,"秒达")</f>
        <v>#REF!</v>
      </c>
      <c r="Q87" s="23"/>
      <c r="R87" s="23"/>
      <c r="S87" s="22" t="e">
        <f t="shared" si="8"/>
        <v>#REF!</v>
      </c>
      <c r="T87" s="19" t="e">
        <f>SUMIFS(#REF!,#REF!,美团日报!$C87,#REF!,"O2O")</f>
        <v>#REF!</v>
      </c>
      <c r="U87" s="22" t="e">
        <f t="shared" si="9"/>
        <v>#REF!</v>
      </c>
      <c r="V87" s="19" t="e">
        <f>SUMIFS(#REF!,#REF!,美团日报!$C87,#REF!,"O2O")</f>
        <v>#REF!</v>
      </c>
      <c r="W87" s="24" t="s">
        <v>13</v>
      </c>
    </row>
    <row r="88" ht="14.4" spans="1:23">
      <c r="A88" s="16" t="s">
        <v>48</v>
      </c>
      <c r="B88" s="16" t="s">
        <v>83</v>
      </c>
      <c r="C88" s="16">
        <v>8725</v>
      </c>
      <c r="D88" s="16" t="s">
        <v>243</v>
      </c>
      <c r="E88" s="18">
        <f>_xlfn.IFNA(VLOOKUP(C:C,线上线下销售!B:D,3,0),0)</f>
        <v>4422.7003</v>
      </c>
      <c r="F88" s="18">
        <f>SUMIFS(线上订单!$E:$E,线上订单!$B:$B,美团日报!$C88)-SUMIFS(线上订单!$E:$E,线上订单!$B:$B,美团日报!$C88,线上订单!$D:$D,"美团")-SUMIFS(线上订单!$E:$E,线上订单!$B:$B,美团日报!$C88,线上订单!$D:$D,"饿了么")</f>
        <v>0</v>
      </c>
      <c r="G88" s="19">
        <f t="shared" si="10"/>
        <v>0</v>
      </c>
      <c r="H88" s="18">
        <f>SUMIFS(线上订单!$F:$F,线上订单!$B:$B,美团日报!$C88)-SUMIFS(线上订单!$F:$F,线上订单!$B:$B,美团日报!$C88,线上订单!$D:$D,"美团")-SUMIFS(线上订单!$F:$F,线上订单!$B:$B,美团日报!$C88,线上订单!$D:$D,"饿了么")</f>
        <v>0</v>
      </c>
      <c r="I88" s="18">
        <f>SUMIFS(线上订单!$F:$F,线上订单!$B:$B,美团日报!$C88)-SUMIFS(线上订单!$F:$F,线上订单!$B:$B,美团日报!$C88,线上订单!$D:$D,"美团")-SUMIFS(线上订单!$F:$F,线上订单!$B:$B,美团日报!$C88,线上订单!$D:$D,"饿了么")</f>
        <v>0</v>
      </c>
      <c r="J88" s="21">
        <f t="shared" si="11"/>
        <v>0</v>
      </c>
      <c r="K88" s="22" t="e">
        <f t="shared" si="6"/>
        <v>#REF!</v>
      </c>
      <c r="L88" s="19" t="e">
        <f>SUMIFS(#REF!,#REF!,美团日报!$C$2,#REF!,"秒达")</f>
        <v>#REF!</v>
      </c>
      <c r="M88" s="23"/>
      <c r="N88" s="23"/>
      <c r="O88" s="22" t="e">
        <f t="shared" si="7"/>
        <v>#REF!</v>
      </c>
      <c r="P88" s="19" t="e">
        <f>SUMIFS(#REF!,#REF!,美团日报!$C88,#REF!,"秒达")</f>
        <v>#REF!</v>
      </c>
      <c r="Q88" s="23"/>
      <c r="R88" s="23"/>
      <c r="S88" s="22" t="e">
        <f t="shared" si="8"/>
        <v>#REF!</v>
      </c>
      <c r="T88" s="19" t="e">
        <f>SUMIFS(#REF!,#REF!,美团日报!$C88,#REF!,"O2O")</f>
        <v>#REF!</v>
      </c>
      <c r="U88" s="22" t="e">
        <f t="shared" si="9"/>
        <v>#REF!</v>
      </c>
      <c r="V88" s="19" t="e">
        <f>SUMIFS(#REF!,#REF!,美团日报!$C88,#REF!,"O2O")</f>
        <v>#REF!</v>
      </c>
      <c r="W88" s="24" t="s">
        <v>13</v>
      </c>
    </row>
    <row r="89" ht="14.4" spans="1:23">
      <c r="A89" s="16" t="s">
        <v>63</v>
      </c>
      <c r="B89" s="16" t="s">
        <v>99</v>
      </c>
      <c r="C89" s="16">
        <v>8726</v>
      </c>
      <c r="D89" s="16" t="s">
        <v>245</v>
      </c>
      <c r="E89" s="18">
        <f>_xlfn.IFNA(VLOOKUP(C:C,线上线下销售!B:D,3,0),0)</f>
        <v>7684.8455</v>
      </c>
      <c r="F89" s="18">
        <f>SUMIFS(线上订单!$E:$E,线上订单!$B:$B,美团日报!$C89)-SUMIFS(线上订单!$E:$E,线上订单!$B:$B,美团日报!$C89,线上订单!$D:$D,"美团")-SUMIFS(线上订单!$E:$E,线上订单!$B:$B,美团日报!$C89,线上订单!$D:$D,"饿了么")</f>
        <v>114.68458228465</v>
      </c>
      <c r="G89" s="19">
        <f t="shared" si="10"/>
        <v>0.0149234727340517</v>
      </c>
      <c r="H89" s="18">
        <f>SUMIFS(线上订单!$F:$F,线上订单!$B:$B,美团日报!$C89)-SUMIFS(线上订单!$F:$F,线上订单!$B:$B,美团日报!$C89,线上订单!$D:$D,"美团")-SUMIFS(线上订单!$F:$F,线上订单!$B:$B,美团日报!$C89,线上订单!$D:$D,"饿了么")</f>
        <v>3</v>
      </c>
      <c r="I89" s="18">
        <f>SUMIFS(线上订单!$F:$F,线上订单!$B:$B,美团日报!$C89)-SUMIFS(线上订单!$F:$F,线上订单!$B:$B,美团日报!$C89,线上订单!$D:$D,"美团")-SUMIFS(线上订单!$F:$F,线上订单!$B:$B,美团日报!$C89,线上订单!$D:$D,"饿了么")</f>
        <v>3</v>
      </c>
      <c r="J89" s="21">
        <f t="shared" si="11"/>
        <v>38.2281940948833</v>
      </c>
      <c r="K89" s="22" t="e">
        <f t="shared" si="6"/>
        <v>#REF!</v>
      </c>
      <c r="L89" s="19" t="e">
        <f>SUMIFS(#REF!,#REF!,美团日报!$C$2,#REF!,"秒达")</f>
        <v>#REF!</v>
      </c>
      <c r="M89" s="23"/>
      <c r="N89" s="23"/>
      <c r="O89" s="22" t="e">
        <f t="shared" si="7"/>
        <v>#REF!</v>
      </c>
      <c r="P89" s="19" t="e">
        <f>SUMIFS(#REF!,#REF!,美团日报!$C89,#REF!,"秒达")</f>
        <v>#REF!</v>
      </c>
      <c r="Q89" s="23"/>
      <c r="R89" s="23"/>
      <c r="S89" s="22" t="e">
        <f t="shared" si="8"/>
        <v>#REF!</v>
      </c>
      <c r="T89" s="19" t="e">
        <f>SUMIFS(#REF!,#REF!,美团日报!$C89,#REF!,"O2O")</f>
        <v>#REF!</v>
      </c>
      <c r="U89" s="22" t="e">
        <f t="shared" si="9"/>
        <v>#REF!</v>
      </c>
      <c r="V89" s="19" t="e">
        <f>SUMIFS(#REF!,#REF!,美团日报!$C89,#REF!,"O2O")</f>
        <v>#REF!</v>
      </c>
      <c r="W89" s="24" t="s">
        <v>13</v>
      </c>
    </row>
    <row r="90" ht="14.4" spans="1:23">
      <c r="A90" s="16" t="s">
        <v>63</v>
      </c>
      <c r="B90" s="16" t="s">
        <v>168</v>
      </c>
      <c r="C90" s="16">
        <v>8716</v>
      </c>
      <c r="D90" s="16" t="s">
        <v>247</v>
      </c>
      <c r="E90" s="18">
        <f>_xlfn.IFNA(VLOOKUP(C:C,线上线下销售!B:D,3,0),0)</f>
        <v>16394.6485</v>
      </c>
      <c r="F90" s="18">
        <f>SUMIFS(线上订单!$E:$E,线上订单!$B:$B,美团日报!$C90)-SUMIFS(线上订单!$E:$E,线上订单!$B:$B,美团日报!$C90,线上订单!$D:$D,"美团")-SUMIFS(线上订单!$E:$E,线上订单!$B:$B,美团日报!$C90,线上订单!$D:$D,"饿了么")</f>
        <v>488.99277421443</v>
      </c>
      <c r="G90" s="19">
        <f t="shared" si="10"/>
        <v>0.0298263652443924</v>
      </c>
      <c r="H90" s="18">
        <f>SUMIFS(线上订单!$F:$F,线上订单!$B:$B,美团日报!$C90)-SUMIFS(线上订单!$F:$F,线上订单!$B:$B,美团日报!$C90,线上订单!$D:$D,"美团")-SUMIFS(线上订单!$F:$F,线上订单!$B:$B,美团日报!$C90,线上订单!$D:$D,"饿了么")</f>
        <v>14</v>
      </c>
      <c r="I90" s="18">
        <f>SUMIFS(线上订单!$F:$F,线上订单!$B:$B,美团日报!$C90)-SUMIFS(线上订单!$F:$F,线上订单!$B:$B,美团日报!$C90,线上订单!$D:$D,"美团")-SUMIFS(线上订单!$F:$F,线上订单!$B:$B,美团日报!$C90,线上订单!$D:$D,"饿了么")</f>
        <v>14</v>
      </c>
      <c r="J90" s="21">
        <f t="shared" si="11"/>
        <v>34.9280553010307</v>
      </c>
      <c r="K90" s="22" t="e">
        <f t="shared" si="6"/>
        <v>#REF!</v>
      </c>
      <c r="L90" s="19" t="e">
        <f>SUMIFS(#REF!,#REF!,美团日报!$C$2,#REF!,"秒达")</f>
        <v>#REF!</v>
      </c>
      <c r="M90" s="23"/>
      <c r="N90" s="23"/>
      <c r="O90" s="22" t="e">
        <f t="shared" si="7"/>
        <v>#REF!</v>
      </c>
      <c r="P90" s="19" t="e">
        <f>SUMIFS(#REF!,#REF!,美团日报!$C90,#REF!,"秒达")</f>
        <v>#REF!</v>
      </c>
      <c r="Q90" s="23"/>
      <c r="R90" s="23"/>
      <c r="S90" s="22" t="e">
        <f t="shared" si="8"/>
        <v>#REF!</v>
      </c>
      <c r="T90" s="19" t="e">
        <f>SUMIFS(#REF!,#REF!,美团日报!$C90,#REF!,"O2O")</f>
        <v>#REF!</v>
      </c>
      <c r="U90" s="22" t="e">
        <f t="shared" si="9"/>
        <v>#REF!</v>
      </c>
      <c r="V90" s="19" t="e">
        <f>SUMIFS(#REF!,#REF!,美团日报!$C90,#REF!,"O2O")</f>
        <v>#REF!</v>
      </c>
      <c r="W90" s="24" t="s">
        <v>13</v>
      </c>
    </row>
    <row r="91" ht="14.4" spans="1:23">
      <c r="A91" s="16" t="s">
        <v>56</v>
      </c>
      <c r="B91" s="16" t="s">
        <v>70</v>
      </c>
      <c r="C91" s="16">
        <v>8728</v>
      </c>
      <c r="D91" s="16" t="s">
        <v>249</v>
      </c>
      <c r="E91" s="18">
        <f>_xlfn.IFNA(VLOOKUP(C:C,线上线下销售!B:D,3,0),0)</f>
        <v>0</v>
      </c>
      <c r="F91" s="18">
        <f>SUMIFS(线上订单!$E:$E,线上订单!$B:$B,美团日报!$C91)-SUMIFS(线上订单!$E:$E,线上订单!$B:$B,美团日报!$C91,线上订单!$D:$D,"美团")-SUMIFS(线上订单!$E:$E,线上订单!$B:$B,美团日报!$C91,线上订单!$D:$D,"饿了么")</f>
        <v>0</v>
      </c>
      <c r="G91" s="19">
        <f t="shared" si="10"/>
        <v>0</v>
      </c>
      <c r="H91" s="18">
        <f>SUMIFS(线上订单!$F:$F,线上订单!$B:$B,美团日报!$C91)-SUMIFS(线上订单!$F:$F,线上订单!$B:$B,美团日报!$C91,线上订单!$D:$D,"美团")-SUMIFS(线上订单!$F:$F,线上订单!$B:$B,美团日报!$C91,线上订单!$D:$D,"饿了么")</f>
        <v>0</v>
      </c>
      <c r="I91" s="18">
        <f>SUMIFS(线上订单!$F:$F,线上订单!$B:$B,美团日报!$C91)-SUMIFS(线上订单!$F:$F,线上订单!$B:$B,美团日报!$C91,线上订单!$D:$D,"美团")-SUMIFS(线上订单!$F:$F,线上订单!$B:$B,美团日报!$C91,线上订单!$D:$D,"饿了么")</f>
        <v>0</v>
      </c>
      <c r="J91" s="21">
        <f t="shared" si="11"/>
        <v>0</v>
      </c>
      <c r="K91" s="22" t="e">
        <f t="shared" si="6"/>
        <v>#REF!</v>
      </c>
      <c r="L91" s="19" t="e">
        <f>SUMIFS(#REF!,#REF!,美团日报!$C$2,#REF!,"秒达")</f>
        <v>#REF!</v>
      </c>
      <c r="M91" s="23"/>
      <c r="N91" s="23"/>
      <c r="O91" s="22" t="e">
        <f t="shared" si="7"/>
        <v>#REF!</v>
      </c>
      <c r="P91" s="19" t="e">
        <f>SUMIFS(#REF!,#REF!,美团日报!$C91,#REF!,"秒达")</f>
        <v>#REF!</v>
      </c>
      <c r="Q91" s="23"/>
      <c r="R91" s="23"/>
      <c r="S91" s="22" t="e">
        <f t="shared" si="8"/>
        <v>#REF!</v>
      </c>
      <c r="T91" s="19" t="e">
        <f>SUMIFS(#REF!,#REF!,美团日报!$C91,#REF!,"O2O")</f>
        <v>#REF!</v>
      </c>
      <c r="U91" s="22" t="e">
        <f t="shared" si="9"/>
        <v>#REF!</v>
      </c>
      <c r="V91" s="19" t="e">
        <f>SUMIFS(#REF!,#REF!,美团日报!$C91,#REF!,"O2O")</f>
        <v>#REF!</v>
      </c>
      <c r="W91" s="24" t="s">
        <v>13</v>
      </c>
    </row>
    <row r="92" ht="14.4" spans="1:23">
      <c r="A92" s="16" t="s">
        <v>48</v>
      </c>
      <c r="B92" s="16" t="s">
        <v>111</v>
      </c>
      <c r="C92" s="16">
        <v>8724</v>
      </c>
      <c r="D92" s="16" t="s">
        <v>251</v>
      </c>
      <c r="E92" s="18">
        <f>_xlfn.IFNA(VLOOKUP(C:C,线上线下销售!B:D,3,0),0)</f>
        <v>8032.605</v>
      </c>
      <c r="F92" s="18">
        <f>SUMIFS(线上订单!$E:$E,线上订单!$B:$B,美团日报!$C92)-SUMIFS(线上订单!$E:$E,线上订单!$B:$B,美团日报!$C92,线上订单!$D:$D,"美团")-SUMIFS(线上订单!$E:$E,线上订单!$B:$B,美团日报!$C92,线上订单!$D:$D,"饿了么")</f>
        <v>195.69911504419</v>
      </c>
      <c r="G92" s="19">
        <f t="shared" si="10"/>
        <v>0.0243630945433256</v>
      </c>
      <c r="H92" s="18">
        <f>SUMIFS(线上订单!$F:$F,线上订单!$B:$B,美团日报!$C92)-SUMIFS(线上订单!$F:$F,线上订单!$B:$B,美团日报!$C92,线上订单!$D:$D,"美团")-SUMIFS(线上订单!$F:$F,线上订单!$B:$B,美团日报!$C92,线上订单!$D:$D,"饿了么")</f>
        <v>10</v>
      </c>
      <c r="I92" s="18">
        <f>SUMIFS(线上订单!$F:$F,线上订单!$B:$B,美团日报!$C92)-SUMIFS(线上订单!$F:$F,线上订单!$B:$B,美团日报!$C92,线上订单!$D:$D,"美团")-SUMIFS(线上订单!$F:$F,线上订单!$B:$B,美团日报!$C92,线上订单!$D:$D,"饿了么")</f>
        <v>10</v>
      </c>
      <c r="J92" s="21">
        <f t="shared" si="11"/>
        <v>19.569911504419</v>
      </c>
      <c r="K92" s="22" t="e">
        <f t="shared" si="6"/>
        <v>#REF!</v>
      </c>
      <c r="L92" s="19" t="e">
        <f>SUMIFS(#REF!,#REF!,美团日报!$C$2,#REF!,"秒达")</f>
        <v>#REF!</v>
      </c>
      <c r="M92" s="23"/>
      <c r="N92" s="23"/>
      <c r="O92" s="22" t="e">
        <f t="shared" si="7"/>
        <v>#REF!</v>
      </c>
      <c r="P92" s="19" t="e">
        <f>SUMIFS(#REF!,#REF!,美团日报!$C92,#REF!,"秒达")</f>
        <v>#REF!</v>
      </c>
      <c r="Q92" s="23"/>
      <c r="R92" s="23"/>
      <c r="S92" s="22" t="e">
        <f t="shared" si="8"/>
        <v>#REF!</v>
      </c>
      <c r="T92" s="19" t="e">
        <f>SUMIFS(#REF!,#REF!,美团日报!$C92,#REF!,"O2O")</f>
        <v>#REF!</v>
      </c>
      <c r="U92" s="22" t="e">
        <f t="shared" si="9"/>
        <v>#REF!</v>
      </c>
      <c r="V92" s="19" t="e">
        <f>SUMIFS(#REF!,#REF!,美团日报!$C92,#REF!,"O2O")</f>
        <v>#REF!</v>
      </c>
      <c r="W92" s="24" t="s">
        <v>13</v>
      </c>
    </row>
    <row r="93" ht="14.4" spans="1:23">
      <c r="A93" s="16" t="s">
        <v>43</v>
      </c>
      <c r="B93" s="16" t="s">
        <v>161</v>
      </c>
      <c r="C93" s="16">
        <v>8729</v>
      </c>
      <c r="D93" s="16" t="s">
        <v>253</v>
      </c>
      <c r="E93" s="18">
        <f>_xlfn.IFNA(VLOOKUP(C:C,线上线下销售!B:D,3,0),0)</f>
        <v>8116.9096</v>
      </c>
      <c r="F93" s="18">
        <f>SUMIFS(线上订单!$E:$E,线上订单!$B:$B,美团日报!$C93)-SUMIFS(线上订单!$E:$E,线上订单!$B:$B,美团日报!$C93,线上订单!$D:$D,"美团")-SUMIFS(线上订单!$E:$E,线上订单!$B:$B,美团日报!$C93,线上订单!$D:$D,"饿了么")</f>
        <v>264.86725663716</v>
      </c>
      <c r="G93" s="19">
        <f t="shared" si="10"/>
        <v>0.0326315395501214</v>
      </c>
      <c r="H93" s="18">
        <f>SUMIFS(线上订单!$F:$F,线上订单!$B:$B,美团日报!$C93)-SUMIFS(线上订单!$F:$F,线上订单!$B:$B,美团日报!$C93,线上订单!$D:$D,"美团")-SUMIFS(线上订单!$F:$F,线上订单!$B:$B,美团日报!$C93,线上订单!$D:$D,"饿了么")</f>
        <v>8</v>
      </c>
      <c r="I93" s="18">
        <f>SUMIFS(线上订单!$F:$F,线上订单!$B:$B,美团日报!$C93)-SUMIFS(线上订单!$F:$F,线上订单!$B:$B,美团日报!$C93,线上订单!$D:$D,"美团")-SUMIFS(线上订单!$F:$F,线上订单!$B:$B,美团日报!$C93,线上订单!$D:$D,"饿了么")</f>
        <v>8</v>
      </c>
      <c r="J93" s="21">
        <f t="shared" si="11"/>
        <v>33.108407079645</v>
      </c>
      <c r="K93" s="22" t="e">
        <f t="shared" si="6"/>
        <v>#REF!</v>
      </c>
      <c r="L93" s="19" t="e">
        <f>SUMIFS(#REF!,#REF!,美团日报!$C$2,#REF!,"秒达")</f>
        <v>#REF!</v>
      </c>
      <c r="M93" s="23"/>
      <c r="N93" s="23"/>
      <c r="O93" s="22" t="e">
        <f t="shared" si="7"/>
        <v>#REF!</v>
      </c>
      <c r="P93" s="19" t="e">
        <f>SUMIFS(#REF!,#REF!,美团日报!$C93,#REF!,"秒达")</f>
        <v>#REF!</v>
      </c>
      <c r="Q93" s="23"/>
      <c r="R93" s="23"/>
      <c r="S93" s="22" t="e">
        <f t="shared" si="8"/>
        <v>#REF!</v>
      </c>
      <c r="T93" s="19" t="e">
        <f>SUMIFS(#REF!,#REF!,美团日报!$C93,#REF!,"O2O")</f>
        <v>#REF!</v>
      </c>
      <c r="U93" s="22" t="e">
        <f t="shared" si="9"/>
        <v>#REF!</v>
      </c>
      <c r="V93" s="19" t="e">
        <f>SUMIFS(#REF!,#REF!,美团日报!$C93,#REF!,"O2O")</f>
        <v>#REF!</v>
      </c>
      <c r="W93" s="24" t="s">
        <v>13</v>
      </c>
    </row>
    <row r="94" ht="14.4" spans="1:23">
      <c r="A94" s="16" t="s">
        <v>43</v>
      </c>
      <c r="B94" s="16" t="s">
        <v>575</v>
      </c>
      <c r="C94" s="16">
        <v>8727</v>
      </c>
      <c r="D94" s="16" t="s">
        <v>255</v>
      </c>
      <c r="E94" s="18">
        <f>_xlfn.IFNA(VLOOKUP(C:C,线上线下销售!B:D,3,0),0)</f>
        <v>0</v>
      </c>
      <c r="F94" s="18">
        <f>SUMIFS(线上订单!$E:$E,线上订单!$B:$B,美团日报!$C94)-SUMIFS(线上订单!$E:$E,线上订单!$B:$B,美团日报!$C94,线上订单!$D:$D,"美团")-SUMIFS(线上订单!$E:$E,线上订单!$B:$B,美团日报!$C94,线上订单!$D:$D,"饿了么")</f>
        <v>0</v>
      </c>
      <c r="G94" s="19">
        <f t="shared" si="10"/>
        <v>0</v>
      </c>
      <c r="H94" s="18">
        <f>SUMIFS(线上订单!$F:$F,线上订单!$B:$B,美团日报!$C94)-SUMIFS(线上订单!$F:$F,线上订单!$B:$B,美团日报!$C94,线上订单!$D:$D,"美团")-SUMIFS(线上订单!$F:$F,线上订单!$B:$B,美团日报!$C94,线上订单!$D:$D,"饿了么")</f>
        <v>0</v>
      </c>
      <c r="I94" s="18">
        <f>SUMIFS(线上订单!$F:$F,线上订单!$B:$B,美团日报!$C94)-SUMIFS(线上订单!$F:$F,线上订单!$B:$B,美团日报!$C94,线上订单!$D:$D,"美团")-SUMIFS(线上订单!$F:$F,线上订单!$B:$B,美团日报!$C94,线上订单!$D:$D,"饿了么")</f>
        <v>0</v>
      </c>
      <c r="J94" s="21">
        <f t="shared" si="11"/>
        <v>0</v>
      </c>
      <c r="K94" s="22" t="e">
        <f t="shared" si="6"/>
        <v>#REF!</v>
      </c>
      <c r="L94" s="19" t="e">
        <f>SUMIFS(#REF!,#REF!,美团日报!$C$2,#REF!,"秒达")</f>
        <v>#REF!</v>
      </c>
      <c r="M94" s="23"/>
      <c r="N94" s="23"/>
      <c r="O94" s="22" t="e">
        <f t="shared" si="7"/>
        <v>#REF!</v>
      </c>
      <c r="P94" s="19" t="e">
        <f>SUMIFS(#REF!,#REF!,美团日报!$C94,#REF!,"秒达")</f>
        <v>#REF!</v>
      </c>
      <c r="Q94" s="23"/>
      <c r="R94" s="23"/>
      <c r="S94" s="22" t="e">
        <f t="shared" si="8"/>
        <v>#REF!</v>
      </c>
      <c r="T94" s="19" t="e">
        <f>SUMIFS(#REF!,#REF!,美团日报!$C94,#REF!,"O2O")</f>
        <v>#REF!</v>
      </c>
      <c r="U94" s="22" t="e">
        <f t="shared" si="9"/>
        <v>#REF!</v>
      </c>
      <c r="V94" s="19" t="e">
        <f>SUMIFS(#REF!,#REF!,美团日报!$C94,#REF!,"O2O")</f>
        <v>#REF!</v>
      </c>
      <c r="W94" s="24" t="s">
        <v>13</v>
      </c>
    </row>
    <row r="95" ht="14.4" spans="1:23">
      <c r="A95" s="16" t="s">
        <v>48</v>
      </c>
      <c r="B95" s="16" t="s">
        <v>89</v>
      </c>
      <c r="C95" s="16">
        <v>8722</v>
      </c>
      <c r="D95" s="16" t="s">
        <v>257</v>
      </c>
      <c r="E95" s="18">
        <f>_xlfn.IFNA(VLOOKUP(C:C,线上线下销售!B:D,3,0),0)</f>
        <v>10388.1367</v>
      </c>
      <c r="F95" s="18">
        <f>SUMIFS(线上订单!$E:$E,线上订单!$B:$B,美团日报!$C95)-SUMIFS(线上订单!$E:$E,线上订单!$B:$B,美团日报!$C95,线上订单!$D:$D,"美团")-SUMIFS(线上订单!$E:$E,线上订单!$B:$B,美团日报!$C95,线上订单!$D:$D,"饿了么")</f>
        <v>102.56637168143</v>
      </c>
      <c r="G95" s="19">
        <f t="shared" si="10"/>
        <v>0.00987341374526098</v>
      </c>
      <c r="H95" s="18">
        <f>SUMIFS(线上订单!$F:$F,线上订单!$B:$B,美团日报!$C95)-SUMIFS(线上订单!$F:$F,线上订单!$B:$B,美团日报!$C95,线上订单!$D:$D,"美团")-SUMIFS(线上订单!$F:$F,线上订单!$B:$B,美团日报!$C95,线上订单!$D:$D,"饿了么")</f>
        <v>3</v>
      </c>
      <c r="I95" s="18">
        <f>SUMIFS(线上订单!$F:$F,线上订单!$B:$B,美团日报!$C95)-SUMIFS(线上订单!$F:$F,线上订单!$B:$B,美团日报!$C95,线上订单!$D:$D,"美团")-SUMIFS(线上订单!$F:$F,线上订单!$B:$B,美团日报!$C95,线上订单!$D:$D,"饿了么")</f>
        <v>3</v>
      </c>
      <c r="J95" s="21">
        <f t="shared" si="11"/>
        <v>34.1887905604767</v>
      </c>
      <c r="K95" s="22" t="e">
        <f t="shared" si="6"/>
        <v>#REF!</v>
      </c>
      <c r="L95" s="19" t="e">
        <f>SUMIFS(#REF!,#REF!,美团日报!$C$2,#REF!,"秒达")</f>
        <v>#REF!</v>
      </c>
      <c r="M95" s="23"/>
      <c r="N95" s="23"/>
      <c r="O95" s="22" t="e">
        <f t="shared" si="7"/>
        <v>#REF!</v>
      </c>
      <c r="P95" s="19" t="e">
        <f>SUMIFS(#REF!,#REF!,美团日报!$C95,#REF!,"秒达")</f>
        <v>#REF!</v>
      </c>
      <c r="Q95" s="23"/>
      <c r="R95" s="23"/>
      <c r="S95" s="22" t="e">
        <f t="shared" si="8"/>
        <v>#REF!</v>
      </c>
      <c r="T95" s="19" t="e">
        <f>SUMIFS(#REF!,#REF!,美团日报!$C95,#REF!,"O2O")</f>
        <v>#REF!</v>
      </c>
      <c r="U95" s="22" t="e">
        <f t="shared" si="9"/>
        <v>#REF!</v>
      </c>
      <c r="V95" s="19" t="e">
        <f>SUMIFS(#REF!,#REF!,美团日报!$C95,#REF!,"O2O")</f>
        <v>#REF!</v>
      </c>
      <c r="W95" s="24" t="s">
        <v>13</v>
      </c>
    </row>
    <row r="96" ht="14.4" spans="1:23">
      <c r="A96" s="16" t="s">
        <v>43</v>
      </c>
      <c r="B96" s="16" t="s">
        <v>161</v>
      </c>
      <c r="C96" s="16">
        <v>8715</v>
      </c>
      <c r="D96" s="16" t="s">
        <v>259</v>
      </c>
      <c r="E96" s="18">
        <f>_xlfn.IFNA(VLOOKUP(C:C,线上线下销售!B:D,3,0),0)</f>
        <v>11398.6807</v>
      </c>
      <c r="F96" s="18">
        <f>SUMIFS(线上订单!$E:$E,线上订单!$B:$B,美团日报!$C96)-SUMIFS(线上订单!$E:$E,线上订单!$B:$B,美团日报!$C96,线上订单!$D:$D,"美团")-SUMIFS(线上订单!$E:$E,线上订单!$B:$B,美团日报!$C96,线上订单!$D:$D,"饿了么")</f>
        <v>240.31825931639</v>
      </c>
      <c r="G96" s="19">
        <f t="shared" si="10"/>
        <v>0.0210829889564667</v>
      </c>
      <c r="H96" s="18">
        <f>SUMIFS(线上订单!$F:$F,线上订单!$B:$B,美团日报!$C96)-SUMIFS(线上订单!$F:$F,线上订单!$B:$B,美团日报!$C96,线上订单!$D:$D,"美团")-SUMIFS(线上订单!$F:$F,线上订单!$B:$B,美团日报!$C96,线上订单!$D:$D,"饿了么")</f>
        <v>5</v>
      </c>
      <c r="I96" s="18">
        <f>SUMIFS(线上订单!$F:$F,线上订单!$B:$B,美团日报!$C96)-SUMIFS(线上订单!$F:$F,线上订单!$B:$B,美团日报!$C96,线上订单!$D:$D,"美团")-SUMIFS(线上订单!$F:$F,线上订单!$B:$B,美团日报!$C96,线上订单!$D:$D,"饿了么")</f>
        <v>5</v>
      </c>
      <c r="J96" s="21">
        <f t="shared" si="11"/>
        <v>48.063651863278</v>
      </c>
      <c r="K96" s="22" t="e">
        <f t="shared" si="6"/>
        <v>#REF!</v>
      </c>
      <c r="L96" s="19" t="e">
        <f>SUMIFS(#REF!,#REF!,美团日报!$C$2,#REF!,"秒达")</f>
        <v>#REF!</v>
      </c>
      <c r="M96" s="23"/>
      <c r="N96" s="23"/>
      <c r="O96" s="22" t="e">
        <f t="shared" si="7"/>
        <v>#REF!</v>
      </c>
      <c r="P96" s="19" t="e">
        <f>SUMIFS(#REF!,#REF!,美团日报!$C96,#REF!,"秒达")</f>
        <v>#REF!</v>
      </c>
      <c r="Q96" s="23"/>
      <c r="R96" s="23"/>
      <c r="S96" s="22" t="e">
        <f t="shared" si="8"/>
        <v>#REF!</v>
      </c>
      <c r="T96" s="19" t="e">
        <f>SUMIFS(#REF!,#REF!,美团日报!$C96,#REF!,"O2O")</f>
        <v>#REF!</v>
      </c>
      <c r="U96" s="22" t="e">
        <f t="shared" si="9"/>
        <v>#REF!</v>
      </c>
      <c r="V96" s="19" t="e">
        <f>SUMIFS(#REF!,#REF!,美团日报!$C96,#REF!,"O2O")</f>
        <v>#REF!</v>
      </c>
      <c r="W96" s="24" t="s">
        <v>13</v>
      </c>
    </row>
    <row r="97" ht="14.4" spans="1:23">
      <c r="A97" s="16" t="s">
        <v>264</v>
      </c>
      <c r="B97" s="16" t="s">
        <v>350</v>
      </c>
      <c r="C97" s="16">
        <v>8720</v>
      </c>
      <c r="D97" s="16" t="s">
        <v>262</v>
      </c>
      <c r="E97" s="18">
        <f>_xlfn.IFNA(VLOOKUP(C:C,线上线下销售!B:D,3,0),0)</f>
        <v>9138.2401</v>
      </c>
      <c r="F97" s="18">
        <f>SUMIFS(线上订单!$E:$E,线上订单!$B:$B,美团日报!$C97)-SUMIFS(线上订单!$E:$E,线上订单!$B:$B,美团日报!$C97,线上订单!$D:$D,"美团")-SUMIFS(线上订单!$E:$E,线上订单!$B:$B,美团日报!$C97,线上订单!$D:$D,"饿了么")</f>
        <v>484.75797678006</v>
      </c>
      <c r="G97" s="19">
        <f t="shared" si="10"/>
        <v>0.0530471919620562</v>
      </c>
      <c r="H97" s="18">
        <f>SUMIFS(线上订单!$F:$F,线上订单!$B:$B,美团日报!$C97)-SUMIFS(线上订单!$F:$F,线上订单!$B:$B,美团日报!$C97,线上订单!$D:$D,"美团")-SUMIFS(线上订单!$F:$F,线上订单!$B:$B,美团日报!$C97,线上订单!$D:$D,"饿了么")</f>
        <v>16</v>
      </c>
      <c r="I97" s="18">
        <f>SUMIFS(线上订单!$F:$F,线上订单!$B:$B,美团日报!$C97)-SUMIFS(线上订单!$F:$F,线上订单!$B:$B,美团日报!$C97,线上订单!$D:$D,"美团")-SUMIFS(线上订单!$F:$F,线上订单!$B:$B,美团日报!$C97,线上订单!$D:$D,"饿了么")</f>
        <v>16</v>
      </c>
      <c r="J97" s="21">
        <f t="shared" si="11"/>
        <v>30.2973735487538</v>
      </c>
      <c r="K97" s="22" t="e">
        <f t="shared" si="6"/>
        <v>#REF!</v>
      </c>
      <c r="L97" s="19" t="e">
        <f>SUMIFS(#REF!,#REF!,美团日报!$C$2,#REF!,"秒达")</f>
        <v>#REF!</v>
      </c>
      <c r="M97" s="23"/>
      <c r="N97" s="23"/>
      <c r="O97" s="22" t="e">
        <f t="shared" si="7"/>
        <v>#REF!</v>
      </c>
      <c r="P97" s="19" t="e">
        <f>SUMIFS(#REF!,#REF!,美团日报!$C97,#REF!,"秒达")</f>
        <v>#REF!</v>
      </c>
      <c r="Q97" s="23"/>
      <c r="R97" s="23"/>
      <c r="S97" s="22" t="e">
        <f t="shared" si="8"/>
        <v>#REF!</v>
      </c>
      <c r="T97" s="19" t="e">
        <f>SUMIFS(#REF!,#REF!,美团日报!$C97,#REF!,"O2O")</f>
        <v>#REF!</v>
      </c>
      <c r="U97" s="22" t="e">
        <f t="shared" si="9"/>
        <v>#REF!</v>
      </c>
      <c r="V97" s="19" t="e">
        <f>SUMIFS(#REF!,#REF!,美团日报!$C97,#REF!,"O2O")</f>
        <v>#REF!</v>
      </c>
      <c r="W97" s="24" t="s">
        <v>13</v>
      </c>
    </row>
    <row r="98" ht="14.4" spans="1:23">
      <c r="A98" s="16" t="s">
        <v>48</v>
      </c>
      <c r="B98" s="16" t="s">
        <v>89</v>
      </c>
      <c r="C98" s="16">
        <v>8717</v>
      </c>
      <c r="D98" s="16" t="s">
        <v>265</v>
      </c>
      <c r="E98" s="18">
        <f>_xlfn.IFNA(VLOOKUP(C:C,线上线下销售!B:D,3,0),0)</f>
        <v>8215.2866</v>
      </c>
      <c r="F98" s="18">
        <f>SUMIFS(线上订单!$E:$E,线上订单!$B:$B,美团日报!$C98)-SUMIFS(线上订单!$E:$E,线上订单!$B:$B,美团日报!$C98,线上订单!$D:$D,"美团")-SUMIFS(线上订单!$E:$E,线上订单!$B:$B,美团日报!$C98,线上订单!$D:$D,"饿了么")</f>
        <v>250.63481367213</v>
      </c>
      <c r="G98" s="19">
        <f t="shared" si="10"/>
        <v>0.0305083469239077</v>
      </c>
      <c r="H98" s="18">
        <f>SUMIFS(线上订单!$F:$F,线上订单!$B:$B,美团日报!$C98)-SUMIFS(线上订单!$F:$F,线上订单!$B:$B,美团日报!$C98,线上订单!$D:$D,"美团")-SUMIFS(线上订单!$F:$F,线上订单!$B:$B,美团日报!$C98,线上订单!$D:$D,"饿了么")</f>
        <v>6</v>
      </c>
      <c r="I98" s="18">
        <f>SUMIFS(线上订单!$F:$F,线上订单!$B:$B,美团日报!$C98)-SUMIFS(线上订单!$F:$F,线上订单!$B:$B,美团日报!$C98,线上订单!$D:$D,"美团")-SUMIFS(线上订单!$F:$F,线上订单!$B:$B,美团日报!$C98,线上订单!$D:$D,"饿了么")</f>
        <v>6</v>
      </c>
      <c r="J98" s="21">
        <f t="shared" si="11"/>
        <v>41.772468945355</v>
      </c>
      <c r="K98" s="22" t="e">
        <f t="shared" si="6"/>
        <v>#REF!</v>
      </c>
      <c r="L98" s="19" t="e">
        <f>SUMIFS(#REF!,#REF!,美团日报!$C$2,#REF!,"秒达")</f>
        <v>#REF!</v>
      </c>
      <c r="M98" s="23"/>
      <c r="N98" s="23"/>
      <c r="O98" s="22" t="e">
        <f t="shared" si="7"/>
        <v>#REF!</v>
      </c>
      <c r="P98" s="19" t="e">
        <f>SUMIFS(#REF!,#REF!,美团日报!$C98,#REF!,"秒达")</f>
        <v>#REF!</v>
      </c>
      <c r="Q98" s="23"/>
      <c r="R98" s="23"/>
      <c r="S98" s="22" t="e">
        <f t="shared" si="8"/>
        <v>#REF!</v>
      </c>
      <c r="T98" s="19" t="e">
        <f>SUMIFS(#REF!,#REF!,美团日报!$C98,#REF!,"O2O")</f>
        <v>#REF!</v>
      </c>
      <c r="U98" s="22" t="e">
        <f t="shared" si="9"/>
        <v>#REF!</v>
      </c>
      <c r="V98" s="19" t="e">
        <f>SUMIFS(#REF!,#REF!,美团日报!$C98,#REF!,"O2O")</f>
        <v>#REF!</v>
      </c>
      <c r="W98" s="24" t="s">
        <v>13</v>
      </c>
    </row>
    <row r="99" ht="14.4" spans="1:23">
      <c r="A99" s="16" t="s">
        <v>43</v>
      </c>
      <c r="B99" s="16" t="s">
        <v>131</v>
      </c>
      <c r="C99" s="16">
        <v>8730</v>
      </c>
      <c r="D99" s="16" t="s">
        <v>267</v>
      </c>
      <c r="E99" s="18">
        <f>_xlfn.IFNA(VLOOKUP(C:C,线上线下销售!B:D,3,0),0)</f>
        <v>12851.1993</v>
      </c>
      <c r="F99" s="18">
        <f>SUMIFS(线上订单!$E:$E,线上订单!$B:$B,美团日报!$C99)-SUMIFS(线上订单!$E:$E,线上订单!$B:$B,美团日报!$C99,线上订单!$D:$D,"美团")-SUMIFS(线上订单!$E:$E,线上订单!$B:$B,美团日报!$C99,线上订单!$D:$D,"饿了么")</f>
        <v>315.37022002109</v>
      </c>
      <c r="G99" s="19">
        <f t="shared" si="10"/>
        <v>0.0245401392242894</v>
      </c>
      <c r="H99" s="18">
        <f>SUMIFS(线上订单!$F:$F,线上订单!$B:$B,美团日报!$C99)-SUMIFS(线上订单!$F:$F,线上订单!$B:$B,美团日报!$C99,线上订单!$D:$D,"美团")-SUMIFS(线上订单!$F:$F,线上订单!$B:$B,美团日报!$C99,线上订单!$D:$D,"饿了么")</f>
        <v>12</v>
      </c>
      <c r="I99" s="18">
        <f>SUMIFS(线上订单!$F:$F,线上订单!$B:$B,美团日报!$C99)-SUMIFS(线上订单!$F:$F,线上订单!$B:$B,美团日报!$C99,线上订单!$D:$D,"美团")-SUMIFS(线上订单!$F:$F,线上订单!$B:$B,美团日报!$C99,线上订单!$D:$D,"饿了么")</f>
        <v>12</v>
      </c>
      <c r="J99" s="21">
        <f t="shared" si="11"/>
        <v>26.2808516684242</v>
      </c>
      <c r="K99" s="22" t="e">
        <f t="shared" si="6"/>
        <v>#REF!</v>
      </c>
      <c r="L99" s="19" t="e">
        <f>SUMIFS(#REF!,#REF!,美团日报!$C$2,#REF!,"秒达")</f>
        <v>#REF!</v>
      </c>
      <c r="M99" s="23"/>
      <c r="N99" s="23"/>
      <c r="O99" s="22" t="e">
        <f t="shared" si="7"/>
        <v>#REF!</v>
      </c>
      <c r="P99" s="19" t="e">
        <f>SUMIFS(#REF!,#REF!,美团日报!$C99,#REF!,"秒达")</f>
        <v>#REF!</v>
      </c>
      <c r="Q99" s="23"/>
      <c r="R99" s="23"/>
      <c r="S99" s="22" t="e">
        <f t="shared" si="8"/>
        <v>#REF!</v>
      </c>
      <c r="T99" s="19" t="e">
        <f>SUMIFS(#REF!,#REF!,美团日报!$C99,#REF!,"O2O")</f>
        <v>#REF!</v>
      </c>
      <c r="U99" s="22" t="e">
        <f t="shared" si="9"/>
        <v>#REF!</v>
      </c>
      <c r="V99" s="19" t="e">
        <f>SUMIFS(#REF!,#REF!,美团日报!$C99,#REF!,"O2O")</f>
        <v>#REF!</v>
      </c>
      <c r="W99" s="24" t="s">
        <v>13</v>
      </c>
    </row>
    <row r="100" ht="14.4" spans="1:23">
      <c r="A100" s="16" t="s">
        <v>43</v>
      </c>
      <c r="B100" s="16" t="s">
        <v>301</v>
      </c>
      <c r="C100" s="16">
        <v>8698</v>
      </c>
      <c r="D100" s="16" t="s">
        <v>269</v>
      </c>
      <c r="E100" s="18">
        <f>_xlfn.IFNA(VLOOKUP(C:C,线上线下销售!B:D,3,0),0)</f>
        <v>9708.2172</v>
      </c>
      <c r="F100" s="18">
        <f>SUMIFS(线上订单!$E:$E,线上订单!$B:$B,美团日报!$C100)-SUMIFS(线上订单!$E:$E,线上订单!$B:$B,美团日报!$C100,线上订单!$D:$D,"美团")-SUMIFS(线上订单!$E:$E,线上订单!$B:$B,美团日报!$C100,线上订单!$D:$D,"饿了么")</f>
        <v>243.71681415928</v>
      </c>
      <c r="G100" s="19">
        <f t="shared" si="10"/>
        <v>0.0251041781553136</v>
      </c>
      <c r="H100" s="18">
        <f>SUMIFS(线上订单!$F:$F,线上订单!$B:$B,美团日报!$C100)-SUMIFS(线上订单!$F:$F,线上订单!$B:$B,美团日报!$C100,线上订单!$D:$D,"美团")-SUMIFS(线上订单!$F:$F,线上订单!$B:$B,美团日报!$C100,线上订单!$D:$D,"饿了么")</f>
        <v>11</v>
      </c>
      <c r="I100" s="18">
        <f>SUMIFS(线上订单!$F:$F,线上订单!$B:$B,美团日报!$C100)-SUMIFS(线上订单!$F:$F,线上订单!$B:$B,美团日报!$C100,线上订单!$D:$D,"美团")-SUMIFS(线上订单!$F:$F,线上订单!$B:$B,美团日报!$C100,线上订单!$D:$D,"饿了么")</f>
        <v>11</v>
      </c>
      <c r="J100" s="21">
        <f t="shared" si="11"/>
        <v>22.15607401448</v>
      </c>
      <c r="K100" s="22" t="e">
        <f t="shared" si="6"/>
        <v>#REF!</v>
      </c>
      <c r="L100" s="19" t="e">
        <f>SUMIFS(#REF!,#REF!,美团日报!$C$2,#REF!,"秒达")</f>
        <v>#REF!</v>
      </c>
      <c r="M100" s="23"/>
      <c r="N100" s="23"/>
      <c r="O100" s="22" t="e">
        <f t="shared" si="7"/>
        <v>#REF!</v>
      </c>
      <c r="P100" s="19" t="e">
        <f>SUMIFS(#REF!,#REF!,美团日报!$C100,#REF!,"秒达")</f>
        <v>#REF!</v>
      </c>
      <c r="Q100" s="23"/>
      <c r="R100" s="23"/>
      <c r="S100" s="22" t="e">
        <f t="shared" si="8"/>
        <v>#REF!</v>
      </c>
      <c r="T100" s="19" t="e">
        <f>SUMIFS(#REF!,#REF!,美团日报!$C100,#REF!,"O2O")</f>
        <v>#REF!</v>
      </c>
      <c r="U100" s="22" t="e">
        <f t="shared" si="9"/>
        <v>#REF!</v>
      </c>
      <c r="V100" s="19" t="e">
        <f>SUMIFS(#REF!,#REF!,美团日报!$C100,#REF!,"O2O")</f>
        <v>#REF!</v>
      </c>
      <c r="W100" s="24" t="s">
        <v>13</v>
      </c>
    </row>
    <row r="101" ht="14.4" spans="1:23">
      <c r="A101" s="16" t="s">
        <v>43</v>
      </c>
      <c r="B101" s="16" t="s">
        <v>575</v>
      </c>
      <c r="C101" s="16">
        <v>8731</v>
      </c>
      <c r="D101" s="16" t="s">
        <v>271</v>
      </c>
      <c r="E101" s="18">
        <f>_xlfn.IFNA(VLOOKUP(C:C,线上线下销售!B:D,3,0),0)</f>
        <v>7623.9562</v>
      </c>
      <c r="F101" s="18">
        <f>SUMIFS(线上订单!$E:$E,线上订单!$B:$B,美团日报!$C101)-SUMIFS(线上订单!$E:$E,线上订单!$B:$B,美团日报!$C101,线上订单!$D:$D,"美团")-SUMIFS(线上订单!$E:$E,线上订单!$B:$B,美团日报!$C101,线上订单!$D:$D,"饿了么")</f>
        <v>0</v>
      </c>
      <c r="G101" s="19">
        <f t="shared" si="10"/>
        <v>0</v>
      </c>
      <c r="H101" s="18">
        <f>SUMIFS(线上订单!$F:$F,线上订单!$B:$B,美团日报!$C101)-SUMIFS(线上订单!$F:$F,线上订单!$B:$B,美团日报!$C101,线上订单!$D:$D,"美团")-SUMIFS(线上订单!$F:$F,线上订单!$B:$B,美团日报!$C101,线上订单!$D:$D,"饿了么")</f>
        <v>0</v>
      </c>
      <c r="I101" s="18">
        <f>SUMIFS(线上订单!$F:$F,线上订单!$B:$B,美团日报!$C101)-SUMIFS(线上订单!$F:$F,线上订单!$B:$B,美团日报!$C101,线上订单!$D:$D,"美团")-SUMIFS(线上订单!$F:$F,线上订单!$B:$B,美团日报!$C101,线上订单!$D:$D,"饿了么")</f>
        <v>0</v>
      </c>
      <c r="J101" s="21">
        <f t="shared" si="11"/>
        <v>0</v>
      </c>
      <c r="K101" s="22" t="e">
        <f t="shared" si="6"/>
        <v>#REF!</v>
      </c>
      <c r="L101" s="19" t="e">
        <f>SUMIFS(#REF!,#REF!,美团日报!$C$2,#REF!,"秒达")</f>
        <v>#REF!</v>
      </c>
      <c r="M101" s="23"/>
      <c r="N101" s="23"/>
      <c r="O101" s="22" t="e">
        <f t="shared" si="7"/>
        <v>#REF!</v>
      </c>
      <c r="P101" s="19" t="e">
        <f>SUMIFS(#REF!,#REF!,美团日报!$C101,#REF!,"秒达")</f>
        <v>#REF!</v>
      </c>
      <c r="Q101" s="23"/>
      <c r="R101" s="23"/>
      <c r="S101" s="22" t="e">
        <f t="shared" si="8"/>
        <v>#REF!</v>
      </c>
      <c r="T101" s="19" t="e">
        <f>SUMIFS(#REF!,#REF!,美团日报!$C101,#REF!,"O2O")</f>
        <v>#REF!</v>
      </c>
      <c r="U101" s="22" t="e">
        <f t="shared" si="9"/>
        <v>#REF!</v>
      </c>
      <c r="V101" s="19" t="e">
        <f>SUMIFS(#REF!,#REF!,美团日报!$C101,#REF!,"O2O")</f>
        <v>#REF!</v>
      </c>
      <c r="W101" s="24" t="s">
        <v>13</v>
      </c>
    </row>
    <row r="102" ht="14.4" spans="1:23">
      <c r="A102" s="16" t="s">
        <v>63</v>
      </c>
      <c r="B102" s="16" t="s">
        <v>574</v>
      </c>
      <c r="C102" s="16">
        <v>8737</v>
      </c>
      <c r="D102" s="16" t="s">
        <v>273</v>
      </c>
      <c r="E102" s="18">
        <f>_xlfn.IFNA(VLOOKUP(C:C,线上线下销售!B:D,3,0),0)</f>
        <v>12861.4771</v>
      </c>
      <c r="F102" s="18">
        <f>SUMIFS(线上订单!$E:$E,线上订单!$B:$B,美团日报!$C102)-SUMIFS(线上订单!$E:$E,线上订单!$B:$B,美团日报!$C102,线上订单!$D:$D,"美团")-SUMIFS(线上订单!$E:$E,线上订单!$B:$B,美团日报!$C102,线上订单!$D:$D,"饿了么")</f>
        <v>0</v>
      </c>
      <c r="G102" s="19">
        <f t="shared" si="10"/>
        <v>0</v>
      </c>
      <c r="H102" s="18">
        <f>SUMIFS(线上订单!$F:$F,线上订单!$B:$B,美团日报!$C102)-SUMIFS(线上订单!$F:$F,线上订单!$B:$B,美团日报!$C102,线上订单!$D:$D,"美团")-SUMIFS(线上订单!$F:$F,线上订单!$B:$B,美团日报!$C102,线上订单!$D:$D,"饿了么")</f>
        <v>0</v>
      </c>
      <c r="I102" s="18">
        <f>SUMIFS(线上订单!$F:$F,线上订单!$B:$B,美团日报!$C102)-SUMIFS(线上订单!$F:$F,线上订单!$B:$B,美团日报!$C102,线上订单!$D:$D,"美团")-SUMIFS(线上订单!$F:$F,线上订单!$B:$B,美团日报!$C102,线上订单!$D:$D,"饿了么")</f>
        <v>0</v>
      </c>
      <c r="J102" s="21">
        <f t="shared" si="11"/>
        <v>0</v>
      </c>
      <c r="K102" s="22" t="e">
        <f t="shared" si="6"/>
        <v>#REF!</v>
      </c>
      <c r="L102" s="19" t="e">
        <f>SUMIFS(#REF!,#REF!,美团日报!$C$2,#REF!,"秒达")</f>
        <v>#REF!</v>
      </c>
      <c r="M102" s="23"/>
      <c r="N102" s="23"/>
      <c r="O102" s="22" t="e">
        <f t="shared" si="7"/>
        <v>#REF!</v>
      </c>
      <c r="P102" s="19" t="e">
        <f>SUMIFS(#REF!,#REF!,美团日报!$C102,#REF!,"秒达")</f>
        <v>#REF!</v>
      </c>
      <c r="Q102" s="23"/>
      <c r="R102" s="23"/>
      <c r="S102" s="22" t="e">
        <f t="shared" si="8"/>
        <v>#REF!</v>
      </c>
      <c r="T102" s="19" t="e">
        <f>SUMIFS(#REF!,#REF!,美团日报!$C102,#REF!,"O2O")</f>
        <v>#REF!</v>
      </c>
      <c r="U102" s="22" t="e">
        <f t="shared" si="9"/>
        <v>#REF!</v>
      </c>
      <c r="V102" s="19" t="e">
        <f>SUMIFS(#REF!,#REF!,美团日报!$C102,#REF!,"O2O")</f>
        <v>#REF!</v>
      </c>
      <c r="W102" s="24" t="s">
        <v>13</v>
      </c>
    </row>
    <row r="103" ht="14.4" spans="1:23">
      <c r="A103" s="16" t="s">
        <v>48</v>
      </c>
      <c r="B103" s="16" t="s">
        <v>64</v>
      </c>
      <c r="C103" s="16">
        <v>8735</v>
      </c>
      <c r="D103" s="16" t="s">
        <v>275</v>
      </c>
      <c r="E103" s="18">
        <f>_xlfn.IFNA(VLOOKUP(C:C,线上线下销售!B:D,3,0),0)</f>
        <v>5171.4056</v>
      </c>
      <c r="F103" s="18">
        <f>SUMIFS(线上订单!$E:$E,线上订单!$B:$B,美团日报!$C103)-SUMIFS(线上订单!$E:$E,线上订单!$B:$B,美团日报!$C103,线上订单!$D:$D,"美团")-SUMIFS(线上订单!$E:$E,线上订单!$B:$B,美团日报!$C103,线上订单!$D:$D,"饿了么")</f>
        <v>100.53097345133</v>
      </c>
      <c r="G103" s="19">
        <f t="shared" si="10"/>
        <v>0.0194397773501522</v>
      </c>
      <c r="H103" s="18">
        <f>SUMIFS(线上订单!$F:$F,线上订单!$B:$B,美团日报!$C103)-SUMIFS(线上订单!$F:$F,线上订单!$B:$B,美团日报!$C103,线上订单!$D:$D,"美团")-SUMIFS(线上订单!$F:$F,线上订单!$B:$B,美团日报!$C103,线上订单!$D:$D,"饿了么")</f>
        <v>2</v>
      </c>
      <c r="I103" s="18">
        <f>SUMIFS(线上订单!$F:$F,线上订单!$B:$B,美团日报!$C103)-SUMIFS(线上订单!$F:$F,线上订单!$B:$B,美团日报!$C103,线上订单!$D:$D,"美团")-SUMIFS(线上订单!$F:$F,线上订单!$B:$B,美团日报!$C103,线上订单!$D:$D,"饿了么")</f>
        <v>2</v>
      </c>
      <c r="J103" s="21">
        <f t="shared" si="11"/>
        <v>50.265486725665</v>
      </c>
      <c r="K103" s="22" t="e">
        <f t="shared" si="6"/>
        <v>#REF!</v>
      </c>
      <c r="L103" s="19" t="e">
        <f>SUMIFS(#REF!,#REF!,美团日报!$C$2,#REF!,"秒达")</f>
        <v>#REF!</v>
      </c>
      <c r="M103" s="23"/>
      <c r="N103" s="23"/>
      <c r="O103" s="22" t="e">
        <f t="shared" si="7"/>
        <v>#REF!</v>
      </c>
      <c r="P103" s="19" t="e">
        <f>SUMIFS(#REF!,#REF!,美团日报!$C103,#REF!,"秒达")</f>
        <v>#REF!</v>
      </c>
      <c r="Q103" s="23"/>
      <c r="R103" s="23"/>
      <c r="S103" s="22" t="e">
        <f t="shared" si="8"/>
        <v>#REF!</v>
      </c>
      <c r="T103" s="19" t="e">
        <f>SUMIFS(#REF!,#REF!,美团日报!$C103,#REF!,"O2O")</f>
        <v>#REF!</v>
      </c>
      <c r="U103" s="22" t="e">
        <f t="shared" si="9"/>
        <v>#REF!</v>
      </c>
      <c r="V103" s="19" t="e">
        <f>SUMIFS(#REF!,#REF!,美团日报!$C103,#REF!,"O2O")</f>
        <v>#REF!</v>
      </c>
      <c r="W103" s="24" t="s">
        <v>13</v>
      </c>
    </row>
    <row r="104" ht="14.4" spans="1:23">
      <c r="A104" s="16" t="s">
        <v>48</v>
      </c>
      <c r="B104" s="16" t="s">
        <v>49</v>
      </c>
      <c r="C104" s="16">
        <v>8705</v>
      </c>
      <c r="D104" s="16" t="s">
        <v>277</v>
      </c>
      <c r="E104" s="18">
        <f>_xlfn.IFNA(VLOOKUP(C:C,线上线下销售!B:D,3,0),0)</f>
        <v>11492.1719</v>
      </c>
      <c r="F104" s="18">
        <f>SUMIFS(线上订单!$E:$E,线上订单!$B:$B,美团日报!$C104)-SUMIFS(线上订单!$E:$E,线上订单!$B:$B,美团日报!$C104,线上订单!$D:$D,"美团")-SUMIFS(线上订单!$E:$E,线上订单!$B:$B,美团日报!$C104,线上订单!$D:$D,"饿了么")</f>
        <v>185.07680441664</v>
      </c>
      <c r="G104" s="19">
        <f t="shared" si="10"/>
        <v>0.0161045976362954</v>
      </c>
      <c r="H104" s="18">
        <f>SUMIFS(线上订单!$F:$F,线上订单!$B:$B,美团日报!$C104)-SUMIFS(线上订单!$F:$F,线上订单!$B:$B,美团日报!$C104,线上订单!$D:$D,"美团")-SUMIFS(线上订单!$F:$F,线上订单!$B:$B,美团日报!$C104,线上订单!$D:$D,"饿了么")</f>
        <v>7</v>
      </c>
      <c r="I104" s="18">
        <f>SUMIFS(线上订单!$F:$F,线上订单!$B:$B,美团日报!$C104)-SUMIFS(线上订单!$F:$F,线上订单!$B:$B,美团日报!$C104,线上订单!$D:$D,"美团")-SUMIFS(线上订单!$F:$F,线上订单!$B:$B,美团日报!$C104,线上订单!$D:$D,"饿了么")</f>
        <v>7</v>
      </c>
      <c r="J104" s="21">
        <f t="shared" si="11"/>
        <v>26.4395434880914</v>
      </c>
      <c r="K104" s="22" t="e">
        <f t="shared" si="6"/>
        <v>#REF!</v>
      </c>
      <c r="L104" s="19" t="e">
        <f>SUMIFS(#REF!,#REF!,美团日报!$C$2,#REF!,"秒达")</f>
        <v>#REF!</v>
      </c>
      <c r="M104" s="23"/>
      <c r="N104" s="23"/>
      <c r="O104" s="22" t="e">
        <f t="shared" si="7"/>
        <v>#REF!</v>
      </c>
      <c r="P104" s="19" t="e">
        <f>SUMIFS(#REF!,#REF!,美团日报!$C104,#REF!,"秒达")</f>
        <v>#REF!</v>
      </c>
      <c r="Q104" s="23"/>
      <c r="R104" s="23"/>
      <c r="S104" s="22" t="e">
        <f t="shared" si="8"/>
        <v>#REF!</v>
      </c>
      <c r="T104" s="19" t="e">
        <f>SUMIFS(#REF!,#REF!,美团日报!$C104,#REF!,"O2O")</f>
        <v>#REF!</v>
      </c>
      <c r="U104" s="22" t="e">
        <f t="shared" si="9"/>
        <v>#REF!</v>
      </c>
      <c r="V104" s="19" t="e">
        <f>SUMIFS(#REF!,#REF!,美团日报!$C104,#REF!,"O2O")</f>
        <v>#REF!</v>
      </c>
      <c r="W104" s="24" t="s">
        <v>13</v>
      </c>
    </row>
    <row r="105" ht="14.4" spans="1:23">
      <c r="A105" s="16" t="s">
        <v>43</v>
      </c>
      <c r="B105" s="16" t="s">
        <v>143</v>
      </c>
      <c r="C105" s="16">
        <v>8734</v>
      </c>
      <c r="D105" s="16" t="s">
        <v>279</v>
      </c>
      <c r="E105" s="18">
        <f>_xlfn.IFNA(VLOOKUP(C:C,线上线下销售!B:D,3,0),0)</f>
        <v>0</v>
      </c>
      <c r="F105" s="18">
        <f>SUMIFS(线上订单!$E:$E,线上订单!$B:$B,美团日报!$C105)-SUMIFS(线上订单!$E:$E,线上订单!$B:$B,美团日报!$C105,线上订单!$D:$D,"美团")-SUMIFS(线上订单!$E:$E,线上订单!$B:$B,美团日报!$C105,线上订单!$D:$D,"饿了么")</f>
        <v>0</v>
      </c>
      <c r="G105" s="19">
        <f t="shared" si="10"/>
        <v>0</v>
      </c>
      <c r="H105" s="18">
        <f>SUMIFS(线上订单!$F:$F,线上订单!$B:$B,美团日报!$C105)-SUMIFS(线上订单!$F:$F,线上订单!$B:$B,美团日报!$C105,线上订单!$D:$D,"美团")-SUMIFS(线上订单!$F:$F,线上订单!$B:$B,美团日报!$C105,线上订单!$D:$D,"饿了么")</f>
        <v>0</v>
      </c>
      <c r="I105" s="18">
        <f>SUMIFS(线上订单!$F:$F,线上订单!$B:$B,美团日报!$C105)-SUMIFS(线上订单!$F:$F,线上订单!$B:$B,美团日报!$C105,线上订单!$D:$D,"美团")-SUMIFS(线上订单!$F:$F,线上订单!$B:$B,美团日报!$C105,线上订单!$D:$D,"饿了么")</f>
        <v>0</v>
      </c>
      <c r="J105" s="21">
        <f t="shared" si="11"/>
        <v>0</v>
      </c>
      <c r="K105" s="22" t="e">
        <f t="shared" si="6"/>
        <v>#REF!</v>
      </c>
      <c r="L105" s="19" t="e">
        <f>SUMIFS(#REF!,#REF!,美团日报!$C$2,#REF!,"秒达")</f>
        <v>#REF!</v>
      </c>
      <c r="M105" s="23"/>
      <c r="N105" s="23"/>
      <c r="O105" s="22" t="e">
        <f t="shared" si="7"/>
        <v>#REF!</v>
      </c>
      <c r="P105" s="19" t="e">
        <f>SUMIFS(#REF!,#REF!,美团日报!$C105,#REF!,"秒达")</f>
        <v>#REF!</v>
      </c>
      <c r="Q105" s="23"/>
      <c r="R105" s="23"/>
      <c r="S105" s="22" t="e">
        <f t="shared" si="8"/>
        <v>#REF!</v>
      </c>
      <c r="T105" s="19" t="e">
        <f>SUMIFS(#REF!,#REF!,美团日报!$C105,#REF!,"O2O")</f>
        <v>#REF!</v>
      </c>
      <c r="U105" s="22" t="e">
        <f t="shared" si="9"/>
        <v>#REF!</v>
      </c>
      <c r="V105" s="19" t="e">
        <f>SUMIFS(#REF!,#REF!,美团日报!$C105,#REF!,"O2O")</f>
        <v>#REF!</v>
      </c>
      <c r="W105" s="24" t="s">
        <v>13</v>
      </c>
    </row>
    <row r="106" ht="14.4" spans="1:23">
      <c r="A106" s="16" t="s">
        <v>56</v>
      </c>
      <c r="B106" s="16" t="s">
        <v>118</v>
      </c>
      <c r="C106" s="16">
        <v>8736</v>
      </c>
      <c r="D106" s="16" t="s">
        <v>282</v>
      </c>
      <c r="E106" s="18">
        <f>_xlfn.IFNA(VLOOKUP(C:C,线上线下销售!B:D,3,0),0)</f>
        <v>13865.2743</v>
      </c>
      <c r="F106" s="18">
        <f>SUMIFS(线上订单!$E:$E,线上订单!$B:$B,美团日报!$C106)-SUMIFS(线上订单!$E:$E,线上订单!$B:$B,美团日报!$C106,线上订单!$D:$D,"美团")-SUMIFS(线上订单!$E:$E,线上订单!$B:$B,美团日报!$C106,线上订单!$D:$D,"饿了么")</f>
        <v>578.28610863035</v>
      </c>
      <c r="G106" s="19">
        <f t="shared" si="10"/>
        <v>0.0417075130371096</v>
      </c>
      <c r="H106" s="18">
        <f>SUMIFS(线上订单!$F:$F,线上订单!$B:$B,美团日报!$C106)-SUMIFS(线上订单!$F:$F,线上订单!$B:$B,美团日报!$C106,线上订单!$D:$D,"美团")-SUMIFS(线上订单!$F:$F,线上订单!$B:$B,美团日报!$C106,线上订单!$D:$D,"饿了么")</f>
        <v>12</v>
      </c>
      <c r="I106" s="18">
        <f>SUMIFS(线上订单!$F:$F,线上订单!$B:$B,美团日报!$C106)-SUMIFS(线上订单!$F:$F,线上订单!$B:$B,美团日报!$C106,线上订单!$D:$D,"美团")-SUMIFS(线上订单!$F:$F,线上订单!$B:$B,美团日报!$C106,线上订单!$D:$D,"饿了么")</f>
        <v>12</v>
      </c>
      <c r="J106" s="21">
        <f t="shared" si="11"/>
        <v>48.1905090525292</v>
      </c>
      <c r="K106" s="22" t="e">
        <f t="shared" si="6"/>
        <v>#REF!</v>
      </c>
      <c r="L106" s="19" t="e">
        <f>SUMIFS(#REF!,#REF!,美团日报!$C$2,#REF!,"秒达")</f>
        <v>#REF!</v>
      </c>
      <c r="M106" s="23"/>
      <c r="N106" s="23"/>
      <c r="O106" s="22" t="e">
        <f t="shared" si="7"/>
        <v>#REF!</v>
      </c>
      <c r="P106" s="19" t="e">
        <f>SUMIFS(#REF!,#REF!,美团日报!$C106,#REF!,"秒达")</f>
        <v>#REF!</v>
      </c>
      <c r="Q106" s="23"/>
      <c r="R106" s="23"/>
      <c r="S106" s="22" t="e">
        <f t="shared" si="8"/>
        <v>#REF!</v>
      </c>
      <c r="T106" s="19" t="e">
        <f>SUMIFS(#REF!,#REF!,美团日报!$C106,#REF!,"O2O")</f>
        <v>#REF!</v>
      </c>
      <c r="U106" s="22" t="e">
        <f t="shared" si="9"/>
        <v>#REF!</v>
      </c>
      <c r="V106" s="19" t="e">
        <f>SUMIFS(#REF!,#REF!,美团日报!$C106,#REF!,"O2O")</f>
        <v>#REF!</v>
      </c>
      <c r="W106" s="24" t="s">
        <v>13</v>
      </c>
    </row>
    <row r="107" ht="14.4" spans="1:23">
      <c r="A107" s="16" t="s">
        <v>48</v>
      </c>
      <c r="B107" s="16" t="s">
        <v>64</v>
      </c>
      <c r="C107" s="16">
        <v>8741</v>
      </c>
      <c r="D107" s="16" t="s">
        <v>284</v>
      </c>
      <c r="E107" s="18">
        <f>_xlfn.IFNA(VLOOKUP(C:C,线上线下销售!B:D,3,0),0)</f>
        <v>10850.6639</v>
      </c>
      <c r="F107" s="18">
        <f>SUMIFS(线上订单!$E:$E,线上订单!$B:$B,美团日报!$C107)-SUMIFS(线上订单!$E:$E,线上订单!$B:$B,美团日报!$C107,线上订单!$D:$D,"美团")-SUMIFS(线上订单!$E:$E,线上订单!$B:$B,美团日报!$C107,线上订单!$D:$D,"饿了么")</f>
        <v>10017.1238938053</v>
      </c>
      <c r="G107" s="19">
        <f t="shared" si="10"/>
        <v>0.923180736784714</v>
      </c>
      <c r="H107" s="18">
        <f>SUMIFS(线上订单!$F:$F,线上订单!$B:$B,美团日报!$C107)-SUMIFS(线上订单!$F:$F,线上订单!$B:$B,美团日报!$C107,线上订单!$D:$D,"美团")-SUMIFS(线上订单!$F:$F,线上订单!$B:$B,美团日报!$C107,线上订单!$D:$D,"饿了么")</f>
        <v>5</v>
      </c>
      <c r="I107" s="18">
        <f>SUMIFS(线上订单!$F:$F,线上订单!$B:$B,美团日报!$C107)-SUMIFS(线上订单!$F:$F,线上订单!$B:$B,美团日报!$C107,线上订单!$D:$D,"美团")-SUMIFS(线上订单!$F:$F,线上订单!$B:$B,美团日报!$C107,线上订单!$D:$D,"饿了么")</f>
        <v>5</v>
      </c>
      <c r="J107" s="21">
        <f t="shared" si="11"/>
        <v>2003.42477876106</v>
      </c>
      <c r="K107" s="22" t="e">
        <f t="shared" si="6"/>
        <v>#REF!</v>
      </c>
      <c r="L107" s="19" t="e">
        <f>SUMIFS(#REF!,#REF!,美团日报!$C$2,#REF!,"秒达")</f>
        <v>#REF!</v>
      </c>
      <c r="M107" s="23"/>
      <c r="N107" s="23"/>
      <c r="O107" s="22" t="e">
        <f t="shared" si="7"/>
        <v>#REF!</v>
      </c>
      <c r="P107" s="19" t="e">
        <f>SUMIFS(#REF!,#REF!,美团日报!$C107,#REF!,"秒达")</f>
        <v>#REF!</v>
      </c>
      <c r="Q107" s="23"/>
      <c r="R107" s="23"/>
      <c r="S107" s="22" t="e">
        <f t="shared" si="8"/>
        <v>#REF!</v>
      </c>
      <c r="T107" s="19" t="e">
        <f>SUMIFS(#REF!,#REF!,美团日报!$C107,#REF!,"O2O")</f>
        <v>#REF!</v>
      </c>
      <c r="U107" s="22" t="e">
        <f t="shared" si="9"/>
        <v>#REF!</v>
      </c>
      <c r="V107" s="19" t="e">
        <f>SUMIFS(#REF!,#REF!,美团日报!$C107,#REF!,"O2O")</f>
        <v>#REF!</v>
      </c>
      <c r="W107" s="24" t="s">
        <v>13</v>
      </c>
    </row>
    <row r="108" ht="14.4" spans="1:23">
      <c r="A108" s="16" t="s">
        <v>56</v>
      </c>
      <c r="B108" s="16" t="s">
        <v>57</v>
      </c>
      <c r="C108" s="16">
        <v>8742</v>
      </c>
      <c r="D108" s="16" t="s">
        <v>286</v>
      </c>
      <c r="E108" s="18">
        <f>_xlfn.IFNA(VLOOKUP(C:C,线上线下销售!B:D,3,0),0)</f>
        <v>0</v>
      </c>
      <c r="F108" s="18">
        <f>SUMIFS(线上订单!$E:$E,线上订单!$B:$B,美团日报!$C108)-SUMIFS(线上订单!$E:$E,线上订单!$B:$B,美团日报!$C108,线上订单!$D:$D,"美团")-SUMIFS(线上订单!$E:$E,线上订单!$B:$B,美团日报!$C108,线上订单!$D:$D,"饿了么")</f>
        <v>0</v>
      </c>
      <c r="G108" s="19">
        <f t="shared" si="10"/>
        <v>0</v>
      </c>
      <c r="H108" s="18">
        <f>SUMIFS(线上订单!$F:$F,线上订单!$B:$B,美团日报!$C108)-SUMIFS(线上订单!$F:$F,线上订单!$B:$B,美团日报!$C108,线上订单!$D:$D,"美团")-SUMIFS(线上订单!$F:$F,线上订单!$B:$B,美团日报!$C108,线上订单!$D:$D,"饿了么")</f>
        <v>0</v>
      </c>
      <c r="I108" s="18">
        <f>SUMIFS(线上订单!$F:$F,线上订单!$B:$B,美团日报!$C108)-SUMIFS(线上订单!$F:$F,线上订单!$B:$B,美团日报!$C108,线上订单!$D:$D,"美团")-SUMIFS(线上订单!$F:$F,线上订单!$B:$B,美团日报!$C108,线上订单!$D:$D,"饿了么")</f>
        <v>0</v>
      </c>
      <c r="J108" s="21">
        <f t="shared" si="11"/>
        <v>0</v>
      </c>
      <c r="K108" s="22" t="e">
        <f t="shared" si="6"/>
        <v>#REF!</v>
      </c>
      <c r="L108" s="19" t="e">
        <f>SUMIFS(#REF!,#REF!,美团日报!$C$2,#REF!,"秒达")</f>
        <v>#REF!</v>
      </c>
      <c r="M108" s="23"/>
      <c r="N108" s="23"/>
      <c r="O108" s="22" t="e">
        <f t="shared" si="7"/>
        <v>#REF!</v>
      </c>
      <c r="P108" s="19" t="e">
        <f>SUMIFS(#REF!,#REF!,美团日报!$C108,#REF!,"秒达")</f>
        <v>#REF!</v>
      </c>
      <c r="Q108" s="23"/>
      <c r="R108" s="23"/>
      <c r="S108" s="22" t="e">
        <f t="shared" si="8"/>
        <v>#REF!</v>
      </c>
      <c r="T108" s="19" t="e">
        <f>SUMIFS(#REF!,#REF!,美团日报!$C108,#REF!,"O2O")</f>
        <v>#REF!</v>
      </c>
      <c r="U108" s="22" t="e">
        <f t="shared" si="9"/>
        <v>#REF!</v>
      </c>
      <c r="V108" s="19" t="e">
        <f>SUMIFS(#REF!,#REF!,美团日报!$C108,#REF!,"O2O")</f>
        <v>#REF!</v>
      </c>
      <c r="W108" s="24" t="s">
        <v>13</v>
      </c>
    </row>
    <row r="109" ht="14.4" spans="1:23">
      <c r="A109" s="16" t="s">
        <v>48</v>
      </c>
      <c r="B109" s="16" t="s">
        <v>64</v>
      </c>
      <c r="C109" s="16">
        <v>8743</v>
      </c>
      <c r="D109" s="16" t="s">
        <v>288</v>
      </c>
      <c r="E109" s="18">
        <f>_xlfn.IFNA(VLOOKUP(C:C,线上线下销售!B:D,3,0),0)</f>
        <v>51.4158</v>
      </c>
      <c r="F109" s="18">
        <f>SUMIFS(线上订单!$E:$E,线上订单!$B:$B,美团日报!$C109)-SUMIFS(线上订单!$E:$E,线上订单!$B:$B,美团日报!$C109,线上订单!$D:$D,"美团")-SUMIFS(线上订单!$E:$E,线上订单!$B:$B,美团日报!$C109,线上订单!$D:$D,"饿了么")</f>
        <v>0</v>
      </c>
      <c r="G109" s="19">
        <f t="shared" si="10"/>
        <v>0</v>
      </c>
      <c r="H109" s="18">
        <f>SUMIFS(线上订单!$F:$F,线上订单!$B:$B,美团日报!$C109)-SUMIFS(线上订单!$F:$F,线上订单!$B:$B,美团日报!$C109,线上订单!$D:$D,"美团")-SUMIFS(线上订单!$F:$F,线上订单!$B:$B,美团日报!$C109,线上订单!$D:$D,"饿了么")</f>
        <v>0</v>
      </c>
      <c r="I109" s="18">
        <f>SUMIFS(线上订单!$F:$F,线上订单!$B:$B,美团日报!$C109)-SUMIFS(线上订单!$F:$F,线上订单!$B:$B,美团日报!$C109,线上订单!$D:$D,"美团")-SUMIFS(线上订单!$F:$F,线上订单!$B:$B,美团日报!$C109,线上订单!$D:$D,"饿了么")</f>
        <v>0</v>
      </c>
      <c r="J109" s="21">
        <f t="shared" si="11"/>
        <v>0</v>
      </c>
      <c r="K109" s="22" t="e">
        <f t="shared" si="6"/>
        <v>#REF!</v>
      </c>
      <c r="L109" s="19" t="e">
        <f>SUMIFS(#REF!,#REF!,美团日报!$C$2,#REF!,"秒达")</f>
        <v>#REF!</v>
      </c>
      <c r="M109" s="23"/>
      <c r="N109" s="23"/>
      <c r="O109" s="22" t="e">
        <f t="shared" si="7"/>
        <v>#REF!</v>
      </c>
      <c r="P109" s="19" t="e">
        <f>SUMIFS(#REF!,#REF!,美团日报!$C109,#REF!,"秒达")</f>
        <v>#REF!</v>
      </c>
      <c r="Q109" s="23"/>
      <c r="R109" s="23"/>
      <c r="S109" s="22" t="e">
        <f t="shared" si="8"/>
        <v>#REF!</v>
      </c>
      <c r="T109" s="19" t="e">
        <f>SUMIFS(#REF!,#REF!,美团日报!$C109,#REF!,"O2O")</f>
        <v>#REF!</v>
      </c>
      <c r="U109" s="22" t="e">
        <f t="shared" si="9"/>
        <v>#REF!</v>
      </c>
      <c r="V109" s="19" t="e">
        <f>SUMIFS(#REF!,#REF!,美团日报!$C109,#REF!,"O2O")</f>
        <v>#REF!</v>
      </c>
      <c r="W109" s="24" t="s">
        <v>13</v>
      </c>
    </row>
    <row r="110" ht="14.4" spans="1:23">
      <c r="A110" s="16" t="s">
        <v>63</v>
      </c>
      <c r="B110" s="16" t="s">
        <v>60</v>
      </c>
      <c r="C110" s="16">
        <v>8745</v>
      </c>
      <c r="D110" s="16" t="s">
        <v>290</v>
      </c>
      <c r="E110" s="18">
        <f>_xlfn.IFNA(VLOOKUP(C:C,线上线下销售!B:D,3,0),0)</f>
        <v>33702.1923</v>
      </c>
      <c r="F110" s="18">
        <f>SUMIFS(线上订单!$E:$E,线上订单!$B:$B,美团日报!$C110)-SUMIFS(线上订单!$E:$E,线上订单!$B:$B,美团日报!$C110,线上订单!$D:$D,"美团")-SUMIFS(线上订单!$E:$E,线上订单!$B:$B,美团日报!$C110,线上订单!$D:$D,"饿了么")</f>
        <v>0</v>
      </c>
      <c r="G110" s="19">
        <f t="shared" si="10"/>
        <v>0</v>
      </c>
      <c r="H110" s="18">
        <f>SUMIFS(线上订单!$F:$F,线上订单!$B:$B,美团日报!$C110)-SUMIFS(线上订单!$F:$F,线上订单!$B:$B,美团日报!$C110,线上订单!$D:$D,"美团")-SUMIFS(线上订单!$F:$F,线上订单!$B:$B,美团日报!$C110,线上订单!$D:$D,"饿了么")</f>
        <v>0</v>
      </c>
      <c r="I110" s="18">
        <f>SUMIFS(线上订单!$F:$F,线上订单!$B:$B,美团日报!$C110)-SUMIFS(线上订单!$F:$F,线上订单!$B:$B,美团日报!$C110,线上订单!$D:$D,"美团")-SUMIFS(线上订单!$F:$F,线上订单!$B:$B,美团日报!$C110,线上订单!$D:$D,"饿了么")</f>
        <v>0</v>
      </c>
      <c r="J110" s="21">
        <f t="shared" si="11"/>
        <v>0</v>
      </c>
      <c r="K110" s="22" t="e">
        <f t="shared" si="6"/>
        <v>#REF!</v>
      </c>
      <c r="L110" s="19" t="e">
        <f>SUMIFS(#REF!,#REF!,美团日报!$C$2,#REF!,"秒达")</f>
        <v>#REF!</v>
      </c>
      <c r="M110" s="23"/>
      <c r="N110" s="23"/>
      <c r="O110" s="22" t="e">
        <f t="shared" si="7"/>
        <v>#REF!</v>
      </c>
      <c r="P110" s="19" t="e">
        <f>SUMIFS(#REF!,#REF!,美团日报!$C110,#REF!,"秒达")</f>
        <v>#REF!</v>
      </c>
      <c r="Q110" s="23"/>
      <c r="R110" s="23"/>
      <c r="S110" s="22" t="e">
        <f t="shared" si="8"/>
        <v>#REF!</v>
      </c>
      <c r="T110" s="19" t="e">
        <f>SUMIFS(#REF!,#REF!,美团日报!$C110,#REF!,"O2O")</f>
        <v>#REF!</v>
      </c>
      <c r="U110" s="22" t="e">
        <f t="shared" si="9"/>
        <v>#REF!</v>
      </c>
      <c r="V110" s="19" t="e">
        <f>SUMIFS(#REF!,#REF!,美团日报!$C110,#REF!,"O2O")</f>
        <v>#REF!</v>
      </c>
      <c r="W110" s="24" t="s">
        <v>13</v>
      </c>
    </row>
    <row r="111" ht="14.4" spans="1:23">
      <c r="A111" s="16" t="s">
        <v>63</v>
      </c>
      <c r="B111" s="16" t="s">
        <v>60</v>
      </c>
      <c r="C111" s="16">
        <v>8696</v>
      </c>
      <c r="D111" s="16" t="s">
        <v>292</v>
      </c>
      <c r="E111" s="18">
        <f>_xlfn.IFNA(VLOOKUP(C:C,线上线下销售!B:D,3,0),0)</f>
        <v>11589.3789</v>
      </c>
      <c r="F111" s="18">
        <f>SUMIFS(线上订单!$E:$E,线上订单!$B:$B,美团日报!$C111)-SUMIFS(线上订单!$E:$E,线上订单!$B:$B,美团日报!$C111,线上订单!$D:$D,"美团")-SUMIFS(线上订单!$E:$E,线上订单!$B:$B,美团日报!$C111,线上订单!$D:$D,"饿了么")</f>
        <v>281.1983437525</v>
      </c>
      <c r="G111" s="19">
        <f t="shared" si="10"/>
        <v>0.024263452440277</v>
      </c>
      <c r="H111" s="18">
        <f>SUMIFS(线上订单!$F:$F,线上订单!$B:$B,美团日报!$C111)-SUMIFS(线上订单!$F:$F,线上订单!$B:$B,美团日报!$C111,线上订单!$D:$D,"美团")-SUMIFS(线上订单!$F:$F,线上订单!$B:$B,美团日报!$C111,线上订单!$D:$D,"饿了么")</f>
        <v>9</v>
      </c>
      <c r="I111" s="18">
        <f>SUMIFS(线上订单!$F:$F,线上订单!$B:$B,美团日报!$C111)-SUMIFS(线上订单!$F:$F,线上订单!$B:$B,美团日报!$C111,线上订单!$D:$D,"美团")-SUMIFS(线上订单!$F:$F,线上订单!$B:$B,美团日报!$C111,线上订单!$D:$D,"饿了么")</f>
        <v>9</v>
      </c>
      <c r="J111" s="21">
        <f t="shared" si="11"/>
        <v>31.2442604169444</v>
      </c>
      <c r="K111" s="22" t="e">
        <f t="shared" si="6"/>
        <v>#REF!</v>
      </c>
      <c r="L111" s="19" t="e">
        <f>SUMIFS(#REF!,#REF!,美团日报!$C$2,#REF!,"秒达")</f>
        <v>#REF!</v>
      </c>
      <c r="M111" s="23"/>
      <c r="N111" s="23"/>
      <c r="O111" s="22" t="e">
        <f t="shared" si="7"/>
        <v>#REF!</v>
      </c>
      <c r="P111" s="19" t="e">
        <f>SUMIFS(#REF!,#REF!,美团日报!$C111,#REF!,"秒达")</f>
        <v>#REF!</v>
      </c>
      <c r="Q111" s="23"/>
      <c r="R111" s="23"/>
      <c r="S111" s="22" t="e">
        <f t="shared" si="8"/>
        <v>#REF!</v>
      </c>
      <c r="T111" s="19" t="e">
        <f>SUMIFS(#REF!,#REF!,美团日报!$C111,#REF!,"O2O")</f>
        <v>#REF!</v>
      </c>
      <c r="U111" s="22" t="e">
        <f t="shared" si="9"/>
        <v>#REF!</v>
      </c>
      <c r="V111" s="19" t="e">
        <f>SUMIFS(#REF!,#REF!,美团日报!$C111,#REF!,"O2O")</f>
        <v>#REF!</v>
      </c>
      <c r="W111" s="24" t="s">
        <v>13</v>
      </c>
    </row>
    <row r="112" ht="14.4" spans="1:23">
      <c r="A112" s="16" t="s">
        <v>43</v>
      </c>
      <c r="B112" s="16" t="s">
        <v>161</v>
      </c>
      <c r="C112" s="16">
        <v>1550</v>
      </c>
      <c r="D112" s="16" t="s">
        <v>294</v>
      </c>
      <c r="E112" s="18">
        <f>_xlfn.IFNA(VLOOKUP(C:C,线上线下销售!B:D,3,0),0)</f>
        <v>6057.4418</v>
      </c>
      <c r="F112" s="18">
        <f>SUMIFS(线上订单!$E:$E,线上订单!$B:$B,美团日报!$C112)-SUMIFS(线上订单!$E:$E,线上订单!$B:$B,美团日报!$C112,线上订单!$D:$D,"美团")-SUMIFS(线上订单!$E:$E,线上订单!$B:$B,美团日报!$C112,线上订单!$D:$D,"饿了么")</f>
        <v>141.6814159292</v>
      </c>
      <c r="G112" s="19">
        <f t="shared" si="10"/>
        <v>0.0233896454323672</v>
      </c>
      <c r="H112" s="18">
        <f>SUMIFS(线上订单!$F:$F,线上订单!$B:$B,美团日报!$C112)-SUMIFS(线上订单!$F:$F,线上订单!$B:$B,美团日报!$C112,线上订单!$D:$D,"美团")-SUMIFS(线上订单!$F:$F,线上订单!$B:$B,美团日报!$C112,线上订单!$D:$D,"饿了么")</f>
        <v>3</v>
      </c>
      <c r="I112" s="18">
        <f>SUMIFS(线上订单!$F:$F,线上订单!$B:$B,美团日报!$C112)-SUMIFS(线上订单!$F:$F,线上订单!$B:$B,美团日报!$C112,线上订单!$D:$D,"美团")-SUMIFS(线上订单!$F:$F,线上订单!$B:$B,美团日报!$C112,线上订单!$D:$D,"饿了么")</f>
        <v>3</v>
      </c>
      <c r="J112" s="21">
        <f t="shared" si="11"/>
        <v>47.2271386430667</v>
      </c>
      <c r="K112" s="22" t="e">
        <f t="shared" si="6"/>
        <v>#REF!</v>
      </c>
      <c r="L112" s="19" t="e">
        <f>SUMIFS(#REF!,#REF!,美团日报!$C$2,#REF!,"秒达")</f>
        <v>#REF!</v>
      </c>
      <c r="M112" s="23"/>
      <c r="N112" s="23"/>
      <c r="O112" s="22" t="e">
        <f t="shared" si="7"/>
        <v>#REF!</v>
      </c>
      <c r="P112" s="19" t="e">
        <f>SUMIFS(#REF!,#REF!,美团日报!$C112,#REF!,"秒达")</f>
        <v>#REF!</v>
      </c>
      <c r="Q112" s="23"/>
      <c r="R112" s="23"/>
      <c r="S112" s="22" t="e">
        <f t="shared" si="8"/>
        <v>#REF!</v>
      </c>
      <c r="T112" s="19" t="e">
        <f>SUMIFS(#REF!,#REF!,美团日报!$C112,#REF!,"O2O")</f>
        <v>#REF!</v>
      </c>
      <c r="U112" s="22" t="e">
        <f t="shared" si="9"/>
        <v>#REF!</v>
      </c>
      <c r="V112" s="19" t="e">
        <f>SUMIFS(#REF!,#REF!,美团日报!$C112,#REF!,"O2O")</f>
        <v>#REF!</v>
      </c>
      <c r="W112" s="24" t="s">
        <v>19</v>
      </c>
    </row>
    <row r="113" ht="14.4" spans="1:23">
      <c r="A113" s="16" t="s">
        <v>264</v>
      </c>
      <c r="B113" s="16" t="s">
        <v>296</v>
      </c>
      <c r="C113" s="16">
        <v>1048</v>
      </c>
      <c r="D113" s="16" t="s">
        <v>297</v>
      </c>
      <c r="E113" s="18">
        <f>_xlfn.IFNA(VLOOKUP(C:C,线上线下销售!B:D,3,0),0)</f>
        <v>3878.4938</v>
      </c>
      <c r="F113" s="18">
        <f>SUMIFS(线上订单!$E:$E,线上订单!$B:$B,美团日报!$C113)-SUMIFS(线上订单!$E:$E,线上订单!$B:$B,美团日报!$C113,线上订单!$D:$D,"美团")-SUMIFS(线上订单!$E:$E,线上订单!$B:$B,美团日报!$C113,线上订单!$D:$D,"饿了么")</f>
        <v>69.0265486725601</v>
      </c>
      <c r="G113" s="19">
        <f t="shared" si="10"/>
        <v>0.0177972564175712</v>
      </c>
      <c r="H113" s="18">
        <f>SUMIFS(线上订单!$F:$F,线上订单!$B:$B,美团日报!$C113)-SUMIFS(线上订单!$F:$F,线上订单!$B:$B,美团日报!$C113,线上订单!$D:$D,"美团")-SUMIFS(线上订单!$F:$F,线上订单!$B:$B,美团日报!$C113,线上订单!$D:$D,"饿了么")</f>
        <v>2</v>
      </c>
      <c r="I113" s="18">
        <f>SUMIFS(线上订单!$F:$F,线上订单!$B:$B,美团日报!$C113)-SUMIFS(线上订单!$F:$F,线上订单!$B:$B,美团日报!$C113,线上订单!$D:$D,"美团")-SUMIFS(线上订单!$F:$F,线上订单!$B:$B,美团日报!$C113,线上订单!$D:$D,"饿了么")</f>
        <v>2</v>
      </c>
      <c r="J113" s="21">
        <f t="shared" si="11"/>
        <v>34.5132743362801</v>
      </c>
      <c r="K113" s="22" t="e">
        <f t="shared" si="6"/>
        <v>#REF!</v>
      </c>
      <c r="L113" s="19" t="e">
        <f>SUMIFS(#REF!,#REF!,美团日报!$C$2,#REF!,"秒达")</f>
        <v>#REF!</v>
      </c>
      <c r="M113" s="23"/>
      <c r="N113" s="23"/>
      <c r="O113" s="22" t="e">
        <f t="shared" si="7"/>
        <v>#REF!</v>
      </c>
      <c r="P113" s="19" t="e">
        <f>SUMIFS(#REF!,#REF!,美团日报!$C113,#REF!,"秒达")</f>
        <v>#REF!</v>
      </c>
      <c r="Q113" s="23"/>
      <c r="R113" s="23"/>
      <c r="S113" s="22" t="e">
        <f t="shared" si="8"/>
        <v>#REF!</v>
      </c>
      <c r="T113" s="19" t="e">
        <f>SUMIFS(#REF!,#REF!,美团日报!$C113,#REF!,"O2O")</f>
        <v>#REF!</v>
      </c>
      <c r="U113" s="22" t="e">
        <f t="shared" si="9"/>
        <v>#REF!</v>
      </c>
      <c r="V113" s="19" t="e">
        <f>SUMIFS(#REF!,#REF!,美团日报!$C113,#REF!,"O2O")</f>
        <v>#REF!</v>
      </c>
      <c r="W113" s="24" t="s">
        <v>19</v>
      </c>
    </row>
    <row r="114" ht="14.4" spans="1:23">
      <c r="A114" s="16" t="s">
        <v>264</v>
      </c>
      <c r="B114" s="16" t="s">
        <v>296</v>
      </c>
      <c r="C114" s="16">
        <v>1049</v>
      </c>
      <c r="D114" s="16" t="s">
        <v>299</v>
      </c>
      <c r="E114" s="18">
        <f>_xlfn.IFNA(VLOOKUP(C:C,线上线下销售!B:D,3,0),0)</f>
        <v>1062.5343</v>
      </c>
      <c r="F114" s="18">
        <f>SUMIFS(线上订单!$E:$E,线上订单!$B:$B,美团日报!$C114)-SUMIFS(线上订单!$E:$E,线上订单!$B:$B,美团日报!$C114,线上订单!$D:$D,"美团")-SUMIFS(线上订单!$E:$E,线上订单!$B:$B,美团日报!$C114,线上订单!$D:$D,"饿了么")</f>
        <v>0</v>
      </c>
      <c r="G114" s="19">
        <f t="shared" si="10"/>
        <v>0</v>
      </c>
      <c r="H114" s="18">
        <f>SUMIFS(线上订单!$F:$F,线上订单!$B:$B,美团日报!$C114)-SUMIFS(线上订单!$F:$F,线上订单!$B:$B,美团日报!$C114,线上订单!$D:$D,"美团")-SUMIFS(线上订单!$F:$F,线上订单!$B:$B,美团日报!$C114,线上订单!$D:$D,"饿了么")</f>
        <v>0</v>
      </c>
      <c r="I114" s="18">
        <f>SUMIFS(线上订单!$F:$F,线上订单!$B:$B,美团日报!$C114)-SUMIFS(线上订单!$F:$F,线上订单!$B:$B,美团日报!$C114,线上订单!$D:$D,"美团")-SUMIFS(线上订单!$F:$F,线上订单!$B:$B,美团日报!$C114,线上订单!$D:$D,"饿了么")</f>
        <v>0</v>
      </c>
      <c r="J114" s="21">
        <f t="shared" si="11"/>
        <v>0</v>
      </c>
      <c r="K114" s="22" t="e">
        <f t="shared" si="6"/>
        <v>#REF!</v>
      </c>
      <c r="L114" s="19" t="e">
        <f>SUMIFS(#REF!,#REF!,美团日报!$C$2,#REF!,"秒达")</f>
        <v>#REF!</v>
      </c>
      <c r="M114" s="23"/>
      <c r="N114" s="23"/>
      <c r="O114" s="22" t="e">
        <f t="shared" si="7"/>
        <v>#REF!</v>
      </c>
      <c r="P114" s="19" t="e">
        <f>SUMIFS(#REF!,#REF!,美团日报!$C114,#REF!,"秒达")</f>
        <v>#REF!</v>
      </c>
      <c r="Q114" s="23"/>
      <c r="R114" s="23"/>
      <c r="S114" s="22" t="e">
        <f t="shared" si="8"/>
        <v>#REF!</v>
      </c>
      <c r="T114" s="19" t="e">
        <f>SUMIFS(#REF!,#REF!,美团日报!$C114,#REF!,"O2O")</f>
        <v>#REF!</v>
      </c>
      <c r="U114" s="22" t="e">
        <f t="shared" si="9"/>
        <v>#REF!</v>
      </c>
      <c r="V114" s="19" t="e">
        <f>SUMIFS(#REF!,#REF!,美团日报!$C114,#REF!,"O2O")</f>
        <v>#REF!</v>
      </c>
      <c r="W114" s="24" t="s">
        <v>19</v>
      </c>
    </row>
    <row r="115" ht="14.4" spans="1:23">
      <c r="A115" s="16" t="s">
        <v>264</v>
      </c>
      <c r="B115" s="16" t="s">
        <v>576</v>
      </c>
      <c r="C115" s="16">
        <v>1055</v>
      </c>
      <c r="D115" s="16" t="s">
        <v>302</v>
      </c>
      <c r="E115" s="18">
        <f>_xlfn.IFNA(VLOOKUP(C:C,线上线下销售!B:D,3,0),0)</f>
        <v>6813.1809</v>
      </c>
      <c r="F115" s="18">
        <f>SUMIFS(线上订单!$E:$E,线上订单!$B:$B,美团日报!$C115)-SUMIFS(线上订单!$E:$E,线上订单!$B:$B,美团日报!$C115,线上订单!$D:$D,"美团")-SUMIFS(线上订单!$E:$E,线上订单!$B:$B,美团日报!$C115,线上订单!$D:$D,"饿了么")</f>
        <v>98.1415929203399</v>
      </c>
      <c r="G115" s="19">
        <f t="shared" si="10"/>
        <v>0.0144046656562928</v>
      </c>
      <c r="H115" s="18">
        <f>SUMIFS(线上订单!$F:$F,线上订单!$B:$B,美团日报!$C115)-SUMIFS(线上订单!$F:$F,线上订单!$B:$B,美团日报!$C115,线上订单!$D:$D,"美团")-SUMIFS(线上订单!$F:$F,线上订单!$B:$B,美团日报!$C115,线上订单!$D:$D,"饿了么")</f>
        <v>3</v>
      </c>
      <c r="I115" s="18">
        <f>SUMIFS(线上订单!$F:$F,线上订单!$B:$B,美团日报!$C115)-SUMIFS(线上订单!$F:$F,线上订单!$B:$B,美团日报!$C115,线上订单!$D:$D,"美团")-SUMIFS(线上订单!$F:$F,线上订单!$B:$B,美团日报!$C115,线上订单!$D:$D,"饿了么")</f>
        <v>3</v>
      </c>
      <c r="J115" s="21">
        <f t="shared" si="11"/>
        <v>32.71386430678</v>
      </c>
      <c r="K115" s="22" t="e">
        <f t="shared" si="6"/>
        <v>#REF!</v>
      </c>
      <c r="L115" s="19" t="e">
        <f>SUMIFS(#REF!,#REF!,美团日报!$C$2,#REF!,"秒达")</f>
        <v>#REF!</v>
      </c>
      <c r="M115" s="23"/>
      <c r="N115" s="23"/>
      <c r="O115" s="22" t="e">
        <f t="shared" si="7"/>
        <v>#REF!</v>
      </c>
      <c r="P115" s="19" t="e">
        <f>SUMIFS(#REF!,#REF!,美团日报!$C115,#REF!,"秒达")</f>
        <v>#REF!</v>
      </c>
      <c r="Q115" s="23"/>
      <c r="R115" s="23"/>
      <c r="S115" s="22" t="e">
        <f t="shared" si="8"/>
        <v>#REF!</v>
      </c>
      <c r="T115" s="19" t="e">
        <f>SUMIFS(#REF!,#REF!,美团日报!$C115,#REF!,"O2O")</f>
        <v>#REF!</v>
      </c>
      <c r="U115" s="22" t="e">
        <f t="shared" si="9"/>
        <v>#REF!</v>
      </c>
      <c r="V115" s="19" t="e">
        <f>SUMIFS(#REF!,#REF!,美团日报!$C115,#REF!,"O2O")</f>
        <v>#REF!</v>
      </c>
      <c r="W115" s="24" t="s">
        <v>19</v>
      </c>
    </row>
    <row r="116" ht="14.4" spans="1:23">
      <c r="A116" s="16" t="s">
        <v>264</v>
      </c>
      <c r="B116" s="16" t="s">
        <v>304</v>
      </c>
      <c r="C116" s="16">
        <v>1070</v>
      </c>
      <c r="D116" s="16" t="s">
        <v>305</v>
      </c>
      <c r="E116" s="18">
        <f>_xlfn.IFNA(VLOOKUP(C:C,线上线下销售!B:D,3,0),0)</f>
        <v>7517.4047</v>
      </c>
      <c r="F116" s="18">
        <f>SUMIFS(线上订单!$E:$E,线上订单!$B:$B,美团日报!$C116)-SUMIFS(线上订单!$E:$E,线上订单!$B:$B,美团日报!$C116,线上订单!$D:$D,"美团")-SUMIFS(线上订单!$E:$E,线上订单!$B:$B,美团日报!$C116,线上订单!$D:$D,"饿了么")</f>
        <v>331.05951124462</v>
      </c>
      <c r="G116" s="19">
        <f t="shared" si="10"/>
        <v>0.0440390699259041</v>
      </c>
      <c r="H116" s="18">
        <f>SUMIFS(线上订单!$F:$F,线上订单!$B:$B,美团日报!$C116)-SUMIFS(线上订单!$F:$F,线上订单!$B:$B,美团日报!$C116,线上订单!$D:$D,"美团")-SUMIFS(线上订单!$F:$F,线上订单!$B:$B,美团日报!$C116,线上订单!$D:$D,"饿了么")</f>
        <v>9</v>
      </c>
      <c r="I116" s="18">
        <f>SUMIFS(线上订单!$F:$F,线上订单!$B:$B,美团日报!$C116)-SUMIFS(线上订单!$F:$F,线上订单!$B:$B,美团日报!$C116,线上订单!$D:$D,"美团")-SUMIFS(线上订单!$F:$F,线上订单!$B:$B,美团日报!$C116,线上订单!$D:$D,"饿了么")</f>
        <v>9</v>
      </c>
      <c r="J116" s="21">
        <f t="shared" si="11"/>
        <v>36.7843901382911</v>
      </c>
      <c r="K116" s="22" t="e">
        <f t="shared" si="6"/>
        <v>#REF!</v>
      </c>
      <c r="L116" s="19" t="e">
        <f>SUMIFS(#REF!,#REF!,美团日报!$C$2,#REF!,"秒达")</f>
        <v>#REF!</v>
      </c>
      <c r="M116" s="23"/>
      <c r="N116" s="23"/>
      <c r="O116" s="22" t="e">
        <f t="shared" si="7"/>
        <v>#REF!</v>
      </c>
      <c r="P116" s="19" t="e">
        <f>SUMIFS(#REF!,#REF!,美团日报!$C116,#REF!,"秒达")</f>
        <v>#REF!</v>
      </c>
      <c r="Q116" s="23"/>
      <c r="R116" s="23"/>
      <c r="S116" s="22" t="e">
        <f t="shared" si="8"/>
        <v>#REF!</v>
      </c>
      <c r="T116" s="19" t="e">
        <f>SUMIFS(#REF!,#REF!,美团日报!$C116,#REF!,"O2O")</f>
        <v>#REF!</v>
      </c>
      <c r="U116" s="22" t="e">
        <f t="shared" si="9"/>
        <v>#REF!</v>
      </c>
      <c r="V116" s="19" t="e">
        <f>SUMIFS(#REF!,#REF!,美团日报!$C116,#REF!,"O2O")</f>
        <v>#REF!</v>
      </c>
      <c r="W116" s="24" t="s">
        <v>19</v>
      </c>
    </row>
    <row r="117" ht="14.4" spans="1:23">
      <c r="A117" s="16" t="s">
        <v>264</v>
      </c>
      <c r="B117" s="16" t="s">
        <v>576</v>
      </c>
      <c r="C117" s="16">
        <v>1075</v>
      </c>
      <c r="D117" s="16" t="s">
        <v>307</v>
      </c>
      <c r="E117" s="18">
        <f>_xlfn.IFNA(VLOOKUP(C:C,线上线下销售!B:D,3,0),0)</f>
        <v>3341.3106</v>
      </c>
      <c r="F117" s="18">
        <f>SUMIFS(线上订单!$E:$E,线上订单!$B:$B,美团日报!$C117)-SUMIFS(线上订单!$E:$E,线上订单!$B:$B,美团日报!$C117,线上订单!$D:$D,"美团")-SUMIFS(线上订单!$E:$E,线上订单!$B:$B,美团日报!$C117,线上订单!$D:$D,"饿了么")</f>
        <v>108.49557522124</v>
      </c>
      <c r="G117" s="19">
        <f t="shared" si="10"/>
        <v>0.0324709637054514</v>
      </c>
      <c r="H117" s="18">
        <f>SUMIFS(线上订单!$F:$F,线上订单!$B:$B,美团日报!$C117)-SUMIFS(线上订单!$F:$F,线上订单!$B:$B,美团日报!$C117,线上订单!$D:$D,"美团")-SUMIFS(线上订单!$F:$F,线上订单!$B:$B,美团日报!$C117,线上订单!$D:$D,"饿了么")</f>
        <v>2</v>
      </c>
      <c r="I117" s="18">
        <f>SUMIFS(线上订单!$F:$F,线上订单!$B:$B,美团日报!$C117)-SUMIFS(线上订单!$F:$F,线上订单!$B:$B,美团日报!$C117,线上订单!$D:$D,"美团")-SUMIFS(线上订单!$F:$F,线上订单!$B:$B,美团日报!$C117,线上订单!$D:$D,"饿了么")</f>
        <v>2</v>
      </c>
      <c r="J117" s="21">
        <f t="shared" si="11"/>
        <v>54.24778761062</v>
      </c>
      <c r="K117" s="22" t="e">
        <f t="shared" si="6"/>
        <v>#REF!</v>
      </c>
      <c r="L117" s="19" t="e">
        <f>SUMIFS(#REF!,#REF!,美团日报!$C$2,#REF!,"秒达")</f>
        <v>#REF!</v>
      </c>
      <c r="M117" s="23"/>
      <c r="N117" s="23"/>
      <c r="O117" s="22" t="e">
        <f t="shared" si="7"/>
        <v>#REF!</v>
      </c>
      <c r="P117" s="19" t="e">
        <f>SUMIFS(#REF!,#REF!,美团日报!$C117,#REF!,"秒达")</f>
        <v>#REF!</v>
      </c>
      <c r="Q117" s="23"/>
      <c r="R117" s="23"/>
      <c r="S117" s="22" t="e">
        <f t="shared" si="8"/>
        <v>#REF!</v>
      </c>
      <c r="T117" s="19" t="e">
        <f>SUMIFS(#REF!,#REF!,美团日报!$C117,#REF!,"O2O")</f>
        <v>#REF!</v>
      </c>
      <c r="U117" s="22" t="e">
        <f t="shared" si="9"/>
        <v>#REF!</v>
      </c>
      <c r="V117" s="19" t="e">
        <f>SUMIFS(#REF!,#REF!,美团日报!$C117,#REF!,"O2O")</f>
        <v>#REF!</v>
      </c>
      <c r="W117" s="24" t="s">
        <v>19</v>
      </c>
    </row>
    <row r="118" ht="14.4" spans="1:23">
      <c r="A118" s="16" t="s">
        <v>63</v>
      </c>
      <c r="B118" s="16" t="s">
        <v>152</v>
      </c>
      <c r="C118" s="16">
        <v>1081</v>
      </c>
      <c r="D118" s="16" t="s">
        <v>309</v>
      </c>
      <c r="E118" s="18">
        <f>_xlfn.IFNA(VLOOKUP(C:C,线上线下销售!B:D,3,0),0)</f>
        <v>0</v>
      </c>
      <c r="F118" s="18">
        <f>SUMIFS(线上订单!$E:$E,线上订单!$B:$B,美团日报!$C118)-SUMIFS(线上订单!$E:$E,线上订单!$B:$B,美团日报!$C118,线上订单!$D:$D,"美团")-SUMIFS(线上订单!$E:$E,线上订单!$B:$B,美团日报!$C118,线上订单!$D:$D,"饿了么")</f>
        <v>0</v>
      </c>
      <c r="G118" s="19">
        <f t="shared" si="10"/>
        <v>0</v>
      </c>
      <c r="H118" s="18">
        <f>SUMIFS(线上订单!$F:$F,线上订单!$B:$B,美团日报!$C118)-SUMIFS(线上订单!$F:$F,线上订单!$B:$B,美团日报!$C118,线上订单!$D:$D,"美团")-SUMIFS(线上订单!$F:$F,线上订单!$B:$B,美团日报!$C118,线上订单!$D:$D,"饿了么")</f>
        <v>0</v>
      </c>
      <c r="I118" s="18">
        <f>SUMIFS(线上订单!$F:$F,线上订单!$B:$B,美团日报!$C118)-SUMIFS(线上订单!$F:$F,线上订单!$B:$B,美团日报!$C118,线上订单!$D:$D,"美团")-SUMIFS(线上订单!$F:$F,线上订单!$B:$B,美团日报!$C118,线上订单!$D:$D,"饿了么")</f>
        <v>0</v>
      </c>
      <c r="J118" s="21">
        <f t="shared" si="11"/>
        <v>0</v>
      </c>
      <c r="K118" s="22" t="e">
        <f t="shared" ref="K118:K181" si="12">H118*L118</f>
        <v>#REF!</v>
      </c>
      <c r="L118" s="19" t="e">
        <f>SUMIFS(#REF!,#REF!,美团日报!$C$2,#REF!,"秒达")</f>
        <v>#REF!</v>
      </c>
      <c r="M118" s="23"/>
      <c r="N118" s="23"/>
      <c r="O118" s="22" t="e">
        <f t="shared" ref="O118:O181" si="13">H118*(1-P118)</f>
        <v>#REF!</v>
      </c>
      <c r="P118" s="19" t="e">
        <f>SUMIFS(#REF!,#REF!,美团日报!$C118,#REF!,"秒达")</f>
        <v>#REF!</v>
      </c>
      <c r="Q118" s="23"/>
      <c r="R118" s="23"/>
      <c r="S118" s="22" t="e">
        <f t="shared" ref="S118:S181" si="14">H118*T118</f>
        <v>#REF!</v>
      </c>
      <c r="T118" s="19" t="e">
        <f>SUMIFS(#REF!,#REF!,美团日报!$C118,#REF!,"O2O")</f>
        <v>#REF!</v>
      </c>
      <c r="U118" s="22" t="e">
        <f t="shared" ref="U118:U181" si="15">H118*V118</f>
        <v>#REF!</v>
      </c>
      <c r="V118" s="19" t="e">
        <f>SUMIFS(#REF!,#REF!,美团日报!$C118,#REF!,"O2O")</f>
        <v>#REF!</v>
      </c>
      <c r="W118" s="24" t="s">
        <v>19</v>
      </c>
    </row>
    <row r="119" ht="14.4" spans="1:23">
      <c r="A119" s="16" t="s">
        <v>264</v>
      </c>
      <c r="B119" s="16" t="s">
        <v>313</v>
      </c>
      <c r="C119" s="16">
        <v>1082</v>
      </c>
      <c r="D119" s="16" t="s">
        <v>311</v>
      </c>
      <c r="E119" s="18">
        <f>_xlfn.IFNA(VLOOKUP(C:C,线上线下销售!B:D,3,0),0)</f>
        <v>7959.1389</v>
      </c>
      <c r="F119" s="18">
        <f>SUMIFS(线上订单!$E:$E,线上订单!$B:$B,美团日报!$C119)-SUMIFS(线上订单!$E:$E,线上订单!$B:$B,美团日报!$C119,线上订单!$D:$D,"美团")-SUMIFS(线上订单!$E:$E,线上订单!$B:$B,美团日报!$C119,线上订单!$D:$D,"饿了么")</f>
        <v>339.54915969799</v>
      </c>
      <c r="G119" s="19">
        <f t="shared" si="10"/>
        <v>0.0426615446676009</v>
      </c>
      <c r="H119" s="18">
        <f>SUMIFS(线上订单!$F:$F,线上订单!$B:$B,美团日报!$C119)-SUMIFS(线上订单!$F:$F,线上订单!$B:$B,美团日报!$C119,线上订单!$D:$D,"美团")-SUMIFS(线上订单!$F:$F,线上订单!$B:$B,美团日报!$C119,线上订单!$D:$D,"饿了么")</f>
        <v>7</v>
      </c>
      <c r="I119" s="18">
        <f>SUMIFS(线上订单!$F:$F,线上订单!$B:$B,美团日报!$C119)-SUMIFS(线上订单!$F:$F,线上订单!$B:$B,美团日报!$C119,线上订单!$D:$D,"美团")-SUMIFS(线上订单!$F:$F,线上订单!$B:$B,美团日报!$C119,线上订单!$D:$D,"饿了么")</f>
        <v>7</v>
      </c>
      <c r="J119" s="21">
        <f t="shared" si="11"/>
        <v>48.5070228139986</v>
      </c>
      <c r="K119" s="22" t="e">
        <f t="shared" si="12"/>
        <v>#REF!</v>
      </c>
      <c r="L119" s="19" t="e">
        <f>SUMIFS(#REF!,#REF!,美团日报!$C$2,#REF!,"秒达")</f>
        <v>#REF!</v>
      </c>
      <c r="M119" s="23"/>
      <c r="N119" s="23"/>
      <c r="O119" s="22" t="e">
        <f t="shared" si="13"/>
        <v>#REF!</v>
      </c>
      <c r="P119" s="19" t="e">
        <f>SUMIFS(#REF!,#REF!,美团日报!$C119,#REF!,"秒达")</f>
        <v>#REF!</v>
      </c>
      <c r="Q119" s="23"/>
      <c r="R119" s="23"/>
      <c r="S119" s="22" t="e">
        <f t="shared" si="14"/>
        <v>#REF!</v>
      </c>
      <c r="T119" s="19" t="e">
        <f>SUMIFS(#REF!,#REF!,美团日报!$C119,#REF!,"O2O")</f>
        <v>#REF!</v>
      </c>
      <c r="U119" s="22" t="e">
        <f t="shared" si="15"/>
        <v>#REF!</v>
      </c>
      <c r="V119" s="19" t="e">
        <f>SUMIFS(#REF!,#REF!,美团日报!$C119,#REF!,"O2O")</f>
        <v>#REF!</v>
      </c>
      <c r="W119" s="24" t="s">
        <v>19</v>
      </c>
    </row>
    <row r="120" ht="14.4" spans="1:23">
      <c r="A120" s="16" t="s">
        <v>264</v>
      </c>
      <c r="B120" s="16" t="s">
        <v>313</v>
      </c>
      <c r="C120" s="16">
        <v>1088</v>
      </c>
      <c r="D120" s="16" t="s">
        <v>314</v>
      </c>
      <c r="E120" s="18">
        <f>_xlfn.IFNA(VLOOKUP(C:C,线上线下销售!B:D,3,0),0)</f>
        <v>1218.1296</v>
      </c>
      <c r="F120" s="18">
        <f>SUMIFS(线上订单!$E:$E,线上订单!$B:$B,美团日报!$C120)-SUMIFS(线上订单!$E:$E,线上订单!$B:$B,美团日报!$C120,线上订单!$D:$D,"美团")-SUMIFS(线上订单!$E:$E,线上订单!$B:$B,美团日报!$C120,线上订单!$D:$D,"饿了么")</f>
        <v>16.54867256637</v>
      </c>
      <c r="G120" s="19">
        <f t="shared" si="10"/>
        <v>0.0135853135547893</v>
      </c>
      <c r="H120" s="18">
        <f>SUMIFS(线上订单!$F:$F,线上订单!$B:$B,美团日报!$C120)-SUMIFS(线上订单!$F:$F,线上订单!$B:$B,美团日报!$C120,线上订单!$D:$D,"美团")-SUMIFS(线上订单!$F:$F,线上订单!$B:$B,美团日报!$C120,线上订单!$D:$D,"饿了么")</f>
        <v>1</v>
      </c>
      <c r="I120" s="18">
        <f>SUMIFS(线上订单!$F:$F,线上订单!$B:$B,美团日报!$C120)-SUMIFS(线上订单!$F:$F,线上订单!$B:$B,美团日报!$C120,线上订单!$D:$D,"美团")-SUMIFS(线上订单!$F:$F,线上订单!$B:$B,美团日报!$C120,线上订单!$D:$D,"饿了么")</f>
        <v>1</v>
      </c>
      <c r="J120" s="21">
        <f t="shared" si="11"/>
        <v>16.54867256637</v>
      </c>
      <c r="K120" s="22" t="e">
        <f t="shared" si="12"/>
        <v>#REF!</v>
      </c>
      <c r="L120" s="19" t="e">
        <f>SUMIFS(#REF!,#REF!,美团日报!$C$2,#REF!,"秒达")</f>
        <v>#REF!</v>
      </c>
      <c r="M120" s="23"/>
      <c r="N120" s="23"/>
      <c r="O120" s="22" t="e">
        <f t="shared" si="13"/>
        <v>#REF!</v>
      </c>
      <c r="P120" s="19" t="e">
        <f>SUMIFS(#REF!,#REF!,美团日报!$C120,#REF!,"秒达")</f>
        <v>#REF!</v>
      </c>
      <c r="Q120" s="23"/>
      <c r="R120" s="23"/>
      <c r="S120" s="22" t="e">
        <f t="shared" si="14"/>
        <v>#REF!</v>
      </c>
      <c r="T120" s="19" t="e">
        <f>SUMIFS(#REF!,#REF!,美团日报!$C120,#REF!,"O2O")</f>
        <v>#REF!</v>
      </c>
      <c r="U120" s="22" t="e">
        <f t="shared" si="15"/>
        <v>#REF!</v>
      </c>
      <c r="V120" s="19" t="e">
        <f>SUMIFS(#REF!,#REF!,美团日报!$C120,#REF!,"O2O")</f>
        <v>#REF!</v>
      </c>
      <c r="W120" s="24" t="s">
        <v>19</v>
      </c>
    </row>
    <row r="121" ht="14.4" spans="1:23">
      <c r="A121" s="16" t="s">
        <v>56</v>
      </c>
      <c r="B121" s="16" t="s">
        <v>573</v>
      </c>
      <c r="C121" s="16">
        <v>1102</v>
      </c>
      <c r="D121" s="16" t="s">
        <v>316</v>
      </c>
      <c r="E121" s="18">
        <f>_xlfn.IFNA(VLOOKUP(C:C,线上线下销售!B:D,3,0),0)</f>
        <v>5788.5174</v>
      </c>
      <c r="F121" s="18">
        <f>SUMIFS(线上订单!$E:$E,线上订单!$B:$B,美团日报!$C121)-SUMIFS(线上订单!$E:$E,线上订单!$B:$B,美团日报!$C121,线上订单!$D:$D,"美团")-SUMIFS(线上订单!$E:$E,线上订单!$B:$B,美团日报!$C121,线上订单!$D:$D,"饿了么")</f>
        <v>393.00884955751</v>
      </c>
      <c r="G121" s="19">
        <f t="shared" si="10"/>
        <v>0.067894561318501</v>
      </c>
      <c r="H121" s="18">
        <f>SUMIFS(线上订单!$F:$F,线上订单!$B:$B,美团日报!$C121)-SUMIFS(线上订单!$F:$F,线上订单!$B:$B,美团日报!$C121,线上订单!$D:$D,"美团")-SUMIFS(线上订单!$F:$F,线上订单!$B:$B,美团日报!$C121,线上订单!$D:$D,"饿了么")</f>
        <v>7</v>
      </c>
      <c r="I121" s="18">
        <f>SUMIFS(线上订单!$F:$F,线上订单!$B:$B,美团日报!$C121)-SUMIFS(线上订单!$F:$F,线上订单!$B:$B,美团日报!$C121,线上订单!$D:$D,"美团")-SUMIFS(线上订单!$F:$F,线上订单!$B:$B,美团日报!$C121,线上订单!$D:$D,"饿了么")</f>
        <v>7</v>
      </c>
      <c r="J121" s="21">
        <f t="shared" si="11"/>
        <v>56.1441213653586</v>
      </c>
      <c r="K121" s="22" t="e">
        <f t="shared" si="12"/>
        <v>#REF!</v>
      </c>
      <c r="L121" s="19" t="e">
        <f>SUMIFS(#REF!,#REF!,美团日报!$C$2,#REF!,"秒达")</f>
        <v>#REF!</v>
      </c>
      <c r="M121" s="23"/>
      <c r="N121" s="23"/>
      <c r="O121" s="22" t="e">
        <f t="shared" si="13"/>
        <v>#REF!</v>
      </c>
      <c r="P121" s="19" t="e">
        <f>SUMIFS(#REF!,#REF!,美团日报!$C121,#REF!,"秒达")</f>
        <v>#REF!</v>
      </c>
      <c r="Q121" s="23"/>
      <c r="R121" s="23"/>
      <c r="S121" s="22" t="e">
        <f t="shared" si="14"/>
        <v>#REF!</v>
      </c>
      <c r="T121" s="19" t="e">
        <f>SUMIFS(#REF!,#REF!,美团日报!$C121,#REF!,"O2O")</f>
        <v>#REF!</v>
      </c>
      <c r="U121" s="22" t="e">
        <f t="shared" si="15"/>
        <v>#REF!</v>
      </c>
      <c r="V121" s="19" t="e">
        <f>SUMIFS(#REF!,#REF!,美团日报!$C121,#REF!,"O2O")</f>
        <v>#REF!</v>
      </c>
      <c r="W121" s="24" t="s">
        <v>19</v>
      </c>
    </row>
    <row r="122" ht="14.4" spans="1:23">
      <c r="A122" s="16" t="s">
        <v>63</v>
      </c>
      <c r="B122" s="16" t="s">
        <v>152</v>
      </c>
      <c r="C122" s="16">
        <v>1133</v>
      </c>
      <c r="D122" s="16" t="s">
        <v>318</v>
      </c>
      <c r="E122" s="18">
        <f>_xlfn.IFNA(VLOOKUP(C:C,线上线下销售!B:D,3,0),0)</f>
        <v>4404.1353</v>
      </c>
      <c r="F122" s="18">
        <f>SUMIFS(线上订单!$E:$E,线上订单!$B:$B,美团日报!$C122)-SUMIFS(线上订单!$E:$E,线上订单!$B:$B,美团日报!$C122,线上订单!$D:$D,"美团")-SUMIFS(线上订单!$E:$E,线上订单!$B:$B,美团日报!$C122,线上订单!$D:$D,"饿了么")</f>
        <v>13.8938053097399</v>
      </c>
      <c r="G122" s="19">
        <f t="shared" si="10"/>
        <v>0.00315471809182155</v>
      </c>
      <c r="H122" s="18">
        <f>SUMIFS(线上订单!$F:$F,线上订单!$B:$B,美团日报!$C122)-SUMIFS(线上订单!$F:$F,线上订单!$B:$B,美团日报!$C122,线上订单!$D:$D,"美团")-SUMIFS(线上订单!$F:$F,线上订单!$B:$B,美团日报!$C122,线上订单!$D:$D,"饿了么")</f>
        <v>1</v>
      </c>
      <c r="I122" s="18">
        <f>SUMIFS(线上订单!$F:$F,线上订单!$B:$B,美团日报!$C122)-SUMIFS(线上订单!$F:$F,线上订单!$B:$B,美团日报!$C122,线上订单!$D:$D,"美团")-SUMIFS(线上订单!$F:$F,线上订单!$B:$B,美团日报!$C122,线上订单!$D:$D,"饿了么")</f>
        <v>1</v>
      </c>
      <c r="J122" s="21">
        <f t="shared" si="11"/>
        <v>13.8938053097399</v>
      </c>
      <c r="K122" s="22" t="e">
        <f t="shared" si="12"/>
        <v>#REF!</v>
      </c>
      <c r="L122" s="19" t="e">
        <f>SUMIFS(#REF!,#REF!,美团日报!$C$2,#REF!,"秒达")</f>
        <v>#REF!</v>
      </c>
      <c r="M122" s="23"/>
      <c r="N122" s="23"/>
      <c r="O122" s="22" t="e">
        <f t="shared" si="13"/>
        <v>#REF!</v>
      </c>
      <c r="P122" s="19" t="e">
        <f>SUMIFS(#REF!,#REF!,美团日报!$C122,#REF!,"秒达")</f>
        <v>#REF!</v>
      </c>
      <c r="Q122" s="23"/>
      <c r="R122" s="23"/>
      <c r="S122" s="22" t="e">
        <f t="shared" si="14"/>
        <v>#REF!</v>
      </c>
      <c r="T122" s="19" t="e">
        <f>SUMIFS(#REF!,#REF!,美团日报!$C122,#REF!,"O2O")</f>
        <v>#REF!</v>
      </c>
      <c r="U122" s="22" t="e">
        <f t="shared" si="15"/>
        <v>#REF!</v>
      </c>
      <c r="V122" s="19" t="e">
        <f>SUMIFS(#REF!,#REF!,美团日报!$C122,#REF!,"O2O")</f>
        <v>#REF!</v>
      </c>
      <c r="W122" s="24" t="s">
        <v>19</v>
      </c>
    </row>
    <row r="123" ht="14.4" spans="1:23">
      <c r="A123" s="16" t="s">
        <v>264</v>
      </c>
      <c r="B123" s="16" t="s">
        <v>261</v>
      </c>
      <c r="C123" s="16">
        <v>1146</v>
      </c>
      <c r="D123" s="16" t="s">
        <v>320</v>
      </c>
      <c r="E123" s="18">
        <f>_xlfn.IFNA(VLOOKUP(C:C,线上线下销售!B:D,3,0),0)</f>
        <v>4663.6757</v>
      </c>
      <c r="F123" s="18">
        <f>SUMIFS(线上订单!$E:$E,线上订单!$B:$B,美团日报!$C123)-SUMIFS(线上订单!$E:$E,线上订单!$B:$B,美团日报!$C123,线上订单!$D:$D,"美团")-SUMIFS(线上订单!$E:$E,线上订单!$B:$B,美团日报!$C123,线上订单!$D:$D,"饿了么")</f>
        <v>96.54867256636</v>
      </c>
      <c r="G123" s="19">
        <f t="shared" si="10"/>
        <v>0.0207022697925501</v>
      </c>
      <c r="H123" s="18">
        <f>SUMIFS(线上订单!$F:$F,线上订单!$B:$B,美团日报!$C123)-SUMIFS(线上订单!$F:$F,线上订单!$B:$B,美团日报!$C123,线上订单!$D:$D,"美团")-SUMIFS(线上订单!$F:$F,线上订单!$B:$B,美团日报!$C123,线上订单!$D:$D,"饿了么")</f>
        <v>2</v>
      </c>
      <c r="I123" s="18">
        <f>SUMIFS(线上订单!$F:$F,线上订单!$B:$B,美团日报!$C123)-SUMIFS(线上订单!$F:$F,线上订单!$B:$B,美团日报!$C123,线上订单!$D:$D,"美团")-SUMIFS(线上订单!$F:$F,线上订单!$B:$B,美团日报!$C123,线上订单!$D:$D,"饿了么")</f>
        <v>2</v>
      </c>
      <c r="J123" s="21">
        <f t="shared" si="11"/>
        <v>48.27433628318</v>
      </c>
      <c r="K123" s="22" t="e">
        <f t="shared" si="12"/>
        <v>#REF!</v>
      </c>
      <c r="L123" s="19" t="e">
        <f>SUMIFS(#REF!,#REF!,美团日报!$C$2,#REF!,"秒达")</f>
        <v>#REF!</v>
      </c>
      <c r="M123" s="23"/>
      <c r="N123" s="23"/>
      <c r="O123" s="22" t="e">
        <f t="shared" si="13"/>
        <v>#REF!</v>
      </c>
      <c r="P123" s="19" t="e">
        <f>SUMIFS(#REF!,#REF!,美团日报!$C123,#REF!,"秒达")</f>
        <v>#REF!</v>
      </c>
      <c r="Q123" s="23"/>
      <c r="R123" s="23"/>
      <c r="S123" s="22" t="e">
        <f t="shared" si="14"/>
        <v>#REF!</v>
      </c>
      <c r="T123" s="19" t="e">
        <f>SUMIFS(#REF!,#REF!,美团日报!$C123,#REF!,"O2O")</f>
        <v>#REF!</v>
      </c>
      <c r="U123" s="22" t="e">
        <f t="shared" si="15"/>
        <v>#REF!</v>
      </c>
      <c r="V123" s="19" t="e">
        <f>SUMIFS(#REF!,#REF!,美团日报!$C123,#REF!,"O2O")</f>
        <v>#REF!</v>
      </c>
      <c r="W123" s="24" t="s">
        <v>19</v>
      </c>
    </row>
    <row r="124" ht="14.4" spans="1:23">
      <c r="A124" s="16" t="s">
        <v>264</v>
      </c>
      <c r="B124" s="16" t="s">
        <v>296</v>
      </c>
      <c r="C124" s="16">
        <v>1233</v>
      </c>
      <c r="D124" s="16" t="s">
        <v>322</v>
      </c>
      <c r="E124" s="18">
        <f>_xlfn.IFNA(VLOOKUP(C:C,线上线下销售!B:D,3,0),0)</f>
        <v>20650.5702</v>
      </c>
      <c r="F124" s="18">
        <f>SUMIFS(线上订单!$E:$E,线上订单!$B:$B,美团日报!$C124)-SUMIFS(线上订单!$E:$E,线上订单!$B:$B,美团日报!$C124,线上订单!$D:$D,"美团")-SUMIFS(线上订单!$E:$E,线上订单!$B:$B,美团日报!$C124,线上订单!$D:$D,"饿了么")</f>
        <v>0</v>
      </c>
      <c r="G124" s="19">
        <f t="shared" si="10"/>
        <v>0</v>
      </c>
      <c r="H124" s="18">
        <f>SUMIFS(线上订单!$F:$F,线上订单!$B:$B,美团日报!$C124)-SUMIFS(线上订单!$F:$F,线上订单!$B:$B,美团日报!$C124,线上订单!$D:$D,"美团")-SUMIFS(线上订单!$F:$F,线上订单!$B:$B,美团日报!$C124,线上订单!$D:$D,"饿了么")</f>
        <v>0</v>
      </c>
      <c r="I124" s="18">
        <f>SUMIFS(线上订单!$F:$F,线上订单!$B:$B,美团日报!$C124)-SUMIFS(线上订单!$F:$F,线上订单!$B:$B,美团日报!$C124,线上订单!$D:$D,"美团")-SUMIFS(线上订单!$F:$F,线上订单!$B:$B,美团日报!$C124,线上订单!$D:$D,"饿了么")</f>
        <v>0</v>
      </c>
      <c r="J124" s="21">
        <f t="shared" si="11"/>
        <v>0</v>
      </c>
      <c r="K124" s="22" t="e">
        <f t="shared" si="12"/>
        <v>#REF!</v>
      </c>
      <c r="L124" s="19" t="e">
        <f>SUMIFS(#REF!,#REF!,美团日报!$C$2,#REF!,"秒达")</f>
        <v>#REF!</v>
      </c>
      <c r="M124" s="23"/>
      <c r="N124" s="23"/>
      <c r="O124" s="22" t="e">
        <f t="shared" si="13"/>
        <v>#REF!</v>
      </c>
      <c r="P124" s="19" t="e">
        <f>SUMIFS(#REF!,#REF!,美团日报!$C124,#REF!,"秒达")</f>
        <v>#REF!</v>
      </c>
      <c r="Q124" s="23"/>
      <c r="R124" s="23"/>
      <c r="S124" s="22" t="e">
        <f t="shared" si="14"/>
        <v>#REF!</v>
      </c>
      <c r="T124" s="19" t="e">
        <f>SUMIFS(#REF!,#REF!,美团日报!$C124,#REF!,"O2O")</f>
        <v>#REF!</v>
      </c>
      <c r="U124" s="22" t="e">
        <f t="shared" si="15"/>
        <v>#REF!</v>
      </c>
      <c r="V124" s="19" t="e">
        <f>SUMIFS(#REF!,#REF!,美团日报!$C124,#REF!,"O2O")</f>
        <v>#REF!</v>
      </c>
      <c r="W124" s="24" t="s">
        <v>19</v>
      </c>
    </row>
    <row r="125" ht="14.4" spans="1:23">
      <c r="A125" s="16" t="s">
        <v>63</v>
      </c>
      <c r="B125" s="16" t="s">
        <v>152</v>
      </c>
      <c r="C125" s="16">
        <v>1278</v>
      </c>
      <c r="D125" s="16" t="s">
        <v>325</v>
      </c>
      <c r="E125" s="18">
        <f>_xlfn.IFNA(VLOOKUP(C:C,线上线下销售!B:D,3,0),0)</f>
        <v>6537.767</v>
      </c>
      <c r="F125" s="18">
        <f>SUMIFS(线上订单!$E:$E,线上订单!$B:$B,美团日报!$C125)-SUMIFS(线上订单!$E:$E,线上订单!$B:$B,美团日报!$C125,线上订单!$D:$D,"美团")-SUMIFS(线上订单!$E:$E,线上订单!$B:$B,美团日报!$C125,线上订单!$D:$D,"饿了么")</f>
        <v>297.82170983193</v>
      </c>
      <c r="G125" s="19">
        <f t="shared" si="10"/>
        <v>0.0455540415912543</v>
      </c>
      <c r="H125" s="18">
        <f>SUMIFS(线上订单!$F:$F,线上订单!$B:$B,美团日报!$C125)-SUMIFS(线上订单!$F:$F,线上订单!$B:$B,美团日报!$C125,线上订单!$D:$D,"美团")-SUMIFS(线上订单!$F:$F,线上订单!$B:$B,美团日报!$C125,线上订单!$D:$D,"饿了么")</f>
        <v>7</v>
      </c>
      <c r="I125" s="18">
        <f>SUMIFS(线上订单!$F:$F,线上订单!$B:$B,美团日报!$C125)-SUMIFS(线上订单!$F:$F,线上订单!$B:$B,美团日报!$C125,线上订单!$D:$D,"美团")-SUMIFS(线上订单!$F:$F,线上订单!$B:$B,美团日报!$C125,线上订单!$D:$D,"饿了么")</f>
        <v>7</v>
      </c>
      <c r="J125" s="21">
        <f t="shared" si="11"/>
        <v>42.5459585474186</v>
      </c>
      <c r="K125" s="22" t="e">
        <f t="shared" si="12"/>
        <v>#REF!</v>
      </c>
      <c r="L125" s="19" t="e">
        <f>SUMIFS(#REF!,#REF!,美团日报!$C$2,#REF!,"秒达")</f>
        <v>#REF!</v>
      </c>
      <c r="M125" s="23"/>
      <c r="N125" s="23"/>
      <c r="O125" s="22" t="e">
        <f t="shared" si="13"/>
        <v>#REF!</v>
      </c>
      <c r="P125" s="19" t="e">
        <f>SUMIFS(#REF!,#REF!,美团日报!$C125,#REF!,"秒达")</f>
        <v>#REF!</v>
      </c>
      <c r="Q125" s="23"/>
      <c r="R125" s="23"/>
      <c r="S125" s="22" t="e">
        <f t="shared" si="14"/>
        <v>#REF!</v>
      </c>
      <c r="T125" s="19" t="e">
        <f>SUMIFS(#REF!,#REF!,美团日报!$C125,#REF!,"O2O")</f>
        <v>#REF!</v>
      </c>
      <c r="U125" s="22" t="e">
        <f t="shared" si="15"/>
        <v>#REF!</v>
      </c>
      <c r="V125" s="19" t="e">
        <f>SUMIFS(#REF!,#REF!,美团日报!$C125,#REF!,"O2O")</f>
        <v>#REF!</v>
      </c>
      <c r="W125" s="24" t="s">
        <v>19</v>
      </c>
    </row>
    <row r="126" ht="14.4" spans="1:23">
      <c r="A126" s="16" t="s">
        <v>264</v>
      </c>
      <c r="B126" s="16" t="s">
        <v>327</v>
      </c>
      <c r="C126" s="16">
        <v>1280</v>
      </c>
      <c r="D126" s="16" t="s">
        <v>328</v>
      </c>
      <c r="E126" s="18">
        <f>_xlfn.IFNA(VLOOKUP(C:C,线上线下销售!B:D,3,0),0)</f>
        <v>7693.9039</v>
      </c>
      <c r="F126" s="18">
        <f>SUMIFS(线上订单!$E:$E,线上订单!$B:$B,美团日报!$C126)-SUMIFS(线上订单!$E:$E,线上订单!$B:$B,美团日报!$C126,线上订单!$D:$D,"美团")-SUMIFS(线上订单!$E:$E,线上订单!$B:$B,美团日报!$C126,线上订单!$D:$D,"饿了么")</f>
        <v>1197.25663716817</v>
      </c>
      <c r="G126" s="19">
        <f t="shared" si="10"/>
        <v>0.155611072445052</v>
      </c>
      <c r="H126" s="18">
        <f>SUMIFS(线上订单!$F:$F,线上订单!$B:$B,美团日报!$C126)-SUMIFS(线上订单!$F:$F,线上订单!$B:$B,美团日报!$C126,线上订单!$D:$D,"美团")-SUMIFS(线上订单!$F:$F,线上订单!$B:$B,美团日报!$C126,线上订单!$D:$D,"饿了么")</f>
        <v>27</v>
      </c>
      <c r="I126" s="18">
        <f>SUMIFS(线上订单!$F:$F,线上订单!$B:$B,美团日报!$C126)-SUMIFS(线上订单!$F:$F,线上订单!$B:$B,美团日报!$C126,线上订单!$D:$D,"美团")-SUMIFS(线上订单!$F:$F,线上订单!$B:$B,美团日报!$C126,线上订单!$D:$D,"饿了么")</f>
        <v>27</v>
      </c>
      <c r="J126" s="21">
        <f t="shared" si="11"/>
        <v>44.3428384136359</v>
      </c>
      <c r="K126" s="22" t="e">
        <f t="shared" si="12"/>
        <v>#REF!</v>
      </c>
      <c r="L126" s="19" t="e">
        <f>SUMIFS(#REF!,#REF!,美团日报!$C$2,#REF!,"秒达")</f>
        <v>#REF!</v>
      </c>
      <c r="M126" s="23"/>
      <c r="N126" s="23"/>
      <c r="O126" s="22" t="e">
        <f t="shared" si="13"/>
        <v>#REF!</v>
      </c>
      <c r="P126" s="19" t="e">
        <f>SUMIFS(#REF!,#REF!,美团日报!$C126,#REF!,"秒达")</f>
        <v>#REF!</v>
      </c>
      <c r="Q126" s="23"/>
      <c r="R126" s="23"/>
      <c r="S126" s="22" t="e">
        <f t="shared" si="14"/>
        <v>#REF!</v>
      </c>
      <c r="T126" s="19" t="e">
        <f>SUMIFS(#REF!,#REF!,美团日报!$C126,#REF!,"O2O")</f>
        <v>#REF!</v>
      </c>
      <c r="U126" s="22" t="e">
        <f t="shared" si="15"/>
        <v>#REF!</v>
      </c>
      <c r="V126" s="19" t="e">
        <f>SUMIFS(#REF!,#REF!,美团日报!$C126,#REF!,"O2O")</f>
        <v>#REF!</v>
      </c>
      <c r="W126" s="24" t="s">
        <v>19</v>
      </c>
    </row>
    <row r="127" ht="14.4" spans="1:23">
      <c r="A127" s="16" t="s">
        <v>264</v>
      </c>
      <c r="B127" s="16" t="s">
        <v>304</v>
      </c>
      <c r="C127" s="16">
        <v>1281</v>
      </c>
      <c r="D127" s="16" t="s">
        <v>330</v>
      </c>
      <c r="E127" s="18">
        <f>_xlfn.IFNA(VLOOKUP(C:C,线上线下销售!B:D,3,0),0)</f>
        <v>1958.7437</v>
      </c>
      <c r="F127" s="18">
        <f>SUMIFS(线上订单!$E:$E,线上订单!$B:$B,美团日报!$C127)-SUMIFS(线上订单!$E:$E,线上订单!$B:$B,美团日报!$C127,线上订单!$D:$D,"美团")-SUMIFS(线上订单!$E:$E,线上订单!$B:$B,美团日报!$C127,线上订单!$D:$D,"饿了么")</f>
        <v>122.97637411707</v>
      </c>
      <c r="G127" s="19">
        <f t="shared" si="10"/>
        <v>0.062783290185985</v>
      </c>
      <c r="H127" s="18">
        <f>SUMIFS(线上订单!$F:$F,线上订单!$B:$B,美团日报!$C127)-SUMIFS(线上订单!$F:$F,线上订单!$B:$B,美团日报!$C127,线上订单!$D:$D,"美团")-SUMIFS(线上订单!$F:$F,线上订单!$B:$B,美团日报!$C127,线上订单!$D:$D,"饿了么")</f>
        <v>3</v>
      </c>
      <c r="I127" s="18">
        <f>SUMIFS(线上订单!$F:$F,线上订单!$B:$B,美团日报!$C127)-SUMIFS(线上订单!$F:$F,线上订单!$B:$B,美团日报!$C127,线上订单!$D:$D,"美团")-SUMIFS(线上订单!$F:$F,线上订单!$B:$B,美团日报!$C127,线上订单!$D:$D,"饿了么")</f>
        <v>3</v>
      </c>
      <c r="J127" s="21">
        <f t="shared" si="11"/>
        <v>40.99212470569</v>
      </c>
      <c r="K127" s="22" t="e">
        <f t="shared" si="12"/>
        <v>#REF!</v>
      </c>
      <c r="L127" s="19" t="e">
        <f>SUMIFS(#REF!,#REF!,美团日报!$C$2,#REF!,"秒达")</f>
        <v>#REF!</v>
      </c>
      <c r="M127" s="23"/>
      <c r="N127" s="23"/>
      <c r="O127" s="22" t="e">
        <f t="shared" si="13"/>
        <v>#REF!</v>
      </c>
      <c r="P127" s="19" t="e">
        <f>SUMIFS(#REF!,#REF!,美团日报!$C127,#REF!,"秒达")</f>
        <v>#REF!</v>
      </c>
      <c r="Q127" s="23"/>
      <c r="R127" s="23"/>
      <c r="S127" s="22" t="e">
        <f t="shared" si="14"/>
        <v>#REF!</v>
      </c>
      <c r="T127" s="19" t="e">
        <f>SUMIFS(#REF!,#REF!,美团日报!$C127,#REF!,"O2O")</f>
        <v>#REF!</v>
      </c>
      <c r="U127" s="22" t="e">
        <f t="shared" si="15"/>
        <v>#REF!</v>
      </c>
      <c r="V127" s="19" t="e">
        <f>SUMIFS(#REF!,#REF!,美团日报!$C127,#REF!,"O2O")</f>
        <v>#REF!</v>
      </c>
      <c r="W127" s="24" t="s">
        <v>19</v>
      </c>
    </row>
    <row r="128" ht="14.4" spans="1:23">
      <c r="A128" s="16" t="s">
        <v>264</v>
      </c>
      <c r="B128" s="16" t="s">
        <v>304</v>
      </c>
      <c r="C128" s="16">
        <v>1282</v>
      </c>
      <c r="D128" s="16" t="s">
        <v>332</v>
      </c>
      <c r="E128" s="18">
        <f>_xlfn.IFNA(VLOOKUP(C:C,线上线下销售!B:D,3,0),0)</f>
        <v>2624.6613</v>
      </c>
      <c r="F128" s="18">
        <f>SUMIFS(线上订单!$E:$E,线上订单!$B:$B,美团日报!$C128)-SUMIFS(线上订单!$E:$E,线上订单!$B:$B,美团日报!$C128,线上订单!$D:$D,"美团")-SUMIFS(线上订单!$E:$E,线上订单!$B:$B,美团日报!$C128,线上订单!$D:$D,"饿了么")</f>
        <v>0</v>
      </c>
      <c r="G128" s="19">
        <f t="shared" si="10"/>
        <v>0</v>
      </c>
      <c r="H128" s="18">
        <f>SUMIFS(线上订单!$F:$F,线上订单!$B:$B,美团日报!$C128)-SUMIFS(线上订单!$F:$F,线上订单!$B:$B,美团日报!$C128,线上订单!$D:$D,"美团")-SUMIFS(线上订单!$F:$F,线上订单!$B:$B,美团日报!$C128,线上订单!$D:$D,"饿了么")</f>
        <v>0</v>
      </c>
      <c r="I128" s="18">
        <f>SUMIFS(线上订单!$F:$F,线上订单!$B:$B,美团日报!$C128)-SUMIFS(线上订单!$F:$F,线上订单!$B:$B,美团日报!$C128,线上订单!$D:$D,"美团")-SUMIFS(线上订单!$F:$F,线上订单!$B:$B,美团日报!$C128,线上订单!$D:$D,"饿了么")</f>
        <v>0</v>
      </c>
      <c r="J128" s="21">
        <f t="shared" si="11"/>
        <v>0</v>
      </c>
      <c r="K128" s="22" t="e">
        <f t="shared" si="12"/>
        <v>#REF!</v>
      </c>
      <c r="L128" s="19" t="e">
        <f>SUMIFS(#REF!,#REF!,美团日报!$C$2,#REF!,"秒达")</f>
        <v>#REF!</v>
      </c>
      <c r="M128" s="23"/>
      <c r="N128" s="23"/>
      <c r="O128" s="22" t="e">
        <f t="shared" si="13"/>
        <v>#REF!</v>
      </c>
      <c r="P128" s="19" t="e">
        <f>SUMIFS(#REF!,#REF!,美团日报!$C128,#REF!,"秒达")</f>
        <v>#REF!</v>
      </c>
      <c r="Q128" s="23"/>
      <c r="R128" s="23"/>
      <c r="S128" s="22" t="e">
        <f t="shared" si="14"/>
        <v>#REF!</v>
      </c>
      <c r="T128" s="19" t="e">
        <f>SUMIFS(#REF!,#REF!,美团日报!$C128,#REF!,"O2O")</f>
        <v>#REF!</v>
      </c>
      <c r="U128" s="22" t="e">
        <f t="shared" si="15"/>
        <v>#REF!</v>
      </c>
      <c r="V128" s="19" t="e">
        <f>SUMIFS(#REF!,#REF!,美团日报!$C128,#REF!,"O2O")</f>
        <v>#REF!</v>
      </c>
      <c r="W128" s="24" t="s">
        <v>19</v>
      </c>
    </row>
    <row r="129" ht="14.4" spans="1:23">
      <c r="A129" s="16" t="s">
        <v>264</v>
      </c>
      <c r="B129" s="16" t="s">
        <v>327</v>
      </c>
      <c r="C129" s="16">
        <v>1293</v>
      </c>
      <c r="D129" s="16" t="s">
        <v>334</v>
      </c>
      <c r="E129" s="18">
        <f>_xlfn.IFNA(VLOOKUP(C:C,线上线下销售!B:D,3,0),0)</f>
        <v>3240.6656</v>
      </c>
      <c r="F129" s="18">
        <f>SUMIFS(线上订单!$E:$E,线上订单!$B:$B,美团日报!$C129)-SUMIFS(线上订单!$E:$E,线上订单!$B:$B,美团日报!$C129,线上订单!$D:$D,"美团")-SUMIFS(线上订单!$E:$E,线上订单!$B:$B,美团日报!$C129,线上订单!$D:$D,"饿了么")</f>
        <v>53.98230088496</v>
      </c>
      <c r="G129" s="19">
        <f t="shared" si="10"/>
        <v>0.0166577819337361</v>
      </c>
      <c r="H129" s="18">
        <f>SUMIFS(线上订单!$F:$F,线上订单!$B:$B,美团日报!$C129)-SUMIFS(线上订单!$F:$F,线上订单!$B:$B,美团日报!$C129,线上订单!$D:$D,"美团")-SUMIFS(线上订单!$F:$F,线上订单!$B:$B,美团日报!$C129,线上订单!$D:$D,"饿了么")</f>
        <v>1</v>
      </c>
      <c r="I129" s="18">
        <f>SUMIFS(线上订单!$F:$F,线上订单!$B:$B,美团日报!$C129)-SUMIFS(线上订单!$F:$F,线上订单!$B:$B,美团日报!$C129,线上订单!$D:$D,"美团")-SUMIFS(线上订单!$F:$F,线上订单!$B:$B,美团日报!$C129,线上订单!$D:$D,"饿了么")</f>
        <v>1</v>
      </c>
      <c r="J129" s="21">
        <f t="shared" si="11"/>
        <v>53.98230088496</v>
      </c>
      <c r="K129" s="22" t="e">
        <f t="shared" si="12"/>
        <v>#REF!</v>
      </c>
      <c r="L129" s="19" t="e">
        <f>SUMIFS(#REF!,#REF!,美团日报!$C$2,#REF!,"秒达")</f>
        <v>#REF!</v>
      </c>
      <c r="M129" s="23"/>
      <c r="N129" s="23"/>
      <c r="O129" s="22" t="e">
        <f t="shared" si="13"/>
        <v>#REF!</v>
      </c>
      <c r="P129" s="19" t="e">
        <f>SUMIFS(#REF!,#REF!,美团日报!$C129,#REF!,"秒达")</f>
        <v>#REF!</v>
      </c>
      <c r="Q129" s="23"/>
      <c r="R129" s="23"/>
      <c r="S129" s="22" t="e">
        <f t="shared" si="14"/>
        <v>#REF!</v>
      </c>
      <c r="T129" s="19" t="e">
        <f>SUMIFS(#REF!,#REF!,美团日报!$C129,#REF!,"O2O")</f>
        <v>#REF!</v>
      </c>
      <c r="U129" s="22" t="e">
        <f t="shared" si="15"/>
        <v>#REF!</v>
      </c>
      <c r="V129" s="19" t="e">
        <f>SUMIFS(#REF!,#REF!,美团日报!$C129,#REF!,"O2O")</f>
        <v>#REF!</v>
      </c>
      <c r="W129" s="24" t="s">
        <v>19</v>
      </c>
    </row>
    <row r="130" ht="14.4" spans="1:23">
      <c r="A130" s="16" t="s">
        <v>264</v>
      </c>
      <c r="B130" s="16" t="s">
        <v>304</v>
      </c>
      <c r="C130" s="16">
        <v>1294</v>
      </c>
      <c r="D130" s="16" t="s">
        <v>336</v>
      </c>
      <c r="E130" s="18">
        <f>_xlfn.IFNA(VLOOKUP(C:C,线上线下销售!B:D,3,0),0)</f>
        <v>5423.0795</v>
      </c>
      <c r="F130" s="18">
        <f>SUMIFS(线上订单!$E:$E,线上订单!$B:$B,美团日报!$C130)-SUMIFS(线上订单!$E:$E,线上订单!$B:$B,美团日报!$C130,线上订单!$D:$D,"美团")-SUMIFS(线上订单!$E:$E,线上订单!$B:$B,美团日报!$C130,线上订单!$D:$D,"饿了么")</f>
        <v>15.4867256637201</v>
      </c>
      <c r="G130" s="19">
        <f t="shared" si="10"/>
        <v>0.00285570692144934</v>
      </c>
      <c r="H130" s="18">
        <f>SUMIFS(线上订单!$F:$F,线上订单!$B:$B,美团日报!$C130)-SUMIFS(线上订单!$F:$F,线上订单!$B:$B,美团日报!$C130,线上订单!$D:$D,"美团")-SUMIFS(线上订单!$F:$F,线上订单!$B:$B,美团日报!$C130,线上订单!$D:$D,"饿了么")</f>
        <v>1</v>
      </c>
      <c r="I130" s="18">
        <f>SUMIFS(线上订单!$F:$F,线上订单!$B:$B,美团日报!$C130)-SUMIFS(线上订单!$F:$F,线上订单!$B:$B,美团日报!$C130,线上订单!$D:$D,"美团")-SUMIFS(线上订单!$F:$F,线上订单!$B:$B,美团日报!$C130,线上订单!$D:$D,"饿了么")</f>
        <v>1</v>
      </c>
      <c r="J130" s="21">
        <f t="shared" si="11"/>
        <v>15.4867256637201</v>
      </c>
      <c r="K130" s="22" t="e">
        <f t="shared" si="12"/>
        <v>#REF!</v>
      </c>
      <c r="L130" s="19" t="e">
        <f>SUMIFS(#REF!,#REF!,美团日报!$C$2,#REF!,"秒达")</f>
        <v>#REF!</v>
      </c>
      <c r="M130" s="23"/>
      <c r="N130" s="23"/>
      <c r="O130" s="22" t="e">
        <f t="shared" si="13"/>
        <v>#REF!</v>
      </c>
      <c r="P130" s="19" t="e">
        <f>SUMIFS(#REF!,#REF!,美团日报!$C130,#REF!,"秒达")</f>
        <v>#REF!</v>
      </c>
      <c r="Q130" s="23"/>
      <c r="R130" s="23"/>
      <c r="S130" s="22" t="e">
        <f t="shared" si="14"/>
        <v>#REF!</v>
      </c>
      <c r="T130" s="19" t="e">
        <f>SUMIFS(#REF!,#REF!,美团日报!$C130,#REF!,"O2O")</f>
        <v>#REF!</v>
      </c>
      <c r="U130" s="22" t="e">
        <f t="shared" si="15"/>
        <v>#REF!</v>
      </c>
      <c r="V130" s="19" t="e">
        <f>SUMIFS(#REF!,#REF!,美团日报!$C130,#REF!,"O2O")</f>
        <v>#REF!</v>
      </c>
      <c r="W130" s="24" t="s">
        <v>19</v>
      </c>
    </row>
    <row r="131" ht="14.4" spans="1:23">
      <c r="A131" s="16" t="s">
        <v>264</v>
      </c>
      <c r="B131" s="16" t="s">
        <v>576</v>
      </c>
      <c r="C131" s="16">
        <v>1295</v>
      </c>
      <c r="D131" s="16" t="s">
        <v>338</v>
      </c>
      <c r="E131" s="18">
        <f>_xlfn.IFNA(VLOOKUP(C:C,线上线下销售!B:D,3,0),0)</f>
        <v>2043.8197</v>
      </c>
      <c r="F131" s="18">
        <f>SUMIFS(线上订单!$E:$E,线上订单!$B:$B,美团日报!$C131)-SUMIFS(线上订单!$E:$E,线上订单!$B:$B,美团日报!$C131,线上订单!$D:$D,"美团")-SUMIFS(线上订单!$E:$E,线上订单!$B:$B,美团日报!$C131,线上订单!$D:$D,"饿了么")</f>
        <v>439.24088657952</v>
      </c>
      <c r="G131" s="19">
        <f t="shared" ref="G131:G194" si="16">IFERROR(F131/E131,0%)</f>
        <v>0.21491175888926</v>
      </c>
      <c r="H131" s="18">
        <f>SUMIFS(线上订单!$F:$F,线上订单!$B:$B,美团日报!$C131)-SUMIFS(线上订单!$F:$F,线上订单!$B:$B,美团日报!$C131,线上订单!$D:$D,"美团")-SUMIFS(线上订单!$F:$F,线上订单!$B:$B,美团日报!$C131,线上订单!$D:$D,"饿了么")</f>
        <v>9</v>
      </c>
      <c r="I131" s="18">
        <f>SUMIFS(线上订单!$F:$F,线上订单!$B:$B,美团日报!$C131)-SUMIFS(线上订单!$F:$F,线上订单!$B:$B,美团日报!$C131,线上订单!$D:$D,"美团")-SUMIFS(线上订单!$F:$F,线上订单!$B:$B,美团日报!$C131,线上订单!$D:$D,"饿了么")</f>
        <v>9</v>
      </c>
      <c r="J131" s="21">
        <f t="shared" ref="J131:J194" si="17">IFERROR(F131/I131,0)</f>
        <v>48.80454295328</v>
      </c>
      <c r="K131" s="22" t="e">
        <f t="shared" si="12"/>
        <v>#REF!</v>
      </c>
      <c r="L131" s="19" t="e">
        <f>SUMIFS(#REF!,#REF!,美团日报!$C$2,#REF!,"秒达")</f>
        <v>#REF!</v>
      </c>
      <c r="M131" s="23"/>
      <c r="N131" s="23"/>
      <c r="O131" s="22" t="e">
        <f t="shared" si="13"/>
        <v>#REF!</v>
      </c>
      <c r="P131" s="19" t="e">
        <f>SUMIFS(#REF!,#REF!,美团日报!$C131,#REF!,"秒达")</f>
        <v>#REF!</v>
      </c>
      <c r="Q131" s="23"/>
      <c r="R131" s="23"/>
      <c r="S131" s="22" t="e">
        <f t="shared" si="14"/>
        <v>#REF!</v>
      </c>
      <c r="T131" s="19" t="e">
        <f>SUMIFS(#REF!,#REF!,美团日报!$C131,#REF!,"O2O")</f>
        <v>#REF!</v>
      </c>
      <c r="U131" s="22" t="e">
        <f t="shared" si="15"/>
        <v>#REF!</v>
      </c>
      <c r="V131" s="19" t="e">
        <f>SUMIFS(#REF!,#REF!,美团日报!$C131,#REF!,"O2O")</f>
        <v>#REF!</v>
      </c>
      <c r="W131" s="24" t="s">
        <v>19</v>
      </c>
    </row>
    <row r="132" ht="14.4" spans="1:23">
      <c r="A132" s="16" t="s">
        <v>56</v>
      </c>
      <c r="B132" s="16" t="s">
        <v>573</v>
      </c>
      <c r="C132" s="16">
        <v>1299</v>
      </c>
      <c r="D132" s="16" t="s">
        <v>340</v>
      </c>
      <c r="E132" s="18">
        <f>_xlfn.IFNA(VLOOKUP(C:C,线上线下销售!B:D,3,0),0)</f>
        <v>6651.875</v>
      </c>
      <c r="F132" s="18">
        <f>SUMIFS(线上订单!$E:$E,线上订单!$B:$B,美团日报!$C132)-SUMIFS(线上订单!$E:$E,线上订单!$B:$B,美团日报!$C132,线上订单!$D:$D,"美团")-SUMIFS(线上订单!$E:$E,线上订单!$B:$B,美团日报!$C132,线上订单!$D:$D,"饿了么")</f>
        <v>35.3982300884999</v>
      </c>
      <c r="G132" s="19">
        <f t="shared" si="16"/>
        <v>0.0053215416838861</v>
      </c>
      <c r="H132" s="18">
        <f>SUMIFS(线上订单!$F:$F,线上订单!$B:$B,美团日报!$C132)-SUMIFS(线上订单!$F:$F,线上订单!$B:$B,美团日报!$C132,线上订单!$D:$D,"美团")-SUMIFS(线上订单!$F:$F,线上订单!$B:$B,美团日报!$C132,线上订单!$D:$D,"饿了么")</f>
        <v>1</v>
      </c>
      <c r="I132" s="18">
        <f>SUMIFS(线上订单!$F:$F,线上订单!$B:$B,美团日报!$C132)-SUMIFS(线上订单!$F:$F,线上订单!$B:$B,美团日报!$C132,线上订单!$D:$D,"美团")-SUMIFS(线上订单!$F:$F,线上订单!$B:$B,美团日报!$C132,线上订单!$D:$D,"饿了么")</f>
        <v>1</v>
      </c>
      <c r="J132" s="21">
        <f t="shared" si="17"/>
        <v>35.3982300884999</v>
      </c>
      <c r="K132" s="22" t="e">
        <f t="shared" si="12"/>
        <v>#REF!</v>
      </c>
      <c r="L132" s="19" t="e">
        <f>SUMIFS(#REF!,#REF!,美团日报!$C$2,#REF!,"秒达")</f>
        <v>#REF!</v>
      </c>
      <c r="M132" s="23"/>
      <c r="N132" s="23"/>
      <c r="O132" s="22" t="e">
        <f t="shared" si="13"/>
        <v>#REF!</v>
      </c>
      <c r="P132" s="19" t="e">
        <f>SUMIFS(#REF!,#REF!,美团日报!$C132,#REF!,"秒达")</f>
        <v>#REF!</v>
      </c>
      <c r="Q132" s="23"/>
      <c r="R132" s="23"/>
      <c r="S132" s="22" t="e">
        <f t="shared" si="14"/>
        <v>#REF!</v>
      </c>
      <c r="T132" s="19" t="e">
        <f>SUMIFS(#REF!,#REF!,美团日报!$C132,#REF!,"O2O")</f>
        <v>#REF!</v>
      </c>
      <c r="U132" s="22" t="e">
        <f t="shared" si="15"/>
        <v>#REF!</v>
      </c>
      <c r="V132" s="19" t="e">
        <f>SUMIFS(#REF!,#REF!,美团日报!$C132,#REF!,"O2O")</f>
        <v>#REF!</v>
      </c>
      <c r="W132" s="24" t="s">
        <v>19</v>
      </c>
    </row>
    <row r="133" ht="14.4" spans="1:23">
      <c r="A133" s="16" t="s">
        <v>264</v>
      </c>
      <c r="B133" s="16" t="s">
        <v>264</v>
      </c>
      <c r="C133" s="16">
        <v>1362</v>
      </c>
      <c r="D133" s="16" t="s">
        <v>342</v>
      </c>
      <c r="E133" s="18">
        <f>_xlfn.IFNA(VLOOKUP(C:C,线上线下销售!B:D,3,0),0)</f>
        <v>42322.7696</v>
      </c>
      <c r="F133" s="18">
        <f>SUMIFS(线上订单!$E:$E,线上订单!$B:$B,美团日报!$C133)-SUMIFS(线上订单!$E:$E,线上订单!$B:$B,美团日报!$C133,线上订单!$D:$D,"美团")-SUMIFS(线上订单!$E:$E,线上订单!$B:$B,美团日报!$C133,线上订单!$D:$D,"饿了么")</f>
        <v>0</v>
      </c>
      <c r="G133" s="19">
        <f t="shared" si="16"/>
        <v>0</v>
      </c>
      <c r="H133" s="18">
        <f>SUMIFS(线上订单!$F:$F,线上订单!$B:$B,美团日报!$C133)-SUMIFS(线上订单!$F:$F,线上订单!$B:$B,美团日报!$C133,线上订单!$D:$D,"美团")-SUMIFS(线上订单!$F:$F,线上订单!$B:$B,美团日报!$C133,线上订单!$D:$D,"饿了么")</f>
        <v>0</v>
      </c>
      <c r="I133" s="18">
        <f>SUMIFS(线上订单!$F:$F,线上订单!$B:$B,美团日报!$C133)-SUMIFS(线上订单!$F:$F,线上订单!$B:$B,美团日报!$C133,线上订单!$D:$D,"美团")-SUMIFS(线上订单!$F:$F,线上订单!$B:$B,美团日报!$C133,线上订单!$D:$D,"饿了么")</f>
        <v>0</v>
      </c>
      <c r="J133" s="21">
        <f t="shared" si="17"/>
        <v>0</v>
      </c>
      <c r="K133" s="22" t="e">
        <f t="shared" si="12"/>
        <v>#REF!</v>
      </c>
      <c r="L133" s="19" t="e">
        <f>SUMIFS(#REF!,#REF!,美团日报!$C$2,#REF!,"秒达")</f>
        <v>#REF!</v>
      </c>
      <c r="M133" s="23"/>
      <c r="N133" s="23"/>
      <c r="O133" s="22" t="e">
        <f t="shared" si="13"/>
        <v>#REF!</v>
      </c>
      <c r="P133" s="19" t="e">
        <f>SUMIFS(#REF!,#REF!,美团日报!$C133,#REF!,"秒达")</f>
        <v>#REF!</v>
      </c>
      <c r="Q133" s="23"/>
      <c r="R133" s="23"/>
      <c r="S133" s="22" t="e">
        <f t="shared" si="14"/>
        <v>#REF!</v>
      </c>
      <c r="T133" s="19" t="e">
        <f>SUMIFS(#REF!,#REF!,美团日报!$C133,#REF!,"O2O")</f>
        <v>#REF!</v>
      </c>
      <c r="U133" s="22" t="e">
        <f t="shared" si="15"/>
        <v>#REF!</v>
      </c>
      <c r="V133" s="19" t="e">
        <f>SUMIFS(#REF!,#REF!,美团日报!$C133,#REF!,"O2O")</f>
        <v>#REF!</v>
      </c>
      <c r="W133" s="24" t="s">
        <v>19</v>
      </c>
    </row>
    <row r="134" ht="14.4" spans="1:23">
      <c r="A134" s="16" t="s">
        <v>63</v>
      </c>
      <c r="B134" s="16" t="s">
        <v>152</v>
      </c>
      <c r="C134" s="16">
        <v>1366</v>
      </c>
      <c r="D134" s="16" t="s">
        <v>344</v>
      </c>
      <c r="E134" s="18">
        <f>_xlfn.IFNA(VLOOKUP(C:C,线上线下销售!B:D,3,0),0)</f>
        <v>8115.6428</v>
      </c>
      <c r="F134" s="18">
        <f>SUMIFS(线上订单!$E:$E,线上订单!$B:$B,美团日报!$C134)-SUMIFS(线上订单!$E:$E,线上订单!$B:$B,美团日报!$C134,线上订单!$D:$D,"美团")-SUMIFS(线上订单!$E:$E,线上订单!$B:$B,美团日报!$C134,线上订单!$D:$D,"饿了么")</f>
        <v>331.1504424779</v>
      </c>
      <c r="G134" s="19">
        <f t="shared" si="16"/>
        <v>0.0408039696470993</v>
      </c>
      <c r="H134" s="18">
        <f>SUMIFS(线上订单!$F:$F,线上订单!$B:$B,美团日报!$C134)-SUMIFS(线上订单!$F:$F,线上订单!$B:$B,美团日报!$C134,线上订单!$D:$D,"美团")-SUMIFS(线上订单!$F:$F,线上订单!$B:$B,美团日报!$C134,线上订单!$D:$D,"饿了么")</f>
        <v>5</v>
      </c>
      <c r="I134" s="18">
        <f>SUMIFS(线上订单!$F:$F,线上订单!$B:$B,美团日报!$C134)-SUMIFS(线上订单!$F:$F,线上订单!$B:$B,美团日报!$C134,线上订单!$D:$D,"美团")-SUMIFS(线上订单!$F:$F,线上订单!$B:$B,美团日报!$C134,线上订单!$D:$D,"饿了么")</f>
        <v>5</v>
      </c>
      <c r="J134" s="21">
        <f t="shared" si="17"/>
        <v>66.23008849558</v>
      </c>
      <c r="K134" s="22" t="e">
        <f t="shared" si="12"/>
        <v>#REF!</v>
      </c>
      <c r="L134" s="19" t="e">
        <f>SUMIFS(#REF!,#REF!,美团日报!$C$2,#REF!,"秒达")</f>
        <v>#REF!</v>
      </c>
      <c r="M134" s="23"/>
      <c r="N134" s="23"/>
      <c r="O134" s="22" t="e">
        <f t="shared" si="13"/>
        <v>#REF!</v>
      </c>
      <c r="P134" s="19" t="e">
        <f>SUMIFS(#REF!,#REF!,美团日报!$C134,#REF!,"秒达")</f>
        <v>#REF!</v>
      </c>
      <c r="Q134" s="23"/>
      <c r="R134" s="23"/>
      <c r="S134" s="22" t="e">
        <f t="shared" si="14"/>
        <v>#REF!</v>
      </c>
      <c r="T134" s="19" t="e">
        <f>SUMIFS(#REF!,#REF!,美团日报!$C134,#REF!,"O2O")</f>
        <v>#REF!</v>
      </c>
      <c r="U134" s="22" t="e">
        <f t="shared" si="15"/>
        <v>#REF!</v>
      </c>
      <c r="V134" s="19" t="e">
        <f>SUMIFS(#REF!,#REF!,美团日报!$C134,#REF!,"O2O")</f>
        <v>#REF!</v>
      </c>
      <c r="W134" s="24" t="s">
        <v>19</v>
      </c>
    </row>
    <row r="135" ht="14.4" spans="1:23">
      <c r="A135" s="16" t="s">
        <v>63</v>
      </c>
      <c r="B135" s="16" t="s">
        <v>168</v>
      </c>
      <c r="C135" s="16">
        <v>1369</v>
      </c>
      <c r="D135" s="16" t="s">
        <v>346</v>
      </c>
      <c r="E135" s="18">
        <f>_xlfn.IFNA(VLOOKUP(C:C,线上线下销售!B:D,3,0),0)</f>
        <v>4210.5011</v>
      </c>
      <c r="F135" s="18">
        <f>SUMIFS(线上订单!$E:$E,线上订单!$B:$B,美团日报!$C135)-SUMIFS(线上订单!$E:$E,线上订单!$B:$B,美团日报!$C135,线上订单!$D:$D,"美团")-SUMIFS(线上订单!$E:$E,线上订单!$B:$B,美团日报!$C135,线上订单!$D:$D,"饿了么")</f>
        <v>71.06925387675</v>
      </c>
      <c r="G135" s="19">
        <f t="shared" si="16"/>
        <v>0.0168790488801321</v>
      </c>
      <c r="H135" s="18">
        <f>SUMIFS(线上订单!$F:$F,线上订单!$B:$B,美团日报!$C135)-SUMIFS(线上订单!$F:$F,线上订单!$B:$B,美团日报!$C135,线上订单!$D:$D,"美团")-SUMIFS(线上订单!$F:$F,线上订单!$B:$B,美团日报!$C135,线上订单!$D:$D,"饿了么")</f>
        <v>2</v>
      </c>
      <c r="I135" s="18">
        <f>SUMIFS(线上订单!$F:$F,线上订单!$B:$B,美团日报!$C135)-SUMIFS(线上订单!$F:$F,线上订单!$B:$B,美团日报!$C135,线上订单!$D:$D,"美团")-SUMIFS(线上订单!$F:$F,线上订单!$B:$B,美团日报!$C135,线上订单!$D:$D,"饿了么")</f>
        <v>2</v>
      </c>
      <c r="J135" s="21">
        <f t="shared" si="17"/>
        <v>35.534626938375</v>
      </c>
      <c r="K135" s="22" t="e">
        <f t="shared" si="12"/>
        <v>#REF!</v>
      </c>
      <c r="L135" s="19" t="e">
        <f>SUMIFS(#REF!,#REF!,美团日报!$C$2,#REF!,"秒达")</f>
        <v>#REF!</v>
      </c>
      <c r="M135" s="23"/>
      <c r="N135" s="23"/>
      <c r="O135" s="22" t="e">
        <f t="shared" si="13"/>
        <v>#REF!</v>
      </c>
      <c r="P135" s="19" t="e">
        <f>SUMIFS(#REF!,#REF!,美团日报!$C135,#REF!,"秒达")</f>
        <v>#REF!</v>
      </c>
      <c r="Q135" s="23"/>
      <c r="R135" s="23"/>
      <c r="S135" s="22" t="e">
        <f t="shared" si="14"/>
        <v>#REF!</v>
      </c>
      <c r="T135" s="19" t="e">
        <f>SUMIFS(#REF!,#REF!,美团日报!$C135,#REF!,"O2O")</f>
        <v>#REF!</v>
      </c>
      <c r="U135" s="22" t="e">
        <f t="shared" si="15"/>
        <v>#REF!</v>
      </c>
      <c r="V135" s="19" t="e">
        <f>SUMIFS(#REF!,#REF!,美团日报!$C135,#REF!,"O2O")</f>
        <v>#REF!</v>
      </c>
      <c r="W135" s="24" t="s">
        <v>19</v>
      </c>
    </row>
    <row r="136" ht="14.4" spans="1:23">
      <c r="A136" s="16" t="s">
        <v>264</v>
      </c>
      <c r="B136" s="16" t="s">
        <v>401</v>
      </c>
      <c r="C136" s="16">
        <v>1376</v>
      </c>
      <c r="D136" s="16" t="s">
        <v>348</v>
      </c>
      <c r="E136" s="18">
        <f>_xlfn.IFNA(VLOOKUP(C:C,线上线下销售!B:D,3,0),0)</f>
        <v>4458.686</v>
      </c>
      <c r="F136" s="18">
        <f>SUMIFS(线上订单!$E:$E,线上订单!$B:$B,美团日报!$C136)-SUMIFS(线上订单!$E:$E,线上订单!$B:$B,美团日报!$C136,线上订单!$D:$D,"美团")-SUMIFS(线上订单!$E:$E,线上订单!$B:$B,美团日报!$C136,线上订单!$D:$D,"饿了么")</f>
        <v>0</v>
      </c>
      <c r="G136" s="19">
        <f t="shared" si="16"/>
        <v>0</v>
      </c>
      <c r="H136" s="18">
        <f>SUMIFS(线上订单!$F:$F,线上订单!$B:$B,美团日报!$C136)-SUMIFS(线上订单!$F:$F,线上订单!$B:$B,美团日报!$C136,线上订单!$D:$D,"美团")-SUMIFS(线上订单!$F:$F,线上订单!$B:$B,美团日报!$C136,线上订单!$D:$D,"饿了么")</f>
        <v>0</v>
      </c>
      <c r="I136" s="18">
        <f>SUMIFS(线上订单!$F:$F,线上订单!$B:$B,美团日报!$C136)-SUMIFS(线上订单!$F:$F,线上订单!$B:$B,美团日报!$C136,线上订单!$D:$D,"美团")-SUMIFS(线上订单!$F:$F,线上订单!$B:$B,美团日报!$C136,线上订单!$D:$D,"饿了么")</f>
        <v>0</v>
      </c>
      <c r="J136" s="21">
        <f t="shared" si="17"/>
        <v>0</v>
      </c>
      <c r="K136" s="22" t="e">
        <f t="shared" si="12"/>
        <v>#REF!</v>
      </c>
      <c r="L136" s="19" t="e">
        <f>SUMIFS(#REF!,#REF!,美团日报!$C$2,#REF!,"秒达")</f>
        <v>#REF!</v>
      </c>
      <c r="M136" s="23"/>
      <c r="N136" s="23"/>
      <c r="O136" s="22" t="e">
        <f t="shared" si="13"/>
        <v>#REF!</v>
      </c>
      <c r="P136" s="19" t="e">
        <f>SUMIFS(#REF!,#REF!,美团日报!$C136,#REF!,"秒达")</f>
        <v>#REF!</v>
      </c>
      <c r="Q136" s="23"/>
      <c r="R136" s="23"/>
      <c r="S136" s="22" t="e">
        <f t="shared" si="14"/>
        <v>#REF!</v>
      </c>
      <c r="T136" s="19" t="e">
        <f>SUMIFS(#REF!,#REF!,美团日报!$C136,#REF!,"O2O")</f>
        <v>#REF!</v>
      </c>
      <c r="U136" s="22" t="e">
        <f t="shared" si="15"/>
        <v>#REF!</v>
      </c>
      <c r="V136" s="19" t="e">
        <f>SUMIFS(#REF!,#REF!,美团日报!$C136,#REF!,"O2O")</f>
        <v>#REF!</v>
      </c>
      <c r="W136" s="24" t="s">
        <v>19</v>
      </c>
    </row>
    <row r="137" ht="14.4" spans="1:23">
      <c r="A137" s="16" t="s">
        <v>264</v>
      </c>
      <c r="B137" s="16" t="s">
        <v>350</v>
      </c>
      <c r="C137" s="16">
        <v>1380</v>
      </c>
      <c r="D137" s="16" t="s">
        <v>351</v>
      </c>
      <c r="E137" s="18">
        <f>_xlfn.IFNA(VLOOKUP(C:C,线上线下销售!B:D,3,0),0)</f>
        <v>8888.8084</v>
      </c>
      <c r="F137" s="18">
        <f>SUMIFS(线上订单!$E:$E,线上订单!$B:$B,美团日报!$C137)-SUMIFS(线上订单!$E:$E,线上订单!$B:$B,美团日报!$C137,线上订单!$D:$D,"美团")-SUMIFS(线上订单!$E:$E,线上订单!$B:$B,美团日报!$C137,线上订单!$D:$D,"饿了么")</f>
        <v>0</v>
      </c>
      <c r="G137" s="19">
        <f t="shared" si="16"/>
        <v>0</v>
      </c>
      <c r="H137" s="18">
        <f>SUMIFS(线上订单!$F:$F,线上订单!$B:$B,美团日报!$C137)-SUMIFS(线上订单!$F:$F,线上订单!$B:$B,美团日报!$C137,线上订单!$D:$D,"美团")-SUMIFS(线上订单!$F:$F,线上订单!$B:$B,美团日报!$C137,线上订单!$D:$D,"饿了么")</f>
        <v>0</v>
      </c>
      <c r="I137" s="18">
        <f>SUMIFS(线上订单!$F:$F,线上订单!$B:$B,美团日报!$C137)-SUMIFS(线上订单!$F:$F,线上订单!$B:$B,美团日报!$C137,线上订单!$D:$D,"美团")-SUMIFS(线上订单!$F:$F,线上订单!$B:$B,美团日报!$C137,线上订单!$D:$D,"饿了么")</f>
        <v>0</v>
      </c>
      <c r="J137" s="21">
        <f t="shared" si="17"/>
        <v>0</v>
      </c>
      <c r="K137" s="22" t="e">
        <f t="shared" si="12"/>
        <v>#REF!</v>
      </c>
      <c r="L137" s="19" t="e">
        <f>SUMIFS(#REF!,#REF!,美团日报!$C$2,#REF!,"秒达")</f>
        <v>#REF!</v>
      </c>
      <c r="M137" s="23"/>
      <c r="N137" s="23"/>
      <c r="O137" s="22" t="e">
        <f t="shared" si="13"/>
        <v>#REF!</v>
      </c>
      <c r="P137" s="19" t="e">
        <f>SUMIFS(#REF!,#REF!,美团日报!$C137,#REF!,"秒达")</f>
        <v>#REF!</v>
      </c>
      <c r="Q137" s="23"/>
      <c r="R137" s="23"/>
      <c r="S137" s="22" t="e">
        <f t="shared" si="14"/>
        <v>#REF!</v>
      </c>
      <c r="T137" s="19" t="e">
        <f>SUMIFS(#REF!,#REF!,美团日报!$C137,#REF!,"O2O")</f>
        <v>#REF!</v>
      </c>
      <c r="U137" s="22" t="e">
        <f t="shared" si="15"/>
        <v>#REF!</v>
      </c>
      <c r="V137" s="19" t="e">
        <f>SUMIFS(#REF!,#REF!,美团日报!$C137,#REF!,"O2O")</f>
        <v>#REF!</v>
      </c>
      <c r="W137" s="24" t="s">
        <v>19</v>
      </c>
    </row>
    <row r="138" ht="14.4" spans="1:23">
      <c r="A138" s="16" t="s">
        <v>56</v>
      </c>
      <c r="B138" s="16" t="s">
        <v>52</v>
      </c>
      <c r="C138" s="16">
        <v>1386</v>
      </c>
      <c r="D138" s="16" t="s">
        <v>353</v>
      </c>
      <c r="E138" s="18">
        <f>_xlfn.IFNA(VLOOKUP(C:C,线上线下销售!B:D,3,0),0)</f>
        <v>4051.8608</v>
      </c>
      <c r="F138" s="18">
        <f>SUMIFS(线上订单!$E:$E,线上订单!$B:$B,美团日报!$C138)-SUMIFS(线上订单!$E:$E,线上订单!$B:$B,美团日报!$C138,线上订单!$D:$D,"美团")-SUMIFS(线上订单!$E:$E,线上订单!$B:$B,美团日报!$C138,线上订单!$D:$D,"饿了么")</f>
        <v>0</v>
      </c>
      <c r="G138" s="19">
        <f t="shared" si="16"/>
        <v>0</v>
      </c>
      <c r="H138" s="18">
        <f>SUMIFS(线上订单!$F:$F,线上订单!$B:$B,美团日报!$C138)-SUMIFS(线上订单!$F:$F,线上订单!$B:$B,美团日报!$C138,线上订单!$D:$D,"美团")-SUMIFS(线上订单!$F:$F,线上订单!$B:$B,美团日报!$C138,线上订单!$D:$D,"饿了么")</f>
        <v>0</v>
      </c>
      <c r="I138" s="18">
        <f>SUMIFS(线上订单!$F:$F,线上订单!$B:$B,美团日报!$C138)-SUMIFS(线上订单!$F:$F,线上订单!$B:$B,美团日报!$C138,线上订单!$D:$D,"美团")-SUMIFS(线上订单!$F:$F,线上订单!$B:$B,美团日报!$C138,线上订单!$D:$D,"饿了么")</f>
        <v>0</v>
      </c>
      <c r="J138" s="21">
        <f t="shared" si="17"/>
        <v>0</v>
      </c>
      <c r="K138" s="22" t="e">
        <f t="shared" si="12"/>
        <v>#REF!</v>
      </c>
      <c r="L138" s="19" t="e">
        <f>SUMIFS(#REF!,#REF!,美团日报!$C$2,#REF!,"秒达")</f>
        <v>#REF!</v>
      </c>
      <c r="M138" s="23"/>
      <c r="N138" s="23"/>
      <c r="O138" s="22" t="e">
        <f t="shared" si="13"/>
        <v>#REF!</v>
      </c>
      <c r="P138" s="19" t="e">
        <f>SUMIFS(#REF!,#REF!,美团日报!$C138,#REF!,"秒达")</f>
        <v>#REF!</v>
      </c>
      <c r="Q138" s="23"/>
      <c r="R138" s="23"/>
      <c r="S138" s="22" t="e">
        <f t="shared" si="14"/>
        <v>#REF!</v>
      </c>
      <c r="T138" s="19" t="e">
        <f>SUMIFS(#REF!,#REF!,美团日报!$C138,#REF!,"O2O")</f>
        <v>#REF!</v>
      </c>
      <c r="U138" s="22" t="e">
        <f t="shared" si="15"/>
        <v>#REF!</v>
      </c>
      <c r="V138" s="19" t="e">
        <f>SUMIFS(#REF!,#REF!,美团日报!$C138,#REF!,"O2O")</f>
        <v>#REF!</v>
      </c>
      <c r="W138" s="24" t="s">
        <v>19</v>
      </c>
    </row>
    <row r="139" ht="14.4" spans="1:23">
      <c r="A139" s="16" t="s">
        <v>43</v>
      </c>
      <c r="B139" s="16" t="s">
        <v>38</v>
      </c>
      <c r="C139" s="16">
        <v>1441</v>
      </c>
      <c r="D139" s="16" t="s">
        <v>355</v>
      </c>
      <c r="E139" s="18">
        <f>_xlfn.IFNA(VLOOKUP(C:C,线上线下销售!B:D,3,0),0)</f>
        <v>0</v>
      </c>
      <c r="F139" s="18">
        <f>SUMIFS(线上订单!$E:$E,线上订单!$B:$B,美团日报!$C139)-SUMIFS(线上订单!$E:$E,线上订单!$B:$B,美团日报!$C139,线上订单!$D:$D,"美团")-SUMIFS(线上订单!$E:$E,线上订单!$B:$B,美团日报!$C139,线上订单!$D:$D,"饿了么")</f>
        <v>0</v>
      </c>
      <c r="G139" s="19">
        <f t="shared" si="16"/>
        <v>0</v>
      </c>
      <c r="H139" s="18">
        <f>SUMIFS(线上订单!$F:$F,线上订单!$B:$B,美团日报!$C139)-SUMIFS(线上订单!$F:$F,线上订单!$B:$B,美团日报!$C139,线上订单!$D:$D,"美团")-SUMIFS(线上订单!$F:$F,线上订单!$B:$B,美团日报!$C139,线上订单!$D:$D,"饿了么")</f>
        <v>0</v>
      </c>
      <c r="I139" s="18">
        <f>SUMIFS(线上订单!$F:$F,线上订单!$B:$B,美团日报!$C139)-SUMIFS(线上订单!$F:$F,线上订单!$B:$B,美团日报!$C139,线上订单!$D:$D,"美团")-SUMIFS(线上订单!$F:$F,线上订单!$B:$B,美团日报!$C139,线上订单!$D:$D,"饿了么")</f>
        <v>0</v>
      </c>
      <c r="J139" s="21">
        <f t="shared" si="17"/>
        <v>0</v>
      </c>
      <c r="K139" s="22" t="e">
        <f t="shared" si="12"/>
        <v>#REF!</v>
      </c>
      <c r="L139" s="19" t="e">
        <f>SUMIFS(#REF!,#REF!,美团日报!$C$2,#REF!,"秒达")</f>
        <v>#REF!</v>
      </c>
      <c r="M139" s="23"/>
      <c r="N139" s="23"/>
      <c r="O139" s="22" t="e">
        <f t="shared" si="13"/>
        <v>#REF!</v>
      </c>
      <c r="P139" s="19" t="e">
        <f>SUMIFS(#REF!,#REF!,美团日报!$C139,#REF!,"秒达")</f>
        <v>#REF!</v>
      </c>
      <c r="Q139" s="23"/>
      <c r="R139" s="23"/>
      <c r="S139" s="22" t="e">
        <f t="shared" si="14"/>
        <v>#REF!</v>
      </c>
      <c r="T139" s="19" t="e">
        <f>SUMIFS(#REF!,#REF!,美团日报!$C139,#REF!,"O2O")</f>
        <v>#REF!</v>
      </c>
      <c r="U139" s="22" t="e">
        <f t="shared" si="15"/>
        <v>#REF!</v>
      </c>
      <c r="V139" s="19" t="e">
        <f>SUMIFS(#REF!,#REF!,美团日报!$C139,#REF!,"O2O")</f>
        <v>#REF!</v>
      </c>
      <c r="W139" s="24" t="s">
        <v>19</v>
      </c>
    </row>
    <row r="140" ht="14.4" spans="1:23">
      <c r="A140" s="16" t="s">
        <v>56</v>
      </c>
      <c r="B140" s="16" t="s">
        <v>573</v>
      </c>
      <c r="C140" s="16">
        <v>1445</v>
      </c>
      <c r="D140" s="16" t="s">
        <v>357</v>
      </c>
      <c r="E140" s="18">
        <f>_xlfn.IFNA(VLOOKUP(C:C,线上线下销售!B:D,3,0),0)</f>
        <v>6229.7127</v>
      </c>
      <c r="F140" s="18">
        <f>SUMIFS(线上订单!$E:$E,线上订单!$B:$B,美团日报!$C140)-SUMIFS(线上订单!$E:$E,线上订单!$B:$B,美团日报!$C140,线上订单!$D:$D,"美团")-SUMIFS(线上订单!$E:$E,线上订单!$B:$B,美团日报!$C140,线上订单!$D:$D,"饿了么")</f>
        <v>0</v>
      </c>
      <c r="G140" s="19">
        <f t="shared" si="16"/>
        <v>0</v>
      </c>
      <c r="H140" s="18">
        <f>SUMIFS(线上订单!$F:$F,线上订单!$B:$B,美团日报!$C140)-SUMIFS(线上订单!$F:$F,线上订单!$B:$B,美团日报!$C140,线上订单!$D:$D,"美团")-SUMIFS(线上订单!$F:$F,线上订单!$B:$B,美团日报!$C140,线上订单!$D:$D,"饿了么")</f>
        <v>0</v>
      </c>
      <c r="I140" s="18">
        <f>SUMIFS(线上订单!$F:$F,线上订单!$B:$B,美团日报!$C140)-SUMIFS(线上订单!$F:$F,线上订单!$B:$B,美团日报!$C140,线上订单!$D:$D,"美团")-SUMIFS(线上订单!$F:$F,线上订单!$B:$B,美团日报!$C140,线上订单!$D:$D,"饿了么")</f>
        <v>0</v>
      </c>
      <c r="J140" s="21">
        <f t="shared" si="17"/>
        <v>0</v>
      </c>
      <c r="K140" s="22" t="e">
        <f t="shared" si="12"/>
        <v>#REF!</v>
      </c>
      <c r="L140" s="19" t="e">
        <f>SUMIFS(#REF!,#REF!,美团日报!$C$2,#REF!,"秒达")</f>
        <v>#REF!</v>
      </c>
      <c r="M140" s="23"/>
      <c r="N140" s="23"/>
      <c r="O140" s="22" t="e">
        <f t="shared" si="13"/>
        <v>#REF!</v>
      </c>
      <c r="P140" s="19" t="e">
        <f>SUMIFS(#REF!,#REF!,美团日报!$C140,#REF!,"秒达")</f>
        <v>#REF!</v>
      </c>
      <c r="Q140" s="23"/>
      <c r="R140" s="23"/>
      <c r="S140" s="22" t="e">
        <f t="shared" si="14"/>
        <v>#REF!</v>
      </c>
      <c r="T140" s="19" t="e">
        <f>SUMIFS(#REF!,#REF!,美团日报!$C140,#REF!,"O2O")</f>
        <v>#REF!</v>
      </c>
      <c r="U140" s="22" t="e">
        <f t="shared" si="15"/>
        <v>#REF!</v>
      </c>
      <c r="V140" s="19" t="e">
        <f>SUMIFS(#REF!,#REF!,美团日报!$C140,#REF!,"O2O")</f>
        <v>#REF!</v>
      </c>
      <c r="W140" s="24" t="s">
        <v>19</v>
      </c>
    </row>
    <row r="141" ht="14.4" spans="1:23">
      <c r="A141" s="16" t="s">
        <v>264</v>
      </c>
      <c r="B141" s="16" t="s">
        <v>359</v>
      </c>
      <c r="C141" s="16">
        <v>1446</v>
      </c>
      <c r="D141" s="16" t="s">
        <v>360</v>
      </c>
      <c r="E141" s="18">
        <f>_xlfn.IFNA(VLOOKUP(C:C,线上线下销售!B:D,3,0),0)</f>
        <v>8599.4312</v>
      </c>
      <c r="F141" s="18">
        <f>SUMIFS(线上订单!$E:$E,线上订单!$B:$B,美团日报!$C141)-SUMIFS(线上订单!$E:$E,线上订单!$B:$B,美团日报!$C141,线上订单!$D:$D,"美团")-SUMIFS(线上订单!$E:$E,线上订单!$B:$B,美团日报!$C141,线上订单!$D:$D,"饿了么")</f>
        <v>0</v>
      </c>
      <c r="G141" s="19">
        <f t="shared" si="16"/>
        <v>0</v>
      </c>
      <c r="H141" s="18">
        <f>SUMIFS(线上订单!$F:$F,线上订单!$B:$B,美团日报!$C141)-SUMIFS(线上订单!$F:$F,线上订单!$B:$B,美团日报!$C141,线上订单!$D:$D,"美团")-SUMIFS(线上订单!$F:$F,线上订单!$B:$B,美团日报!$C141,线上订单!$D:$D,"饿了么")</f>
        <v>0</v>
      </c>
      <c r="I141" s="18">
        <f>SUMIFS(线上订单!$F:$F,线上订单!$B:$B,美团日报!$C141)-SUMIFS(线上订单!$F:$F,线上订单!$B:$B,美团日报!$C141,线上订单!$D:$D,"美团")-SUMIFS(线上订单!$F:$F,线上订单!$B:$B,美团日报!$C141,线上订单!$D:$D,"饿了么")</f>
        <v>0</v>
      </c>
      <c r="J141" s="21">
        <f t="shared" si="17"/>
        <v>0</v>
      </c>
      <c r="K141" s="22" t="e">
        <f t="shared" si="12"/>
        <v>#REF!</v>
      </c>
      <c r="L141" s="19" t="e">
        <f>SUMIFS(#REF!,#REF!,美团日报!$C$2,#REF!,"秒达")</f>
        <v>#REF!</v>
      </c>
      <c r="M141" s="23"/>
      <c r="N141" s="23"/>
      <c r="O141" s="22" t="e">
        <f t="shared" si="13"/>
        <v>#REF!</v>
      </c>
      <c r="P141" s="19" t="e">
        <f>SUMIFS(#REF!,#REF!,美团日报!$C141,#REF!,"秒达")</f>
        <v>#REF!</v>
      </c>
      <c r="Q141" s="23"/>
      <c r="R141" s="23"/>
      <c r="S141" s="22" t="e">
        <f t="shared" si="14"/>
        <v>#REF!</v>
      </c>
      <c r="T141" s="19" t="e">
        <f>SUMIFS(#REF!,#REF!,美团日报!$C141,#REF!,"O2O")</f>
        <v>#REF!</v>
      </c>
      <c r="U141" s="22" t="e">
        <f t="shared" si="15"/>
        <v>#REF!</v>
      </c>
      <c r="V141" s="19" t="e">
        <f>SUMIFS(#REF!,#REF!,美团日报!$C141,#REF!,"O2O")</f>
        <v>#REF!</v>
      </c>
      <c r="W141" s="24" t="s">
        <v>19</v>
      </c>
    </row>
    <row r="142" ht="14.4" spans="1:23">
      <c r="A142" s="16" t="s">
        <v>264</v>
      </c>
      <c r="B142" s="16" t="s">
        <v>296</v>
      </c>
      <c r="C142" s="16">
        <v>1460</v>
      </c>
      <c r="D142" s="16" t="s">
        <v>362</v>
      </c>
      <c r="E142" s="18">
        <f>_xlfn.IFNA(VLOOKUP(C:C,线上线下销售!B:D,3,0),0)</f>
        <v>3442.3028</v>
      </c>
      <c r="F142" s="18">
        <f>SUMIFS(线上订单!$E:$E,线上订单!$B:$B,美团日报!$C142)-SUMIFS(线上订单!$E:$E,线上订单!$B:$B,美团日报!$C142,线上订单!$D:$D,"美团")-SUMIFS(线上订单!$E:$E,线上订单!$B:$B,美团日报!$C142,线上订单!$D:$D,"饿了么")</f>
        <v>0</v>
      </c>
      <c r="G142" s="19">
        <f t="shared" si="16"/>
        <v>0</v>
      </c>
      <c r="H142" s="18">
        <f>SUMIFS(线上订单!$F:$F,线上订单!$B:$B,美团日报!$C142)-SUMIFS(线上订单!$F:$F,线上订单!$B:$B,美团日报!$C142,线上订单!$D:$D,"美团")-SUMIFS(线上订单!$F:$F,线上订单!$B:$B,美团日报!$C142,线上订单!$D:$D,"饿了么")</f>
        <v>0</v>
      </c>
      <c r="I142" s="18">
        <f>SUMIFS(线上订单!$F:$F,线上订单!$B:$B,美团日报!$C142)-SUMIFS(线上订单!$F:$F,线上订单!$B:$B,美团日报!$C142,线上订单!$D:$D,"美团")-SUMIFS(线上订单!$F:$F,线上订单!$B:$B,美团日报!$C142,线上订单!$D:$D,"饿了么")</f>
        <v>0</v>
      </c>
      <c r="J142" s="21">
        <f t="shared" si="17"/>
        <v>0</v>
      </c>
      <c r="K142" s="22" t="e">
        <f t="shared" si="12"/>
        <v>#REF!</v>
      </c>
      <c r="L142" s="19" t="e">
        <f>SUMIFS(#REF!,#REF!,美团日报!$C$2,#REF!,"秒达")</f>
        <v>#REF!</v>
      </c>
      <c r="M142" s="23"/>
      <c r="N142" s="23"/>
      <c r="O142" s="22" t="e">
        <f t="shared" si="13"/>
        <v>#REF!</v>
      </c>
      <c r="P142" s="19" t="e">
        <f>SUMIFS(#REF!,#REF!,美团日报!$C142,#REF!,"秒达")</f>
        <v>#REF!</v>
      </c>
      <c r="Q142" s="23"/>
      <c r="R142" s="23"/>
      <c r="S142" s="22" t="e">
        <f t="shared" si="14"/>
        <v>#REF!</v>
      </c>
      <c r="T142" s="19" t="e">
        <f>SUMIFS(#REF!,#REF!,美团日报!$C142,#REF!,"O2O")</f>
        <v>#REF!</v>
      </c>
      <c r="U142" s="22" t="e">
        <f t="shared" si="15"/>
        <v>#REF!</v>
      </c>
      <c r="V142" s="19" t="e">
        <f>SUMIFS(#REF!,#REF!,美团日报!$C142,#REF!,"O2O")</f>
        <v>#REF!</v>
      </c>
      <c r="W142" s="24" t="s">
        <v>19</v>
      </c>
    </row>
    <row r="143" ht="14.4" spans="1:23">
      <c r="A143" s="16" t="s">
        <v>56</v>
      </c>
      <c r="B143" s="16" t="s">
        <v>52</v>
      </c>
      <c r="C143" s="16">
        <v>1461</v>
      </c>
      <c r="D143" s="16" t="s">
        <v>364</v>
      </c>
      <c r="E143" s="18">
        <f>_xlfn.IFNA(VLOOKUP(C:C,线上线下销售!B:D,3,0),0)</f>
        <v>6043.9715</v>
      </c>
      <c r="F143" s="18">
        <f>SUMIFS(线上订单!$E:$E,线上订单!$B:$B,美团日报!$C143)-SUMIFS(线上订单!$E:$E,线上订单!$B:$B,美团日报!$C143,线上订单!$D:$D,"美团")-SUMIFS(线上订单!$E:$E,线上订单!$B:$B,美团日报!$C143,线上订单!$D:$D,"饿了么")</f>
        <v>345.48672566371</v>
      </c>
      <c r="G143" s="19">
        <f t="shared" si="16"/>
        <v>0.0571622029759257</v>
      </c>
      <c r="H143" s="18">
        <f>SUMIFS(线上订单!$F:$F,线上订单!$B:$B,美团日报!$C143)-SUMIFS(线上订单!$F:$F,线上订单!$B:$B,美团日报!$C143,线上订单!$D:$D,"美团")-SUMIFS(线上订单!$F:$F,线上订单!$B:$B,美团日报!$C143,线上订单!$D:$D,"饿了么")</f>
        <v>8</v>
      </c>
      <c r="I143" s="18">
        <f>SUMIFS(线上订单!$F:$F,线上订单!$B:$B,美团日报!$C143)-SUMIFS(线上订单!$F:$F,线上订单!$B:$B,美团日报!$C143,线上订单!$D:$D,"美团")-SUMIFS(线上订单!$F:$F,线上订单!$B:$B,美团日报!$C143,线上订单!$D:$D,"饿了么")</f>
        <v>8</v>
      </c>
      <c r="J143" s="21">
        <f t="shared" si="17"/>
        <v>43.1858407079638</v>
      </c>
      <c r="K143" s="22" t="e">
        <f t="shared" si="12"/>
        <v>#REF!</v>
      </c>
      <c r="L143" s="19" t="e">
        <f>SUMIFS(#REF!,#REF!,美团日报!$C$2,#REF!,"秒达")</f>
        <v>#REF!</v>
      </c>
      <c r="M143" s="23"/>
      <c r="N143" s="23"/>
      <c r="O143" s="22" t="e">
        <f t="shared" si="13"/>
        <v>#REF!</v>
      </c>
      <c r="P143" s="19" t="e">
        <f>SUMIFS(#REF!,#REF!,美团日报!$C143,#REF!,"秒达")</f>
        <v>#REF!</v>
      </c>
      <c r="Q143" s="23"/>
      <c r="R143" s="23"/>
      <c r="S143" s="22" t="e">
        <f t="shared" si="14"/>
        <v>#REF!</v>
      </c>
      <c r="T143" s="19" t="e">
        <f>SUMIFS(#REF!,#REF!,美团日报!$C143,#REF!,"O2O")</f>
        <v>#REF!</v>
      </c>
      <c r="U143" s="22" t="e">
        <f t="shared" si="15"/>
        <v>#REF!</v>
      </c>
      <c r="V143" s="19" t="e">
        <f>SUMIFS(#REF!,#REF!,美团日报!$C143,#REF!,"O2O")</f>
        <v>#REF!</v>
      </c>
      <c r="W143" s="24" t="s">
        <v>19</v>
      </c>
    </row>
    <row r="144" ht="14.4" spans="1:23">
      <c r="A144" s="16" t="s">
        <v>43</v>
      </c>
      <c r="B144" s="16" t="s">
        <v>38</v>
      </c>
      <c r="C144" s="16">
        <v>1479</v>
      </c>
      <c r="D144" s="16" t="s">
        <v>366</v>
      </c>
      <c r="E144" s="18">
        <f>_xlfn.IFNA(VLOOKUP(C:C,线上线下销售!B:D,3,0),0)</f>
        <v>6124.353</v>
      </c>
      <c r="F144" s="18">
        <f>SUMIFS(线上订单!$E:$E,线上订单!$B:$B,美团日报!$C144)-SUMIFS(线上订单!$E:$E,线上订单!$B:$B,美团日报!$C144,线上订单!$D:$D,"美团")-SUMIFS(线上订单!$E:$E,线上订单!$B:$B,美团日报!$C144,线上订单!$D:$D,"饿了么")</f>
        <v>66.10619469027</v>
      </c>
      <c r="G144" s="19">
        <f t="shared" si="16"/>
        <v>0.0107939883103195</v>
      </c>
      <c r="H144" s="18">
        <f>SUMIFS(线上订单!$F:$F,线上订单!$B:$B,美团日报!$C144)-SUMIFS(线上订单!$F:$F,线上订单!$B:$B,美团日报!$C144,线上订单!$D:$D,"美团")-SUMIFS(线上订单!$F:$F,线上订单!$B:$B,美团日报!$C144,线上订单!$D:$D,"饿了么")</f>
        <v>2</v>
      </c>
      <c r="I144" s="18">
        <f>SUMIFS(线上订单!$F:$F,线上订单!$B:$B,美团日报!$C144)-SUMIFS(线上订单!$F:$F,线上订单!$B:$B,美团日报!$C144,线上订单!$D:$D,"美团")-SUMIFS(线上订单!$F:$F,线上订单!$B:$B,美团日报!$C144,线上订单!$D:$D,"饿了么")</f>
        <v>2</v>
      </c>
      <c r="J144" s="21">
        <f t="shared" si="17"/>
        <v>33.053097345135</v>
      </c>
      <c r="K144" s="22" t="e">
        <f t="shared" si="12"/>
        <v>#REF!</v>
      </c>
      <c r="L144" s="19" t="e">
        <f>SUMIFS(#REF!,#REF!,美团日报!$C$2,#REF!,"秒达")</f>
        <v>#REF!</v>
      </c>
      <c r="M144" s="23"/>
      <c r="N144" s="23"/>
      <c r="O144" s="22" t="e">
        <f t="shared" si="13"/>
        <v>#REF!</v>
      </c>
      <c r="P144" s="19" t="e">
        <f>SUMIFS(#REF!,#REF!,美团日报!$C144,#REF!,"秒达")</f>
        <v>#REF!</v>
      </c>
      <c r="Q144" s="23"/>
      <c r="R144" s="23"/>
      <c r="S144" s="22" t="e">
        <f t="shared" si="14"/>
        <v>#REF!</v>
      </c>
      <c r="T144" s="19" t="e">
        <f>SUMIFS(#REF!,#REF!,美团日报!$C144,#REF!,"O2O")</f>
        <v>#REF!</v>
      </c>
      <c r="U144" s="22" t="e">
        <f t="shared" si="15"/>
        <v>#REF!</v>
      </c>
      <c r="V144" s="19" t="e">
        <f>SUMIFS(#REF!,#REF!,美团日报!$C144,#REF!,"O2O")</f>
        <v>#REF!</v>
      </c>
      <c r="W144" s="24" t="s">
        <v>19</v>
      </c>
    </row>
    <row r="145" ht="14.4" spans="1:23">
      <c r="A145" s="16" t="s">
        <v>56</v>
      </c>
      <c r="B145" s="16" t="s">
        <v>70</v>
      </c>
      <c r="C145" s="16">
        <v>1496</v>
      </c>
      <c r="D145" s="16" t="s">
        <v>368</v>
      </c>
      <c r="E145" s="18">
        <f>_xlfn.IFNA(VLOOKUP(C:C,线上线下销售!B:D,3,0),0)</f>
        <v>2554.8199</v>
      </c>
      <c r="F145" s="18">
        <f>SUMIFS(线上订单!$E:$E,线上订单!$B:$B,美团日报!$C145)-SUMIFS(线上订单!$E:$E,线上订单!$B:$B,美团日报!$C145,线上订单!$D:$D,"美团")-SUMIFS(线上订单!$E:$E,线上订单!$B:$B,美团日报!$C145,线上订单!$D:$D,"饿了么")</f>
        <v>69.82300884956</v>
      </c>
      <c r="G145" s="19">
        <f t="shared" si="16"/>
        <v>0.0273299142728456</v>
      </c>
      <c r="H145" s="18">
        <f>SUMIFS(线上订单!$F:$F,线上订单!$B:$B,美团日报!$C145)-SUMIFS(线上订单!$F:$F,线上订单!$B:$B,美团日报!$C145,线上订单!$D:$D,"美团")-SUMIFS(线上订单!$F:$F,线上订单!$B:$B,美团日报!$C145,线上订单!$D:$D,"饿了么")</f>
        <v>2</v>
      </c>
      <c r="I145" s="18">
        <f>SUMIFS(线上订单!$F:$F,线上订单!$B:$B,美团日报!$C145)-SUMIFS(线上订单!$F:$F,线上订单!$B:$B,美团日报!$C145,线上订单!$D:$D,"美团")-SUMIFS(线上订单!$F:$F,线上订单!$B:$B,美团日报!$C145,线上订单!$D:$D,"饿了么")</f>
        <v>2</v>
      </c>
      <c r="J145" s="21">
        <f t="shared" si="17"/>
        <v>34.91150442478</v>
      </c>
      <c r="K145" s="22" t="e">
        <f t="shared" si="12"/>
        <v>#REF!</v>
      </c>
      <c r="L145" s="19" t="e">
        <f>SUMIFS(#REF!,#REF!,美团日报!$C$2,#REF!,"秒达")</f>
        <v>#REF!</v>
      </c>
      <c r="M145" s="23"/>
      <c r="N145" s="23"/>
      <c r="O145" s="22" t="e">
        <f t="shared" si="13"/>
        <v>#REF!</v>
      </c>
      <c r="P145" s="19" t="e">
        <f>SUMIFS(#REF!,#REF!,美团日报!$C145,#REF!,"秒达")</f>
        <v>#REF!</v>
      </c>
      <c r="Q145" s="23"/>
      <c r="R145" s="23"/>
      <c r="S145" s="22" t="e">
        <f t="shared" si="14"/>
        <v>#REF!</v>
      </c>
      <c r="T145" s="19" t="e">
        <f>SUMIFS(#REF!,#REF!,美团日报!$C145,#REF!,"O2O")</f>
        <v>#REF!</v>
      </c>
      <c r="U145" s="22" t="e">
        <f t="shared" si="15"/>
        <v>#REF!</v>
      </c>
      <c r="V145" s="19" t="e">
        <f>SUMIFS(#REF!,#REF!,美团日报!$C145,#REF!,"O2O")</f>
        <v>#REF!</v>
      </c>
      <c r="W145" s="24" t="s">
        <v>19</v>
      </c>
    </row>
    <row r="146" ht="14.4" spans="1:23">
      <c r="A146" s="16" t="s">
        <v>264</v>
      </c>
      <c r="B146" s="16" t="s">
        <v>370</v>
      </c>
      <c r="C146" s="16">
        <v>1513</v>
      </c>
      <c r="D146" s="16" t="s">
        <v>371</v>
      </c>
      <c r="E146" s="18">
        <f>_xlfn.IFNA(VLOOKUP(C:C,线上线下销售!B:D,3,0),0)</f>
        <v>8802.3996</v>
      </c>
      <c r="F146" s="18">
        <f>SUMIFS(线上订单!$E:$E,线上订单!$B:$B,美团日报!$C146)-SUMIFS(线上订单!$E:$E,线上订单!$B:$B,美团日报!$C146,线上订单!$D:$D,"美团")-SUMIFS(线上订单!$E:$E,线上订单!$B:$B,美团日报!$C146,线上订单!$D:$D,"饿了么")</f>
        <v>0</v>
      </c>
      <c r="G146" s="19">
        <f t="shared" si="16"/>
        <v>0</v>
      </c>
      <c r="H146" s="18">
        <f>SUMIFS(线上订单!$F:$F,线上订单!$B:$B,美团日报!$C146)-SUMIFS(线上订单!$F:$F,线上订单!$B:$B,美团日报!$C146,线上订单!$D:$D,"美团")-SUMIFS(线上订单!$F:$F,线上订单!$B:$B,美团日报!$C146,线上订单!$D:$D,"饿了么")</f>
        <v>0</v>
      </c>
      <c r="I146" s="18">
        <f>SUMIFS(线上订单!$F:$F,线上订单!$B:$B,美团日报!$C146)-SUMIFS(线上订单!$F:$F,线上订单!$B:$B,美团日报!$C146,线上订单!$D:$D,"美团")-SUMIFS(线上订单!$F:$F,线上订单!$B:$B,美团日报!$C146,线上订单!$D:$D,"饿了么")</f>
        <v>0</v>
      </c>
      <c r="J146" s="21">
        <f t="shared" si="17"/>
        <v>0</v>
      </c>
      <c r="K146" s="22" t="e">
        <f t="shared" si="12"/>
        <v>#REF!</v>
      </c>
      <c r="L146" s="19" t="e">
        <f>SUMIFS(#REF!,#REF!,美团日报!$C$2,#REF!,"秒达")</f>
        <v>#REF!</v>
      </c>
      <c r="M146" s="23"/>
      <c r="N146" s="23"/>
      <c r="O146" s="22" t="e">
        <f t="shared" si="13"/>
        <v>#REF!</v>
      </c>
      <c r="P146" s="19" t="e">
        <f>SUMIFS(#REF!,#REF!,美团日报!$C146,#REF!,"秒达")</f>
        <v>#REF!</v>
      </c>
      <c r="Q146" s="23"/>
      <c r="R146" s="23"/>
      <c r="S146" s="22" t="e">
        <f t="shared" si="14"/>
        <v>#REF!</v>
      </c>
      <c r="T146" s="19" t="e">
        <f>SUMIFS(#REF!,#REF!,美团日报!$C146,#REF!,"O2O")</f>
        <v>#REF!</v>
      </c>
      <c r="U146" s="22" t="e">
        <f t="shared" si="15"/>
        <v>#REF!</v>
      </c>
      <c r="V146" s="19" t="e">
        <f>SUMIFS(#REF!,#REF!,美团日报!$C146,#REF!,"O2O")</f>
        <v>#REF!</v>
      </c>
      <c r="W146" s="24" t="s">
        <v>19</v>
      </c>
    </row>
    <row r="147" ht="14.4" spans="1:23">
      <c r="A147" s="16" t="s">
        <v>264</v>
      </c>
      <c r="B147" s="16" t="s">
        <v>359</v>
      </c>
      <c r="C147" s="16">
        <v>1529</v>
      </c>
      <c r="D147" s="16" t="s">
        <v>373</v>
      </c>
      <c r="E147" s="18">
        <f>_xlfn.IFNA(VLOOKUP(C:C,线上线下销售!B:D,3,0),0)</f>
        <v>19411.4845</v>
      </c>
      <c r="F147" s="18">
        <f>SUMIFS(线上订单!$E:$E,线上订单!$B:$B,美团日报!$C147)-SUMIFS(线上订单!$E:$E,线上订单!$B:$B,美团日报!$C147,线上订单!$D:$D,"美团")-SUMIFS(线上订单!$E:$E,线上订单!$B:$B,美团日报!$C147,线上订单!$D:$D,"饿了么")</f>
        <v>0</v>
      </c>
      <c r="G147" s="19">
        <f t="shared" si="16"/>
        <v>0</v>
      </c>
      <c r="H147" s="18">
        <f>SUMIFS(线上订单!$F:$F,线上订单!$B:$B,美团日报!$C147)-SUMIFS(线上订单!$F:$F,线上订单!$B:$B,美团日报!$C147,线上订单!$D:$D,"美团")-SUMIFS(线上订单!$F:$F,线上订单!$B:$B,美团日报!$C147,线上订单!$D:$D,"饿了么")</f>
        <v>0</v>
      </c>
      <c r="I147" s="18">
        <f>SUMIFS(线上订单!$F:$F,线上订单!$B:$B,美团日报!$C147)-SUMIFS(线上订单!$F:$F,线上订单!$B:$B,美团日报!$C147,线上订单!$D:$D,"美团")-SUMIFS(线上订单!$F:$F,线上订单!$B:$B,美团日报!$C147,线上订单!$D:$D,"饿了么")</f>
        <v>0</v>
      </c>
      <c r="J147" s="21">
        <f t="shared" si="17"/>
        <v>0</v>
      </c>
      <c r="K147" s="22" t="e">
        <f t="shared" si="12"/>
        <v>#REF!</v>
      </c>
      <c r="L147" s="19" t="e">
        <f>SUMIFS(#REF!,#REF!,美团日报!$C$2,#REF!,"秒达")</f>
        <v>#REF!</v>
      </c>
      <c r="M147" s="23"/>
      <c r="N147" s="23"/>
      <c r="O147" s="22" t="e">
        <f t="shared" si="13"/>
        <v>#REF!</v>
      </c>
      <c r="P147" s="19" t="e">
        <f>SUMIFS(#REF!,#REF!,美团日报!$C147,#REF!,"秒达")</f>
        <v>#REF!</v>
      </c>
      <c r="Q147" s="23"/>
      <c r="R147" s="23"/>
      <c r="S147" s="22" t="e">
        <f t="shared" si="14"/>
        <v>#REF!</v>
      </c>
      <c r="T147" s="19" t="e">
        <f>SUMIFS(#REF!,#REF!,美团日报!$C147,#REF!,"O2O")</f>
        <v>#REF!</v>
      </c>
      <c r="U147" s="22" t="e">
        <f t="shared" si="15"/>
        <v>#REF!</v>
      </c>
      <c r="V147" s="19" t="e">
        <f>SUMIFS(#REF!,#REF!,美团日报!$C147,#REF!,"O2O")</f>
        <v>#REF!</v>
      </c>
      <c r="W147" s="24" t="s">
        <v>19</v>
      </c>
    </row>
    <row r="148" ht="14.4" spans="1:23">
      <c r="A148" s="16" t="s">
        <v>48</v>
      </c>
      <c r="B148" s="16" t="s">
        <v>111</v>
      </c>
      <c r="C148" s="16">
        <v>1533</v>
      </c>
      <c r="D148" s="16" t="s">
        <v>375</v>
      </c>
      <c r="E148" s="18">
        <f>_xlfn.IFNA(VLOOKUP(C:C,线上线下销售!B:D,3,0),0)</f>
        <v>0</v>
      </c>
      <c r="F148" s="18">
        <f>SUMIFS(线上订单!$E:$E,线上订单!$B:$B,美团日报!$C148)-SUMIFS(线上订单!$E:$E,线上订单!$B:$B,美团日报!$C148,线上订单!$D:$D,"美团")-SUMIFS(线上订单!$E:$E,线上订单!$B:$B,美团日报!$C148,线上订单!$D:$D,"饿了么")</f>
        <v>0</v>
      </c>
      <c r="G148" s="19">
        <f t="shared" si="16"/>
        <v>0</v>
      </c>
      <c r="H148" s="18">
        <f>SUMIFS(线上订单!$F:$F,线上订单!$B:$B,美团日报!$C148)-SUMIFS(线上订单!$F:$F,线上订单!$B:$B,美团日报!$C148,线上订单!$D:$D,"美团")-SUMIFS(线上订单!$F:$F,线上订单!$B:$B,美团日报!$C148,线上订单!$D:$D,"饿了么")</f>
        <v>0</v>
      </c>
      <c r="I148" s="18">
        <f>SUMIFS(线上订单!$F:$F,线上订单!$B:$B,美团日报!$C148)-SUMIFS(线上订单!$F:$F,线上订单!$B:$B,美团日报!$C148,线上订单!$D:$D,"美团")-SUMIFS(线上订单!$F:$F,线上订单!$B:$B,美团日报!$C148,线上订单!$D:$D,"饿了么")</f>
        <v>0</v>
      </c>
      <c r="J148" s="21">
        <f t="shared" si="17"/>
        <v>0</v>
      </c>
      <c r="K148" s="22" t="e">
        <f t="shared" si="12"/>
        <v>#REF!</v>
      </c>
      <c r="L148" s="19" t="e">
        <f>SUMIFS(#REF!,#REF!,美团日报!$C$2,#REF!,"秒达")</f>
        <v>#REF!</v>
      </c>
      <c r="M148" s="23"/>
      <c r="N148" s="23"/>
      <c r="O148" s="22" t="e">
        <f t="shared" si="13"/>
        <v>#REF!</v>
      </c>
      <c r="P148" s="19" t="e">
        <f>SUMIFS(#REF!,#REF!,美团日报!$C148,#REF!,"秒达")</f>
        <v>#REF!</v>
      </c>
      <c r="Q148" s="23"/>
      <c r="R148" s="23"/>
      <c r="S148" s="22" t="e">
        <f t="shared" si="14"/>
        <v>#REF!</v>
      </c>
      <c r="T148" s="19" t="e">
        <f>SUMIFS(#REF!,#REF!,美团日报!$C148,#REF!,"O2O")</f>
        <v>#REF!</v>
      </c>
      <c r="U148" s="22" t="e">
        <f t="shared" si="15"/>
        <v>#REF!</v>
      </c>
      <c r="V148" s="19" t="e">
        <f>SUMIFS(#REF!,#REF!,美团日报!$C148,#REF!,"O2O")</f>
        <v>#REF!</v>
      </c>
      <c r="W148" s="24" t="s">
        <v>19</v>
      </c>
    </row>
    <row r="149" ht="14.4" spans="1:23">
      <c r="A149" s="16" t="s">
        <v>264</v>
      </c>
      <c r="B149" s="16" t="s">
        <v>327</v>
      </c>
      <c r="C149" s="16">
        <v>1540</v>
      </c>
      <c r="D149" s="16" t="s">
        <v>377</v>
      </c>
      <c r="E149" s="18">
        <f>_xlfn.IFNA(VLOOKUP(C:C,线上线下销售!B:D,3,0),0)</f>
        <v>28849.2624</v>
      </c>
      <c r="F149" s="18">
        <f>SUMIFS(线上订单!$E:$E,线上订单!$B:$B,美团日报!$C149)-SUMIFS(线上订单!$E:$E,线上订单!$B:$B,美团日报!$C149,线上订单!$D:$D,"美团")-SUMIFS(线上订单!$E:$E,线上订单!$B:$B,美团日报!$C149,线上订单!$D:$D,"饿了么")</f>
        <v>0</v>
      </c>
      <c r="G149" s="19">
        <f t="shared" si="16"/>
        <v>0</v>
      </c>
      <c r="H149" s="18">
        <f>SUMIFS(线上订单!$F:$F,线上订单!$B:$B,美团日报!$C149)-SUMIFS(线上订单!$F:$F,线上订单!$B:$B,美团日报!$C149,线上订单!$D:$D,"美团")-SUMIFS(线上订单!$F:$F,线上订单!$B:$B,美团日报!$C149,线上订单!$D:$D,"饿了么")</f>
        <v>0</v>
      </c>
      <c r="I149" s="18">
        <f>SUMIFS(线上订单!$F:$F,线上订单!$B:$B,美团日报!$C149)-SUMIFS(线上订单!$F:$F,线上订单!$B:$B,美团日报!$C149,线上订单!$D:$D,"美团")-SUMIFS(线上订单!$F:$F,线上订单!$B:$B,美团日报!$C149,线上订单!$D:$D,"饿了么")</f>
        <v>0</v>
      </c>
      <c r="J149" s="21">
        <f t="shared" si="17"/>
        <v>0</v>
      </c>
      <c r="K149" s="22" t="e">
        <f t="shared" si="12"/>
        <v>#REF!</v>
      </c>
      <c r="L149" s="19" t="e">
        <f>SUMIFS(#REF!,#REF!,美团日报!$C$2,#REF!,"秒达")</f>
        <v>#REF!</v>
      </c>
      <c r="M149" s="23"/>
      <c r="N149" s="23"/>
      <c r="O149" s="22" t="e">
        <f t="shared" si="13"/>
        <v>#REF!</v>
      </c>
      <c r="P149" s="19" t="e">
        <f>SUMIFS(#REF!,#REF!,美团日报!$C149,#REF!,"秒达")</f>
        <v>#REF!</v>
      </c>
      <c r="Q149" s="23"/>
      <c r="R149" s="23"/>
      <c r="S149" s="22" t="e">
        <f t="shared" si="14"/>
        <v>#REF!</v>
      </c>
      <c r="T149" s="19" t="e">
        <f>SUMIFS(#REF!,#REF!,美团日报!$C149,#REF!,"O2O")</f>
        <v>#REF!</v>
      </c>
      <c r="U149" s="22" t="e">
        <f t="shared" si="15"/>
        <v>#REF!</v>
      </c>
      <c r="V149" s="19" t="e">
        <f>SUMIFS(#REF!,#REF!,美团日报!$C149,#REF!,"O2O")</f>
        <v>#REF!</v>
      </c>
      <c r="W149" s="24" t="s">
        <v>19</v>
      </c>
    </row>
    <row r="150" ht="14.4" spans="1:23">
      <c r="A150" s="16" t="s">
        <v>43</v>
      </c>
      <c r="B150" s="16" t="s">
        <v>575</v>
      </c>
      <c r="C150" s="16">
        <v>1543</v>
      </c>
      <c r="D150" s="16" t="s">
        <v>379</v>
      </c>
      <c r="E150" s="18">
        <f>_xlfn.IFNA(VLOOKUP(C:C,线上线下销售!B:D,3,0),0)</f>
        <v>5973.562</v>
      </c>
      <c r="F150" s="18">
        <f>SUMIFS(线上订单!$E:$E,线上订单!$B:$B,美团日报!$C150)-SUMIFS(线上订单!$E:$E,线上订单!$B:$B,美团日报!$C150,线上订单!$D:$D,"美团")-SUMIFS(线上订单!$E:$E,线上订单!$B:$B,美团日报!$C150,线上订单!$D:$D,"饿了么")</f>
        <v>120.37752699521</v>
      </c>
      <c r="G150" s="19">
        <f t="shared" si="16"/>
        <v>0.0201517163453246</v>
      </c>
      <c r="H150" s="18">
        <f>SUMIFS(线上订单!$F:$F,线上订单!$B:$B,美团日报!$C150)-SUMIFS(线上订单!$F:$F,线上订单!$B:$B,美团日报!$C150,线上订单!$D:$D,"美团")-SUMIFS(线上订单!$F:$F,线上订单!$B:$B,美团日报!$C150,线上订单!$D:$D,"饿了么")</f>
        <v>3</v>
      </c>
      <c r="I150" s="18">
        <f>SUMIFS(线上订单!$F:$F,线上订单!$B:$B,美团日报!$C150)-SUMIFS(线上订单!$F:$F,线上订单!$B:$B,美团日报!$C150,线上订单!$D:$D,"美团")-SUMIFS(线上订单!$F:$F,线上订单!$B:$B,美团日报!$C150,线上订单!$D:$D,"饿了么")</f>
        <v>3</v>
      </c>
      <c r="J150" s="21">
        <f t="shared" si="17"/>
        <v>40.1258423317367</v>
      </c>
      <c r="K150" s="22" t="e">
        <f t="shared" si="12"/>
        <v>#REF!</v>
      </c>
      <c r="L150" s="19" t="e">
        <f>SUMIFS(#REF!,#REF!,美团日报!$C$2,#REF!,"秒达")</f>
        <v>#REF!</v>
      </c>
      <c r="M150" s="23"/>
      <c r="N150" s="23"/>
      <c r="O150" s="22" t="e">
        <f t="shared" si="13"/>
        <v>#REF!</v>
      </c>
      <c r="P150" s="19" t="e">
        <f>SUMIFS(#REF!,#REF!,美团日报!$C150,#REF!,"秒达")</f>
        <v>#REF!</v>
      </c>
      <c r="Q150" s="23"/>
      <c r="R150" s="23"/>
      <c r="S150" s="22" t="e">
        <f t="shared" si="14"/>
        <v>#REF!</v>
      </c>
      <c r="T150" s="19" t="e">
        <f>SUMIFS(#REF!,#REF!,美团日报!$C150,#REF!,"O2O")</f>
        <v>#REF!</v>
      </c>
      <c r="U150" s="22" t="e">
        <f t="shared" si="15"/>
        <v>#REF!</v>
      </c>
      <c r="V150" s="19" t="e">
        <f>SUMIFS(#REF!,#REF!,美团日报!$C150,#REF!,"O2O")</f>
        <v>#REF!</v>
      </c>
      <c r="W150" s="24" t="s">
        <v>19</v>
      </c>
    </row>
    <row r="151" ht="14.4" spans="1:23">
      <c r="A151" s="16" t="s">
        <v>63</v>
      </c>
      <c r="B151" s="16" t="s">
        <v>86</v>
      </c>
      <c r="C151" s="16">
        <v>1566</v>
      </c>
      <c r="D151" s="16" t="s">
        <v>381</v>
      </c>
      <c r="E151" s="18">
        <f>_xlfn.IFNA(VLOOKUP(C:C,线上线下销售!B:D,3,0),0)</f>
        <v>4504.1906</v>
      </c>
      <c r="F151" s="18">
        <f>SUMIFS(线上订单!$E:$E,线上订单!$B:$B,美团日报!$C151)-SUMIFS(线上订单!$E:$E,线上订单!$B:$B,美团日报!$C151,线上订单!$D:$D,"美团")-SUMIFS(线上订单!$E:$E,线上订单!$B:$B,美团日报!$C151,线上订单!$D:$D,"饿了么")</f>
        <v>0</v>
      </c>
      <c r="G151" s="19">
        <f t="shared" si="16"/>
        <v>0</v>
      </c>
      <c r="H151" s="18">
        <f>SUMIFS(线上订单!$F:$F,线上订单!$B:$B,美团日报!$C151)-SUMIFS(线上订单!$F:$F,线上订单!$B:$B,美团日报!$C151,线上订单!$D:$D,"美团")-SUMIFS(线上订单!$F:$F,线上订单!$B:$B,美团日报!$C151,线上订单!$D:$D,"饿了么")</f>
        <v>0</v>
      </c>
      <c r="I151" s="18">
        <f>SUMIFS(线上订单!$F:$F,线上订单!$B:$B,美团日报!$C151)-SUMIFS(线上订单!$F:$F,线上订单!$B:$B,美团日报!$C151,线上订单!$D:$D,"美团")-SUMIFS(线上订单!$F:$F,线上订单!$B:$B,美团日报!$C151,线上订单!$D:$D,"饿了么")</f>
        <v>0</v>
      </c>
      <c r="J151" s="21">
        <f t="shared" si="17"/>
        <v>0</v>
      </c>
      <c r="K151" s="22" t="e">
        <f t="shared" si="12"/>
        <v>#REF!</v>
      </c>
      <c r="L151" s="19" t="e">
        <f>SUMIFS(#REF!,#REF!,美团日报!$C$2,#REF!,"秒达")</f>
        <v>#REF!</v>
      </c>
      <c r="M151" s="23"/>
      <c r="N151" s="23"/>
      <c r="O151" s="22" t="e">
        <f t="shared" si="13"/>
        <v>#REF!</v>
      </c>
      <c r="P151" s="19" t="e">
        <f>SUMIFS(#REF!,#REF!,美团日报!$C151,#REF!,"秒达")</f>
        <v>#REF!</v>
      </c>
      <c r="Q151" s="23"/>
      <c r="R151" s="23"/>
      <c r="S151" s="22" t="e">
        <f t="shared" si="14"/>
        <v>#REF!</v>
      </c>
      <c r="T151" s="19" t="e">
        <f>SUMIFS(#REF!,#REF!,美团日报!$C151,#REF!,"O2O")</f>
        <v>#REF!</v>
      </c>
      <c r="U151" s="22" t="e">
        <f t="shared" si="15"/>
        <v>#REF!</v>
      </c>
      <c r="V151" s="19" t="e">
        <f>SUMIFS(#REF!,#REF!,美团日报!$C151,#REF!,"O2O")</f>
        <v>#REF!</v>
      </c>
      <c r="W151" s="24" t="s">
        <v>19</v>
      </c>
    </row>
    <row r="152" ht="14.4" spans="1:23">
      <c r="A152" s="16" t="s">
        <v>56</v>
      </c>
      <c r="B152" s="16" t="s">
        <v>73</v>
      </c>
      <c r="C152" s="16">
        <v>1578</v>
      </c>
      <c r="D152" s="16" t="s">
        <v>383</v>
      </c>
      <c r="E152" s="18">
        <f>_xlfn.IFNA(VLOOKUP(C:C,线上线下销售!B:D,3,0),0)</f>
        <v>2173.402</v>
      </c>
      <c r="F152" s="18">
        <f>SUMIFS(线上订单!$E:$E,线上订单!$B:$B,美团日报!$C152)-SUMIFS(线上订单!$E:$E,线上订单!$B:$B,美团日报!$C152,线上订单!$D:$D,"美团")-SUMIFS(线上订单!$E:$E,线上订单!$B:$B,美团日报!$C152,线上订单!$D:$D,"饿了么")</f>
        <v>95.65486725663</v>
      </c>
      <c r="G152" s="19">
        <f t="shared" si="16"/>
        <v>0.0440115851814943</v>
      </c>
      <c r="H152" s="18">
        <f>SUMIFS(线上订单!$F:$F,线上订单!$B:$B,美团日报!$C152)-SUMIFS(线上订单!$F:$F,线上订单!$B:$B,美团日报!$C152,线上订单!$D:$D,"美团")-SUMIFS(线上订单!$F:$F,线上订单!$B:$B,美团日报!$C152,线上订单!$D:$D,"饿了么")</f>
        <v>2</v>
      </c>
      <c r="I152" s="18">
        <f>SUMIFS(线上订单!$F:$F,线上订单!$B:$B,美团日报!$C152)-SUMIFS(线上订单!$F:$F,线上订单!$B:$B,美团日报!$C152,线上订单!$D:$D,"美团")-SUMIFS(线上订单!$F:$F,线上订单!$B:$B,美团日报!$C152,线上订单!$D:$D,"饿了么")</f>
        <v>2</v>
      </c>
      <c r="J152" s="21">
        <f t="shared" si="17"/>
        <v>47.827433628315</v>
      </c>
      <c r="K152" s="22" t="e">
        <f t="shared" si="12"/>
        <v>#REF!</v>
      </c>
      <c r="L152" s="19" t="e">
        <f>SUMIFS(#REF!,#REF!,美团日报!$C$2,#REF!,"秒达")</f>
        <v>#REF!</v>
      </c>
      <c r="M152" s="23"/>
      <c r="N152" s="23"/>
      <c r="O152" s="22" t="e">
        <f t="shared" si="13"/>
        <v>#REF!</v>
      </c>
      <c r="P152" s="19" t="e">
        <f>SUMIFS(#REF!,#REF!,美团日报!$C152,#REF!,"秒达")</f>
        <v>#REF!</v>
      </c>
      <c r="Q152" s="23"/>
      <c r="R152" s="23"/>
      <c r="S152" s="22" t="e">
        <f t="shared" si="14"/>
        <v>#REF!</v>
      </c>
      <c r="T152" s="19" t="e">
        <f>SUMIFS(#REF!,#REF!,美团日报!$C152,#REF!,"O2O")</f>
        <v>#REF!</v>
      </c>
      <c r="U152" s="22" t="e">
        <f t="shared" si="15"/>
        <v>#REF!</v>
      </c>
      <c r="V152" s="19" t="e">
        <f>SUMIFS(#REF!,#REF!,美团日报!$C152,#REF!,"O2O")</f>
        <v>#REF!</v>
      </c>
      <c r="W152" s="24" t="s">
        <v>19</v>
      </c>
    </row>
    <row r="153" ht="14.4" spans="1:23">
      <c r="A153" s="16" t="s">
        <v>48</v>
      </c>
      <c r="B153" s="16" t="s">
        <v>111</v>
      </c>
      <c r="C153" s="16">
        <v>1584</v>
      </c>
      <c r="D153" s="16" t="s">
        <v>385</v>
      </c>
      <c r="E153" s="18">
        <f>_xlfn.IFNA(VLOOKUP(C:C,线上线下销售!B:D,3,0),0)</f>
        <v>9183.5087</v>
      </c>
      <c r="F153" s="18">
        <f>SUMIFS(线上订单!$E:$E,线上订单!$B:$B,美团日报!$C153)-SUMIFS(线上订单!$E:$E,线上订单!$B:$B,美团日报!$C153,线上订单!$D:$D,"美团")-SUMIFS(线上订单!$E:$E,线上订单!$B:$B,美团日报!$C153,线上订单!$D:$D,"饿了么")</f>
        <v>0</v>
      </c>
      <c r="G153" s="19">
        <f t="shared" si="16"/>
        <v>0</v>
      </c>
      <c r="H153" s="18">
        <f>SUMIFS(线上订单!$F:$F,线上订单!$B:$B,美团日报!$C153)-SUMIFS(线上订单!$F:$F,线上订单!$B:$B,美团日报!$C153,线上订单!$D:$D,"美团")-SUMIFS(线上订单!$F:$F,线上订单!$B:$B,美团日报!$C153,线上订单!$D:$D,"饿了么")</f>
        <v>0</v>
      </c>
      <c r="I153" s="18">
        <f>SUMIFS(线上订单!$F:$F,线上订单!$B:$B,美团日报!$C153)-SUMIFS(线上订单!$F:$F,线上订单!$B:$B,美团日报!$C153,线上订单!$D:$D,"美团")-SUMIFS(线上订单!$F:$F,线上订单!$B:$B,美团日报!$C153,线上订单!$D:$D,"饿了么")</f>
        <v>0</v>
      </c>
      <c r="J153" s="21">
        <f t="shared" si="17"/>
        <v>0</v>
      </c>
      <c r="K153" s="22" t="e">
        <f t="shared" si="12"/>
        <v>#REF!</v>
      </c>
      <c r="L153" s="19" t="e">
        <f>SUMIFS(#REF!,#REF!,美团日报!$C$2,#REF!,"秒达")</f>
        <v>#REF!</v>
      </c>
      <c r="M153" s="23"/>
      <c r="N153" s="23"/>
      <c r="O153" s="22" t="e">
        <f t="shared" si="13"/>
        <v>#REF!</v>
      </c>
      <c r="P153" s="19" t="e">
        <f>SUMIFS(#REF!,#REF!,美团日报!$C153,#REF!,"秒达")</f>
        <v>#REF!</v>
      </c>
      <c r="Q153" s="23"/>
      <c r="R153" s="23"/>
      <c r="S153" s="22" t="e">
        <f t="shared" si="14"/>
        <v>#REF!</v>
      </c>
      <c r="T153" s="19" t="e">
        <f>SUMIFS(#REF!,#REF!,美团日报!$C153,#REF!,"O2O")</f>
        <v>#REF!</v>
      </c>
      <c r="U153" s="22" t="e">
        <f t="shared" si="15"/>
        <v>#REF!</v>
      </c>
      <c r="V153" s="19" t="e">
        <f>SUMIFS(#REF!,#REF!,美团日报!$C153,#REF!,"O2O")</f>
        <v>#REF!</v>
      </c>
      <c r="W153" s="24" t="s">
        <v>19</v>
      </c>
    </row>
    <row r="154" ht="14.4" spans="1:23">
      <c r="A154" s="16" t="s">
        <v>264</v>
      </c>
      <c r="B154" s="16" t="s">
        <v>313</v>
      </c>
      <c r="C154" s="16">
        <v>1585</v>
      </c>
      <c r="D154" s="16" t="s">
        <v>387</v>
      </c>
      <c r="E154" s="18">
        <f>_xlfn.IFNA(VLOOKUP(C:C,线上线下销售!B:D,3,0),0)</f>
        <v>4477.3014</v>
      </c>
      <c r="F154" s="18">
        <f>SUMIFS(线上订单!$E:$E,线上订单!$B:$B,美团日报!$C154)-SUMIFS(线上订单!$E:$E,线上订单!$B:$B,美团日报!$C154,线上订单!$D:$D,"美团")-SUMIFS(线上订单!$E:$E,线上订单!$B:$B,美团日报!$C154,线上订单!$D:$D,"饿了么")</f>
        <v>0</v>
      </c>
      <c r="G154" s="19">
        <f t="shared" si="16"/>
        <v>0</v>
      </c>
      <c r="H154" s="18">
        <f>SUMIFS(线上订单!$F:$F,线上订单!$B:$B,美团日报!$C154)-SUMIFS(线上订单!$F:$F,线上订单!$B:$B,美团日报!$C154,线上订单!$D:$D,"美团")-SUMIFS(线上订单!$F:$F,线上订单!$B:$B,美团日报!$C154,线上订单!$D:$D,"饿了么")</f>
        <v>0</v>
      </c>
      <c r="I154" s="18">
        <f>SUMIFS(线上订单!$F:$F,线上订单!$B:$B,美团日报!$C154)-SUMIFS(线上订单!$F:$F,线上订单!$B:$B,美团日报!$C154,线上订单!$D:$D,"美团")-SUMIFS(线上订单!$F:$F,线上订单!$B:$B,美团日报!$C154,线上订单!$D:$D,"饿了么")</f>
        <v>0</v>
      </c>
      <c r="J154" s="21">
        <f t="shared" si="17"/>
        <v>0</v>
      </c>
      <c r="K154" s="22" t="e">
        <f t="shared" si="12"/>
        <v>#REF!</v>
      </c>
      <c r="L154" s="19" t="e">
        <f>SUMIFS(#REF!,#REF!,美团日报!$C$2,#REF!,"秒达")</f>
        <v>#REF!</v>
      </c>
      <c r="M154" s="23"/>
      <c r="N154" s="23"/>
      <c r="O154" s="22" t="e">
        <f t="shared" si="13"/>
        <v>#REF!</v>
      </c>
      <c r="P154" s="19" t="e">
        <f>SUMIFS(#REF!,#REF!,美团日报!$C154,#REF!,"秒达")</f>
        <v>#REF!</v>
      </c>
      <c r="Q154" s="23"/>
      <c r="R154" s="23"/>
      <c r="S154" s="22" t="e">
        <f t="shared" si="14"/>
        <v>#REF!</v>
      </c>
      <c r="T154" s="19" t="e">
        <f>SUMIFS(#REF!,#REF!,美团日报!$C154,#REF!,"O2O")</f>
        <v>#REF!</v>
      </c>
      <c r="U154" s="22" t="e">
        <f t="shared" si="15"/>
        <v>#REF!</v>
      </c>
      <c r="V154" s="19" t="e">
        <f>SUMIFS(#REF!,#REF!,美团日报!$C154,#REF!,"O2O")</f>
        <v>#REF!</v>
      </c>
      <c r="W154" s="24" t="s">
        <v>19</v>
      </c>
    </row>
    <row r="155" ht="14.4" spans="1:23">
      <c r="A155" s="16" t="s">
        <v>264</v>
      </c>
      <c r="B155" s="16" t="s">
        <v>264</v>
      </c>
      <c r="C155" s="16">
        <v>1590</v>
      </c>
      <c r="D155" s="16" t="s">
        <v>389</v>
      </c>
      <c r="E155" s="18">
        <f>_xlfn.IFNA(VLOOKUP(C:C,线上线下销售!B:D,3,0),0)</f>
        <v>30902.6089</v>
      </c>
      <c r="F155" s="18">
        <f>SUMIFS(线上订单!$E:$E,线上订单!$B:$B,美团日报!$C155)-SUMIFS(线上订单!$E:$E,线上订单!$B:$B,美团日报!$C155,线上订单!$D:$D,"美团")-SUMIFS(线上订单!$E:$E,线上订单!$B:$B,美团日报!$C155,线上订单!$D:$D,"饿了么")</f>
        <v>0</v>
      </c>
      <c r="G155" s="19">
        <f t="shared" si="16"/>
        <v>0</v>
      </c>
      <c r="H155" s="18">
        <f>SUMIFS(线上订单!$F:$F,线上订单!$B:$B,美团日报!$C155)-SUMIFS(线上订单!$F:$F,线上订单!$B:$B,美团日报!$C155,线上订单!$D:$D,"美团")-SUMIFS(线上订单!$F:$F,线上订单!$B:$B,美团日报!$C155,线上订单!$D:$D,"饿了么")</f>
        <v>0</v>
      </c>
      <c r="I155" s="18">
        <f>SUMIFS(线上订单!$F:$F,线上订单!$B:$B,美团日报!$C155)-SUMIFS(线上订单!$F:$F,线上订单!$B:$B,美团日报!$C155,线上订单!$D:$D,"美团")-SUMIFS(线上订单!$F:$F,线上订单!$B:$B,美团日报!$C155,线上订单!$D:$D,"饿了么")</f>
        <v>0</v>
      </c>
      <c r="J155" s="21">
        <f t="shared" si="17"/>
        <v>0</v>
      </c>
      <c r="K155" s="22" t="e">
        <f t="shared" si="12"/>
        <v>#REF!</v>
      </c>
      <c r="L155" s="19" t="e">
        <f>SUMIFS(#REF!,#REF!,美团日报!$C$2,#REF!,"秒达")</f>
        <v>#REF!</v>
      </c>
      <c r="M155" s="23"/>
      <c r="N155" s="23"/>
      <c r="O155" s="22" t="e">
        <f t="shared" si="13"/>
        <v>#REF!</v>
      </c>
      <c r="P155" s="19" t="e">
        <f>SUMIFS(#REF!,#REF!,美团日报!$C155,#REF!,"秒达")</f>
        <v>#REF!</v>
      </c>
      <c r="Q155" s="23"/>
      <c r="R155" s="23"/>
      <c r="S155" s="22" t="e">
        <f t="shared" si="14"/>
        <v>#REF!</v>
      </c>
      <c r="T155" s="19" t="e">
        <f>SUMIFS(#REF!,#REF!,美团日报!$C155,#REF!,"O2O")</f>
        <v>#REF!</v>
      </c>
      <c r="U155" s="22" t="e">
        <f t="shared" si="15"/>
        <v>#REF!</v>
      </c>
      <c r="V155" s="19" t="e">
        <f>SUMIFS(#REF!,#REF!,美团日报!$C155,#REF!,"O2O")</f>
        <v>#REF!</v>
      </c>
      <c r="W155" s="24" t="s">
        <v>19</v>
      </c>
    </row>
    <row r="156" ht="14.4" spans="1:23">
      <c r="A156" s="16" t="s">
        <v>43</v>
      </c>
      <c r="B156" s="16" t="s">
        <v>38</v>
      </c>
      <c r="C156" s="16">
        <v>1594</v>
      </c>
      <c r="D156" s="16" t="s">
        <v>391</v>
      </c>
      <c r="E156" s="18">
        <f>_xlfn.IFNA(VLOOKUP(C:C,线上线下销售!B:D,3,0),0)</f>
        <v>17569.3745</v>
      </c>
      <c r="F156" s="18">
        <f>SUMIFS(线上订单!$E:$E,线上订单!$B:$B,美团日报!$C156)-SUMIFS(线上订单!$E:$E,线上订单!$B:$B,美团日报!$C156,线上订单!$D:$D,"美团")-SUMIFS(线上订单!$E:$E,线上订单!$B:$B,美团日报!$C156,线上订单!$D:$D,"饿了么")</f>
        <v>222.008849557509</v>
      </c>
      <c r="G156" s="19">
        <f t="shared" si="16"/>
        <v>0.0126361271175311</v>
      </c>
      <c r="H156" s="18">
        <f>SUMIFS(线上订单!$F:$F,线上订单!$B:$B,美团日报!$C156)-SUMIFS(线上订单!$F:$F,线上订单!$B:$B,美团日报!$C156,线上订单!$D:$D,"美团")-SUMIFS(线上订单!$F:$F,线上订单!$B:$B,美团日报!$C156,线上订单!$D:$D,"饿了么")</f>
        <v>5</v>
      </c>
      <c r="I156" s="18">
        <f>SUMIFS(线上订单!$F:$F,线上订单!$B:$B,美团日报!$C156)-SUMIFS(线上订单!$F:$F,线上订单!$B:$B,美团日报!$C156,线上订单!$D:$D,"美团")-SUMIFS(线上订单!$F:$F,线上订单!$B:$B,美团日报!$C156,线上订单!$D:$D,"饿了么")</f>
        <v>5</v>
      </c>
      <c r="J156" s="21">
        <f t="shared" si="17"/>
        <v>44.4017699115019</v>
      </c>
      <c r="K156" s="22" t="e">
        <f t="shared" si="12"/>
        <v>#REF!</v>
      </c>
      <c r="L156" s="19" t="e">
        <f>SUMIFS(#REF!,#REF!,美团日报!$C$2,#REF!,"秒达")</f>
        <v>#REF!</v>
      </c>
      <c r="M156" s="23"/>
      <c r="N156" s="23"/>
      <c r="O156" s="22" t="e">
        <f t="shared" si="13"/>
        <v>#REF!</v>
      </c>
      <c r="P156" s="19" t="e">
        <f>SUMIFS(#REF!,#REF!,美团日报!$C156,#REF!,"秒达")</f>
        <v>#REF!</v>
      </c>
      <c r="Q156" s="23"/>
      <c r="R156" s="23"/>
      <c r="S156" s="22" t="e">
        <f t="shared" si="14"/>
        <v>#REF!</v>
      </c>
      <c r="T156" s="19" t="e">
        <f>SUMIFS(#REF!,#REF!,美团日报!$C156,#REF!,"O2O")</f>
        <v>#REF!</v>
      </c>
      <c r="U156" s="22" t="e">
        <f t="shared" si="15"/>
        <v>#REF!</v>
      </c>
      <c r="V156" s="19" t="e">
        <f>SUMIFS(#REF!,#REF!,美团日报!$C156,#REF!,"O2O")</f>
        <v>#REF!</v>
      </c>
      <c r="W156" s="24" t="s">
        <v>19</v>
      </c>
    </row>
    <row r="157" ht="14.4" spans="1:23">
      <c r="A157" s="16" t="s">
        <v>63</v>
      </c>
      <c r="B157" s="16" t="s">
        <v>152</v>
      </c>
      <c r="C157" s="16">
        <v>1604</v>
      </c>
      <c r="D157" s="16" t="s">
        <v>393</v>
      </c>
      <c r="E157" s="18">
        <f>_xlfn.IFNA(VLOOKUP(C:C,线上线下销售!B:D,3,0),0)</f>
        <v>9005.413</v>
      </c>
      <c r="F157" s="18">
        <f>SUMIFS(线上订单!$E:$E,线上订单!$B:$B,美团日报!$C157)-SUMIFS(线上订单!$E:$E,线上订单!$B:$B,美团日报!$C157,线上订单!$D:$D,"美团")-SUMIFS(线上订单!$E:$E,线上订单!$B:$B,美团日报!$C157,线上订单!$D:$D,"饿了么")</f>
        <v>40.1769911504401</v>
      </c>
      <c r="G157" s="19">
        <f t="shared" si="16"/>
        <v>0.00446142682744702</v>
      </c>
      <c r="H157" s="18">
        <f>SUMIFS(线上订单!$F:$F,线上订单!$B:$B,美团日报!$C157)-SUMIFS(线上订单!$F:$F,线上订单!$B:$B,美团日报!$C157,线上订单!$D:$D,"美团")-SUMIFS(线上订单!$F:$F,线上订单!$B:$B,美团日报!$C157,线上订单!$D:$D,"饿了么")</f>
        <v>1</v>
      </c>
      <c r="I157" s="18">
        <f>SUMIFS(线上订单!$F:$F,线上订单!$B:$B,美团日报!$C157)-SUMIFS(线上订单!$F:$F,线上订单!$B:$B,美团日报!$C157,线上订单!$D:$D,"美团")-SUMIFS(线上订单!$F:$F,线上订单!$B:$B,美团日报!$C157,线上订单!$D:$D,"饿了么")</f>
        <v>1</v>
      </c>
      <c r="J157" s="21">
        <f t="shared" si="17"/>
        <v>40.1769911504401</v>
      </c>
      <c r="K157" s="22" t="e">
        <f t="shared" si="12"/>
        <v>#REF!</v>
      </c>
      <c r="L157" s="19" t="e">
        <f>SUMIFS(#REF!,#REF!,美团日报!$C$2,#REF!,"秒达")</f>
        <v>#REF!</v>
      </c>
      <c r="M157" s="23"/>
      <c r="N157" s="23"/>
      <c r="O157" s="22" t="e">
        <f t="shared" si="13"/>
        <v>#REF!</v>
      </c>
      <c r="P157" s="19" t="e">
        <f>SUMIFS(#REF!,#REF!,美团日报!$C157,#REF!,"秒达")</f>
        <v>#REF!</v>
      </c>
      <c r="Q157" s="23"/>
      <c r="R157" s="23"/>
      <c r="S157" s="22" t="e">
        <f t="shared" si="14"/>
        <v>#REF!</v>
      </c>
      <c r="T157" s="19" t="e">
        <f>SUMIFS(#REF!,#REF!,美团日报!$C157,#REF!,"O2O")</f>
        <v>#REF!</v>
      </c>
      <c r="U157" s="22" t="e">
        <f t="shared" si="15"/>
        <v>#REF!</v>
      </c>
      <c r="V157" s="19" t="e">
        <f>SUMIFS(#REF!,#REF!,美团日报!$C157,#REF!,"O2O")</f>
        <v>#REF!</v>
      </c>
      <c r="W157" s="24" t="s">
        <v>19</v>
      </c>
    </row>
    <row r="158" ht="14.4" spans="1:23">
      <c r="A158" s="16" t="s">
        <v>264</v>
      </c>
      <c r="B158" s="16" t="s">
        <v>313</v>
      </c>
      <c r="C158" s="16">
        <v>1607</v>
      </c>
      <c r="D158" s="16" t="s">
        <v>395</v>
      </c>
      <c r="E158" s="18">
        <f>_xlfn.IFNA(VLOOKUP(C:C,线上线下销售!B:D,3,0),0)</f>
        <v>2566.3553</v>
      </c>
      <c r="F158" s="18">
        <f>SUMIFS(线上订单!$E:$E,线上订单!$B:$B,美团日报!$C158)-SUMIFS(线上订单!$E:$E,线上订单!$B:$B,美团日报!$C158,线上订单!$D:$D,"美团")-SUMIFS(线上订单!$E:$E,线上订单!$B:$B,美团日报!$C158,线上订单!$D:$D,"饿了么")</f>
        <v>53.09734513274</v>
      </c>
      <c r="G158" s="19">
        <f t="shared" si="16"/>
        <v>0.0206897872374647</v>
      </c>
      <c r="H158" s="18">
        <f>SUMIFS(线上订单!$F:$F,线上订单!$B:$B,美团日报!$C158)-SUMIFS(线上订单!$F:$F,线上订单!$B:$B,美团日报!$C158,线上订单!$D:$D,"美团")-SUMIFS(线上订单!$F:$F,线上订单!$B:$B,美团日报!$C158,线上订单!$D:$D,"饿了么")</f>
        <v>5</v>
      </c>
      <c r="I158" s="18">
        <f>SUMIFS(线上订单!$F:$F,线上订单!$B:$B,美团日报!$C158)-SUMIFS(线上订单!$F:$F,线上订单!$B:$B,美团日报!$C158,线上订单!$D:$D,"美团")-SUMIFS(线上订单!$F:$F,线上订单!$B:$B,美团日报!$C158,线上订单!$D:$D,"饿了么")</f>
        <v>5</v>
      </c>
      <c r="J158" s="21">
        <f t="shared" si="17"/>
        <v>10.619469026548</v>
      </c>
      <c r="K158" s="22" t="e">
        <f t="shared" si="12"/>
        <v>#REF!</v>
      </c>
      <c r="L158" s="19" t="e">
        <f>SUMIFS(#REF!,#REF!,美团日报!$C$2,#REF!,"秒达")</f>
        <v>#REF!</v>
      </c>
      <c r="M158" s="23"/>
      <c r="N158" s="23"/>
      <c r="O158" s="22" t="e">
        <f t="shared" si="13"/>
        <v>#REF!</v>
      </c>
      <c r="P158" s="19" t="e">
        <f>SUMIFS(#REF!,#REF!,美团日报!$C158,#REF!,"秒达")</f>
        <v>#REF!</v>
      </c>
      <c r="Q158" s="23"/>
      <c r="R158" s="23"/>
      <c r="S158" s="22" t="e">
        <f t="shared" si="14"/>
        <v>#REF!</v>
      </c>
      <c r="T158" s="19" t="e">
        <f>SUMIFS(#REF!,#REF!,美团日报!$C158,#REF!,"O2O")</f>
        <v>#REF!</v>
      </c>
      <c r="U158" s="22" t="e">
        <f t="shared" si="15"/>
        <v>#REF!</v>
      </c>
      <c r="V158" s="19" t="e">
        <f>SUMIFS(#REF!,#REF!,美团日报!$C158,#REF!,"O2O")</f>
        <v>#REF!</v>
      </c>
      <c r="W158" s="24" t="s">
        <v>19</v>
      </c>
    </row>
    <row r="159" ht="14.4" spans="1:23">
      <c r="A159" s="16" t="s">
        <v>264</v>
      </c>
      <c r="B159" s="16" t="s">
        <v>313</v>
      </c>
      <c r="C159" s="16">
        <v>1608</v>
      </c>
      <c r="D159" s="16" t="s">
        <v>397</v>
      </c>
      <c r="E159" s="18">
        <f>_xlfn.IFNA(VLOOKUP(C:C,线上线下销售!B:D,3,0),0)</f>
        <v>4191.665</v>
      </c>
      <c r="F159" s="18">
        <f>SUMIFS(线上订单!$E:$E,线上订单!$B:$B,美团日报!$C159)-SUMIFS(线上订单!$E:$E,线上订单!$B:$B,美团日报!$C159,线上订单!$D:$D,"美团")-SUMIFS(线上订单!$E:$E,线上订单!$B:$B,美团日报!$C159,线上订单!$D:$D,"饿了么")</f>
        <v>9.64601769911003</v>
      </c>
      <c r="G159" s="19">
        <f t="shared" si="16"/>
        <v>0.00230123774183052</v>
      </c>
      <c r="H159" s="18">
        <f>SUMIFS(线上订单!$F:$F,线上订单!$B:$B,美团日报!$C159)-SUMIFS(线上订单!$F:$F,线上订单!$B:$B,美团日报!$C159,线上订单!$D:$D,"美团")-SUMIFS(线上订单!$F:$F,线上订单!$B:$B,美团日报!$C159,线上订单!$D:$D,"饿了么")</f>
        <v>1</v>
      </c>
      <c r="I159" s="18">
        <f>SUMIFS(线上订单!$F:$F,线上订单!$B:$B,美团日报!$C159)-SUMIFS(线上订单!$F:$F,线上订单!$B:$B,美团日报!$C159,线上订单!$D:$D,"美团")-SUMIFS(线上订单!$F:$F,线上订单!$B:$B,美团日报!$C159,线上订单!$D:$D,"饿了么")</f>
        <v>1</v>
      </c>
      <c r="J159" s="21">
        <f t="shared" si="17"/>
        <v>9.64601769911003</v>
      </c>
      <c r="K159" s="22" t="e">
        <f t="shared" si="12"/>
        <v>#REF!</v>
      </c>
      <c r="L159" s="19" t="e">
        <f>SUMIFS(#REF!,#REF!,美团日报!$C$2,#REF!,"秒达")</f>
        <v>#REF!</v>
      </c>
      <c r="M159" s="23"/>
      <c r="N159" s="23"/>
      <c r="O159" s="22" t="e">
        <f t="shared" si="13"/>
        <v>#REF!</v>
      </c>
      <c r="P159" s="19" t="e">
        <f>SUMIFS(#REF!,#REF!,美团日报!$C159,#REF!,"秒达")</f>
        <v>#REF!</v>
      </c>
      <c r="Q159" s="23"/>
      <c r="R159" s="23"/>
      <c r="S159" s="22" t="e">
        <f t="shared" si="14"/>
        <v>#REF!</v>
      </c>
      <c r="T159" s="19" t="e">
        <f>SUMIFS(#REF!,#REF!,美团日报!$C159,#REF!,"O2O")</f>
        <v>#REF!</v>
      </c>
      <c r="U159" s="22" t="e">
        <f t="shared" si="15"/>
        <v>#REF!</v>
      </c>
      <c r="V159" s="19" t="e">
        <f>SUMIFS(#REF!,#REF!,美团日报!$C159,#REF!,"O2O")</f>
        <v>#REF!</v>
      </c>
      <c r="W159" s="24" t="s">
        <v>19</v>
      </c>
    </row>
    <row r="160" ht="14.4" spans="1:23">
      <c r="A160" s="16" t="s">
        <v>264</v>
      </c>
      <c r="B160" s="16" t="s">
        <v>313</v>
      </c>
      <c r="C160" s="16">
        <v>1620</v>
      </c>
      <c r="D160" s="16" t="s">
        <v>399</v>
      </c>
      <c r="E160" s="18">
        <f>_xlfn.IFNA(VLOOKUP(C:C,线上线下销售!B:D,3,0),0)</f>
        <v>5662.4727</v>
      </c>
      <c r="F160" s="18">
        <f>SUMIFS(线上订单!$E:$E,线上订单!$B:$B,美团日报!$C160)-SUMIFS(线上订单!$E:$E,线上订单!$B:$B,美团日报!$C160,线上订单!$D:$D,"美团")-SUMIFS(线上订单!$E:$E,线上订单!$B:$B,美团日报!$C160,线上订单!$D:$D,"饿了么")</f>
        <v>0</v>
      </c>
      <c r="G160" s="19">
        <f t="shared" si="16"/>
        <v>0</v>
      </c>
      <c r="H160" s="18">
        <f>SUMIFS(线上订单!$F:$F,线上订单!$B:$B,美团日报!$C160)-SUMIFS(线上订单!$F:$F,线上订单!$B:$B,美团日报!$C160,线上订单!$D:$D,"美团")-SUMIFS(线上订单!$F:$F,线上订单!$B:$B,美团日报!$C160,线上订单!$D:$D,"饿了么")</f>
        <v>0</v>
      </c>
      <c r="I160" s="18">
        <f>SUMIFS(线上订单!$F:$F,线上订单!$B:$B,美团日报!$C160)-SUMIFS(线上订单!$F:$F,线上订单!$B:$B,美团日报!$C160,线上订单!$D:$D,"美团")-SUMIFS(线上订单!$F:$F,线上订单!$B:$B,美团日报!$C160,线上订单!$D:$D,"饿了么")</f>
        <v>0</v>
      </c>
      <c r="J160" s="21">
        <f t="shared" si="17"/>
        <v>0</v>
      </c>
      <c r="K160" s="22" t="e">
        <f t="shared" si="12"/>
        <v>#REF!</v>
      </c>
      <c r="L160" s="19" t="e">
        <f>SUMIFS(#REF!,#REF!,美团日报!$C$2,#REF!,"秒达")</f>
        <v>#REF!</v>
      </c>
      <c r="M160" s="23"/>
      <c r="N160" s="23"/>
      <c r="O160" s="22" t="e">
        <f t="shared" si="13"/>
        <v>#REF!</v>
      </c>
      <c r="P160" s="19" t="e">
        <f>SUMIFS(#REF!,#REF!,美团日报!$C160,#REF!,"秒达")</f>
        <v>#REF!</v>
      </c>
      <c r="Q160" s="23"/>
      <c r="R160" s="23"/>
      <c r="S160" s="22" t="e">
        <f t="shared" si="14"/>
        <v>#REF!</v>
      </c>
      <c r="T160" s="19" t="e">
        <f>SUMIFS(#REF!,#REF!,美团日报!$C160,#REF!,"O2O")</f>
        <v>#REF!</v>
      </c>
      <c r="U160" s="22" t="e">
        <f t="shared" si="15"/>
        <v>#REF!</v>
      </c>
      <c r="V160" s="19" t="e">
        <f>SUMIFS(#REF!,#REF!,美团日报!$C160,#REF!,"O2O")</f>
        <v>#REF!</v>
      </c>
      <c r="W160" s="24" t="s">
        <v>19</v>
      </c>
    </row>
    <row r="161" ht="14.4" spans="1:23">
      <c r="A161" s="16" t="s">
        <v>264</v>
      </c>
      <c r="B161" s="16" t="s">
        <v>401</v>
      </c>
      <c r="C161" s="16">
        <v>1640</v>
      </c>
      <c r="D161" s="16" t="s">
        <v>402</v>
      </c>
      <c r="E161" s="18">
        <f>_xlfn.IFNA(VLOOKUP(C:C,线上线下销售!B:D,3,0),0)</f>
        <v>1167.3953</v>
      </c>
      <c r="F161" s="18">
        <f>SUMIFS(线上订单!$E:$E,线上订单!$B:$B,美团日报!$C161)-SUMIFS(线上订单!$E:$E,线上订单!$B:$B,美团日报!$C161,线上订单!$D:$D,"美团")-SUMIFS(线上订单!$E:$E,线上订单!$B:$B,美团日报!$C161,线上订单!$D:$D,"饿了么")</f>
        <v>0</v>
      </c>
      <c r="G161" s="19">
        <f t="shared" si="16"/>
        <v>0</v>
      </c>
      <c r="H161" s="18">
        <f>SUMIFS(线上订单!$F:$F,线上订单!$B:$B,美团日报!$C161)-SUMIFS(线上订单!$F:$F,线上订单!$B:$B,美团日报!$C161,线上订单!$D:$D,"美团")-SUMIFS(线上订单!$F:$F,线上订单!$B:$B,美团日报!$C161,线上订单!$D:$D,"饿了么")</f>
        <v>0</v>
      </c>
      <c r="I161" s="18">
        <f>SUMIFS(线上订单!$F:$F,线上订单!$B:$B,美团日报!$C161)-SUMIFS(线上订单!$F:$F,线上订单!$B:$B,美团日报!$C161,线上订单!$D:$D,"美团")-SUMIFS(线上订单!$F:$F,线上订单!$B:$B,美团日报!$C161,线上订单!$D:$D,"饿了么")</f>
        <v>0</v>
      </c>
      <c r="J161" s="21">
        <f t="shared" si="17"/>
        <v>0</v>
      </c>
      <c r="K161" s="22" t="e">
        <f t="shared" si="12"/>
        <v>#REF!</v>
      </c>
      <c r="L161" s="19" t="e">
        <f>SUMIFS(#REF!,#REF!,美团日报!$C$2,#REF!,"秒达")</f>
        <v>#REF!</v>
      </c>
      <c r="M161" s="23"/>
      <c r="N161" s="23"/>
      <c r="O161" s="22" t="e">
        <f t="shared" si="13"/>
        <v>#REF!</v>
      </c>
      <c r="P161" s="19" t="e">
        <f>SUMIFS(#REF!,#REF!,美团日报!$C161,#REF!,"秒达")</f>
        <v>#REF!</v>
      </c>
      <c r="Q161" s="23"/>
      <c r="R161" s="23"/>
      <c r="S161" s="22" t="e">
        <f t="shared" si="14"/>
        <v>#REF!</v>
      </c>
      <c r="T161" s="19" t="e">
        <f>SUMIFS(#REF!,#REF!,美团日报!$C161,#REF!,"O2O")</f>
        <v>#REF!</v>
      </c>
      <c r="U161" s="22" t="e">
        <f t="shared" si="15"/>
        <v>#REF!</v>
      </c>
      <c r="V161" s="19" t="e">
        <f>SUMIFS(#REF!,#REF!,美团日报!$C161,#REF!,"O2O")</f>
        <v>#REF!</v>
      </c>
      <c r="W161" s="24" t="s">
        <v>19</v>
      </c>
    </row>
    <row r="162" ht="14.4" spans="1:23">
      <c r="A162" s="16" t="s">
        <v>264</v>
      </c>
      <c r="B162" s="16" t="s">
        <v>401</v>
      </c>
      <c r="C162" s="16">
        <v>1641</v>
      </c>
      <c r="D162" s="16" t="s">
        <v>404</v>
      </c>
      <c r="E162" s="18">
        <f>_xlfn.IFNA(VLOOKUP(C:C,线上线下销售!B:D,3,0),0)</f>
        <v>0</v>
      </c>
      <c r="F162" s="18">
        <f>SUMIFS(线上订单!$E:$E,线上订单!$B:$B,美团日报!$C162)-SUMIFS(线上订单!$E:$E,线上订单!$B:$B,美团日报!$C162,线上订单!$D:$D,"美团")-SUMIFS(线上订单!$E:$E,线上订单!$B:$B,美团日报!$C162,线上订单!$D:$D,"饿了么")</f>
        <v>0</v>
      </c>
      <c r="G162" s="19">
        <f t="shared" si="16"/>
        <v>0</v>
      </c>
      <c r="H162" s="18">
        <f>SUMIFS(线上订单!$F:$F,线上订单!$B:$B,美团日报!$C162)-SUMIFS(线上订单!$F:$F,线上订单!$B:$B,美团日报!$C162,线上订单!$D:$D,"美团")-SUMIFS(线上订单!$F:$F,线上订单!$B:$B,美团日报!$C162,线上订单!$D:$D,"饿了么")</f>
        <v>0</v>
      </c>
      <c r="I162" s="18">
        <f>SUMIFS(线上订单!$F:$F,线上订单!$B:$B,美团日报!$C162)-SUMIFS(线上订单!$F:$F,线上订单!$B:$B,美团日报!$C162,线上订单!$D:$D,"美团")-SUMIFS(线上订单!$F:$F,线上订单!$B:$B,美团日报!$C162,线上订单!$D:$D,"饿了么")</f>
        <v>0</v>
      </c>
      <c r="J162" s="21">
        <f t="shared" si="17"/>
        <v>0</v>
      </c>
      <c r="K162" s="22" t="e">
        <f t="shared" si="12"/>
        <v>#REF!</v>
      </c>
      <c r="L162" s="19" t="e">
        <f>SUMIFS(#REF!,#REF!,美团日报!$C$2,#REF!,"秒达")</f>
        <v>#REF!</v>
      </c>
      <c r="M162" s="23"/>
      <c r="N162" s="23"/>
      <c r="O162" s="22" t="e">
        <f t="shared" si="13"/>
        <v>#REF!</v>
      </c>
      <c r="P162" s="19" t="e">
        <f>SUMIFS(#REF!,#REF!,美团日报!$C162,#REF!,"秒达")</f>
        <v>#REF!</v>
      </c>
      <c r="Q162" s="23"/>
      <c r="R162" s="23"/>
      <c r="S162" s="22" t="e">
        <f t="shared" si="14"/>
        <v>#REF!</v>
      </c>
      <c r="T162" s="19" t="e">
        <f>SUMIFS(#REF!,#REF!,美团日报!$C162,#REF!,"O2O")</f>
        <v>#REF!</v>
      </c>
      <c r="U162" s="22" t="e">
        <f t="shared" si="15"/>
        <v>#REF!</v>
      </c>
      <c r="V162" s="19" t="e">
        <f>SUMIFS(#REF!,#REF!,美团日报!$C162,#REF!,"O2O")</f>
        <v>#REF!</v>
      </c>
      <c r="W162" s="24" t="s">
        <v>19</v>
      </c>
    </row>
    <row r="163" ht="14.4" spans="1:23">
      <c r="A163" s="16" t="s">
        <v>264</v>
      </c>
      <c r="B163" s="16" t="s">
        <v>401</v>
      </c>
      <c r="C163" s="16">
        <v>1642</v>
      </c>
      <c r="D163" s="16" t="s">
        <v>406</v>
      </c>
      <c r="E163" s="18">
        <f>_xlfn.IFNA(VLOOKUP(C:C,线上线下销售!B:D,3,0),0)</f>
        <v>0</v>
      </c>
      <c r="F163" s="18">
        <f>SUMIFS(线上订单!$E:$E,线上订单!$B:$B,美团日报!$C163)-SUMIFS(线上订单!$E:$E,线上订单!$B:$B,美团日报!$C163,线上订单!$D:$D,"美团")-SUMIFS(线上订单!$E:$E,线上订单!$B:$B,美团日报!$C163,线上订单!$D:$D,"饿了么")</f>
        <v>0</v>
      </c>
      <c r="G163" s="19">
        <f t="shared" si="16"/>
        <v>0</v>
      </c>
      <c r="H163" s="18">
        <f>SUMIFS(线上订单!$F:$F,线上订单!$B:$B,美团日报!$C163)-SUMIFS(线上订单!$F:$F,线上订单!$B:$B,美团日报!$C163,线上订单!$D:$D,"美团")-SUMIFS(线上订单!$F:$F,线上订单!$B:$B,美团日报!$C163,线上订单!$D:$D,"饿了么")</f>
        <v>0</v>
      </c>
      <c r="I163" s="18">
        <f>SUMIFS(线上订单!$F:$F,线上订单!$B:$B,美团日报!$C163)-SUMIFS(线上订单!$F:$F,线上订单!$B:$B,美团日报!$C163,线上订单!$D:$D,"美团")-SUMIFS(线上订单!$F:$F,线上订单!$B:$B,美团日报!$C163,线上订单!$D:$D,"饿了么")</f>
        <v>0</v>
      </c>
      <c r="J163" s="21">
        <f t="shared" si="17"/>
        <v>0</v>
      </c>
      <c r="K163" s="22" t="e">
        <f t="shared" si="12"/>
        <v>#REF!</v>
      </c>
      <c r="L163" s="19" t="e">
        <f>SUMIFS(#REF!,#REF!,美团日报!$C$2,#REF!,"秒达")</f>
        <v>#REF!</v>
      </c>
      <c r="M163" s="23"/>
      <c r="N163" s="23"/>
      <c r="O163" s="22" t="e">
        <f t="shared" si="13"/>
        <v>#REF!</v>
      </c>
      <c r="P163" s="19" t="e">
        <f>SUMIFS(#REF!,#REF!,美团日报!$C163,#REF!,"秒达")</f>
        <v>#REF!</v>
      </c>
      <c r="Q163" s="23"/>
      <c r="R163" s="23"/>
      <c r="S163" s="22" t="e">
        <f t="shared" si="14"/>
        <v>#REF!</v>
      </c>
      <c r="T163" s="19" t="e">
        <f>SUMIFS(#REF!,#REF!,美团日报!$C163,#REF!,"O2O")</f>
        <v>#REF!</v>
      </c>
      <c r="U163" s="22" t="e">
        <f t="shared" si="15"/>
        <v>#REF!</v>
      </c>
      <c r="V163" s="19" t="e">
        <f>SUMIFS(#REF!,#REF!,美团日报!$C163,#REF!,"O2O")</f>
        <v>#REF!</v>
      </c>
      <c r="W163" s="24" t="s">
        <v>19</v>
      </c>
    </row>
    <row r="164" ht="14.4" spans="1:23">
      <c r="A164" s="16" t="s">
        <v>264</v>
      </c>
      <c r="B164" s="16" t="s">
        <v>261</v>
      </c>
      <c r="C164" s="16">
        <v>1644</v>
      </c>
      <c r="D164" s="16" t="s">
        <v>408</v>
      </c>
      <c r="E164" s="18">
        <f>_xlfn.IFNA(VLOOKUP(C:C,线上线下销售!B:D,3,0),0)</f>
        <v>9261.9673</v>
      </c>
      <c r="F164" s="18">
        <f>SUMIFS(线上订单!$E:$E,线上订单!$B:$B,美团日报!$C164)-SUMIFS(线上订单!$E:$E,线上订单!$B:$B,美团日报!$C164,线上订单!$D:$D,"美团")-SUMIFS(线上订单!$E:$E,线上订单!$B:$B,美团日报!$C164,线上订单!$D:$D,"饿了么")</f>
        <v>0</v>
      </c>
      <c r="G164" s="19">
        <f t="shared" si="16"/>
        <v>0</v>
      </c>
      <c r="H164" s="18">
        <f>SUMIFS(线上订单!$F:$F,线上订单!$B:$B,美团日报!$C164)-SUMIFS(线上订单!$F:$F,线上订单!$B:$B,美团日报!$C164,线上订单!$D:$D,"美团")-SUMIFS(线上订单!$F:$F,线上订单!$B:$B,美团日报!$C164,线上订单!$D:$D,"饿了么")</f>
        <v>0</v>
      </c>
      <c r="I164" s="18">
        <f>SUMIFS(线上订单!$F:$F,线上订单!$B:$B,美团日报!$C164)-SUMIFS(线上订单!$F:$F,线上订单!$B:$B,美团日报!$C164,线上订单!$D:$D,"美团")-SUMIFS(线上订单!$F:$F,线上订单!$B:$B,美团日报!$C164,线上订单!$D:$D,"饿了么")</f>
        <v>0</v>
      </c>
      <c r="J164" s="21">
        <f t="shared" si="17"/>
        <v>0</v>
      </c>
      <c r="K164" s="22" t="e">
        <f t="shared" si="12"/>
        <v>#REF!</v>
      </c>
      <c r="L164" s="19" t="e">
        <f>SUMIFS(#REF!,#REF!,美团日报!$C$2,#REF!,"秒达")</f>
        <v>#REF!</v>
      </c>
      <c r="M164" s="23"/>
      <c r="N164" s="23"/>
      <c r="O164" s="22" t="e">
        <f t="shared" si="13"/>
        <v>#REF!</v>
      </c>
      <c r="P164" s="19" t="e">
        <f>SUMIFS(#REF!,#REF!,美团日报!$C164,#REF!,"秒达")</f>
        <v>#REF!</v>
      </c>
      <c r="Q164" s="23"/>
      <c r="R164" s="23"/>
      <c r="S164" s="22" t="e">
        <f t="shared" si="14"/>
        <v>#REF!</v>
      </c>
      <c r="T164" s="19" t="e">
        <f>SUMIFS(#REF!,#REF!,美团日报!$C164,#REF!,"O2O")</f>
        <v>#REF!</v>
      </c>
      <c r="U164" s="22" t="e">
        <f t="shared" si="15"/>
        <v>#REF!</v>
      </c>
      <c r="V164" s="19" t="e">
        <f>SUMIFS(#REF!,#REF!,美团日报!$C164,#REF!,"O2O")</f>
        <v>#REF!</v>
      </c>
      <c r="W164" s="24" t="s">
        <v>19</v>
      </c>
    </row>
    <row r="165" ht="14.4" spans="1:23">
      <c r="A165" s="16" t="s">
        <v>264</v>
      </c>
      <c r="B165" s="16" t="s">
        <v>576</v>
      </c>
      <c r="C165" s="16">
        <v>1646</v>
      </c>
      <c r="D165" s="16" t="s">
        <v>410</v>
      </c>
      <c r="E165" s="18">
        <f>_xlfn.IFNA(VLOOKUP(C:C,线上线下销售!B:D,3,0),0)</f>
        <v>4876.462</v>
      </c>
      <c r="F165" s="18">
        <f>SUMIFS(线上订单!$E:$E,线上订单!$B:$B,美团日报!$C165)-SUMIFS(线上订单!$E:$E,线上订单!$B:$B,美团日报!$C165,线上订单!$D:$D,"美团")-SUMIFS(线上订单!$E:$E,线上订单!$B:$B,美团日报!$C165,线上订单!$D:$D,"饿了么")</f>
        <v>0</v>
      </c>
      <c r="G165" s="19">
        <f t="shared" si="16"/>
        <v>0</v>
      </c>
      <c r="H165" s="18">
        <f>SUMIFS(线上订单!$F:$F,线上订单!$B:$B,美团日报!$C165)-SUMIFS(线上订单!$F:$F,线上订单!$B:$B,美团日报!$C165,线上订单!$D:$D,"美团")-SUMIFS(线上订单!$F:$F,线上订单!$B:$B,美团日报!$C165,线上订单!$D:$D,"饿了么")</f>
        <v>0</v>
      </c>
      <c r="I165" s="18">
        <f>SUMIFS(线上订单!$F:$F,线上订单!$B:$B,美团日报!$C165)-SUMIFS(线上订单!$F:$F,线上订单!$B:$B,美团日报!$C165,线上订单!$D:$D,"美团")-SUMIFS(线上订单!$F:$F,线上订单!$B:$B,美团日报!$C165,线上订单!$D:$D,"饿了么")</f>
        <v>0</v>
      </c>
      <c r="J165" s="21">
        <f t="shared" si="17"/>
        <v>0</v>
      </c>
      <c r="K165" s="22" t="e">
        <f t="shared" si="12"/>
        <v>#REF!</v>
      </c>
      <c r="L165" s="19" t="e">
        <f>SUMIFS(#REF!,#REF!,美团日报!$C$2,#REF!,"秒达")</f>
        <v>#REF!</v>
      </c>
      <c r="M165" s="23"/>
      <c r="N165" s="23"/>
      <c r="O165" s="22" t="e">
        <f t="shared" si="13"/>
        <v>#REF!</v>
      </c>
      <c r="P165" s="19" t="e">
        <f>SUMIFS(#REF!,#REF!,美团日报!$C165,#REF!,"秒达")</f>
        <v>#REF!</v>
      </c>
      <c r="Q165" s="23"/>
      <c r="R165" s="23"/>
      <c r="S165" s="22" t="e">
        <f t="shared" si="14"/>
        <v>#REF!</v>
      </c>
      <c r="T165" s="19" t="e">
        <f>SUMIFS(#REF!,#REF!,美团日报!$C165,#REF!,"O2O")</f>
        <v>#REF!</v>
      </c>
      <c r="U165" s="22" t="e">
        <f t="shared" si="15"/>
        <v>#REF!</v>
      </c>
      <c r="V165" s="19" t="e">
        <f>SUMIFS(#REF!,#REF!,美团日报!$C165,#REF!,"O2O")</f>
        <v>#REF!</v>
      </c>
      <c r="W165" s="24" t="s">
        <v>19</v>
      </c>
    </row>
    <row r="166" ht="14.4" spans="1:23">
      <c r="A166" s="16" t="s">
        <v>264</v>
      </c>
      <c r="B166" s="16" t="s">
        <v>327</v>
      </c>
      <c r="C166" s="16">
        <v>1651</v>
      </c>
      <c r="D166" s="16" t="s">
        <v>412</v>
      </c>
      <c r="E166" s="18">
        <f>_xlfn.IFNA(VLOOKUP(C:C,线上线下销售!B:D,3,0),0)</f>
        <v>3889.6729</v>
      </c>
      <c r="F166" s="18">
        <f>SUMIFS(线上订单!$E:$E,线上订单!$B:$B,美团日报!$C166)-SUMIFS(线上订单!$E:$E,线上订单!$B:$B,美团日报!$C166,线上订单!$D:$D,"美团")-SUMIFS(线上订单!$E:$E,线上订单!$B:$B,美团日报!$C166,线上订单!$D:$D,"饿了么")</f>
        <v>0</v>
      </c>
      <c r="G166" s="19">
        <f t="shared" si="16"/>
        <v>0</v>
      </c>
      <c r="H166" s="18">
        <f>SUMIFS(线上订单!$F:$F,线上订单!$B:$B,美团日报!$C166)-SUMIFS(线上订单!$F:$F,线上订单!$B:$B,美团日报!$C166,线上订单!$D:$D,"美团")-SUMIFS(线上订单!$F:$F,线上订单!$B:$B,美团日报!$C166,线上订单!$D:$D,"饿了么")</f>
        <v>0</v>
      </c>
      <c r="I166" s="18">
        <f>SUMIFS(线上订单!$F:$F,线上订单!$B:$B,美团日报!$C166)-SUMIFS(线上订单!$F:$F,线上订单!$B:$B,美团日报!$C166,线上订单!$D:$D,"美团")-SUMIFS(线上订单!$F:$F,线上订单!$B:$B,美团日报!$C166,线上订单!$D:$D,"饿了么")</f>
        <v>0</v>
      </c>
      <c r="J166" s="21">
        <f t="shared" si="17"/>
        <v>0</v>
      </c>
      <c r="K166" s="22" t="e">
        <f t="shared" si="12"/>
        <v>#REF!</v>
      </c>
      <c r="L166" s="19" t="e">
        <f>SUMIFS(#REF!,#REF!,美团日报!$C$2,#REF!,"秒达")</f>
        <v>#REF!</v>
      </c>
      <c r="M166" s="23"/>
      <c r="N166" s="23"/>
      <c r="O166" s="22" t="e">
        <f t="shared" si="13"/>
        <v>#REF!</v>
      </c>
      <c r="P166" s="19" t="e">
        <f>SUMIFS(#REF!,#REF!,美团日报!$C166,#REF!,"秒达")</f>
        <v>#REF!</v>
      </c>
      <c r="Q166" s="23"/>
      <c r="R166" s="23"/>
      <c r="S166" s="22" t="e">
        <f t="shared" si="14"/>
        <v>#REF!</v>
      </c>
      <c r="T166" s="19" t="e">
        <f>SUMIFS(#REF!,#REF!,美团日报!$C166,#REF!,"O2O")</f>
        <v>#REF!</v>
      </c>
      <c r="U166" s="22" t="e">
        <f t="shared" si="15"/>
        <v>#REF!</v>
      </c>
      <c r="V166" s="19" t="e">
        <f>SUMIFS(#REF!,#REF!,美团日报!$C166,#REF!,"O2O")</f>
        <v>#REF!</v>
      </c>
      <c r="W166" s="24" t="s">
        <v>19</v>
      </c>
    </row>
    <row r="167" ht="14.4" spans="1:23">
      <c r="A167" s="16" t="s">
        <v>264</v>
      </c>
      <c r="B167" s="16" t="s">
        <v>401</v>
      </c>
      <c r="C167" s="16">
        <v>1656</v>
      </c>
      <c r="D167" s="16" t="s">
        <v>413</v>
      </c>
      <c r="E167" s="18">
        <f>_xlfn.IFNA(VLOOKUP(C:C,线上线下销售!B:D,3,0),0)</f>
        <v>0</v>
      </c>
      <c r="F167" s="18">
        <f>SUMIFS(线上订单!$E:$E,线上订单!$B:$B,美团日报!$C167)-SUMIFS(线上订单!$E:$E,线上订单!$B:$B,美团日报!$C167,线上订单!$D:$D,"美团")-SUMIFS(线上订单!$E:$E,线上订单!$B:$B,美团日报!$C167,线上订单!$D:$D,"饿了么")</f>
        <v>0</v>
      </c>
      <c r="G167" s="19">
        <f t="shared" si="16"/>
        <v>0</v>
      </c>
      <c r="H167" s="18">
        <f>SUMIFS(线上订单!$F:$F,线上订单!$B:$B,美团日报!$C167)-SUMIFS(线上订单!$F:$F,线上订单!$B:$B,美团日报!$C167,线上订单!$D:$D,"美团")-SUMIFS(线上订单!$F:$F,线上订单!$B:$B,美团日报!$C167,线上订单!$D:$D,"饿了么")</f>
        <v>0</v>
      </c>
      <c r="I167" s="18">
        <f>SUMIFS(线上订单!$F:$F,线上订单!$B:$B,美团日报!$C167)-SUMIFS(线上订单!$F:$F,线上订单!$B:$B,美团日报!$C167,线上订单!$D:$D,"美团")-SUMIFS(线上订单!$F:$F,线上订单!$B:$B,美团日报!$C167,线上订单!$D:$D,"饿了么")</f>
        <v>0</v>
      </c>
      <c r="J167" s="21">
        <f t="shared" si="17"/>
        <v>0</v>
      </c>
      <c r="K167" s="22" t="e">
        <f t="shared" si="12"/>
        <v>#REF!</v>
      </c>
      <c r="L167" s="19" t="e">
        <f>SUMIFS(#REF!,#REF!,美团日报!$C$2,#REF!,"秒达")</f>
        <v>#REF!</v>
      </c>
      <c r="M167" s="23"/>
      <c r="N167" s="23"/>
      <c r="O167" s="22" t="e">
        <f t="shared" si="13"/>
        <v>#REF!</v>
      </c>
      <c r="P167" s="19" t="e">
        <f>SUMIFS(#REF!,#REF!,美团日报!$C167,#REF!,"秒达")</f>
        <v>#REF!</v>
      </c>
      <c r="Q167" s="23"/>
      <c r="R167" s="23"/>
      <c r="S167" s="22" t="e">
        <f t="shared" si="14"/>
        <v>#REF!</v>
      </c>
      <c r="T167" s="19" t="e">
        <f>SUMIFS(#REF!,#REF!,美团日报!$C167,#REF!,"O2O")</f>
        <v>#REF!</v>
      </c>
      <c r="U167" s="22" t="e">
        <f t="shared" si="15"/>
        <v>#REF!</v>
      </c>
      <c r="V167" s="19" t="e">
        <f>SUMIFS(#REF!,#REF!,美团日报!$C167,#REF!,"O2O")</f>
        <v>#REF!</v>
      </c>
      <c r="W167" s="24" t="s">
        <v>19</v>
      </c>
    </row>
    <row r="168" ht="14.4" spans="1:23">
      <c r="A168" s="16" t="s">
        <v>56</v>
      </c>
      <c r="B168" s="16" t="s">
        <v>73</v>
      </c>
      <c r="C168" s="16">
        <v>1664</v>
      </c>
      <c r="D168" s="16" t="s">
        <v>415</v>
      </c>
      <c r="E168" s="18">
        <f>_xlfn.IFNA(VLOOKUP(C:C,线上线下销售!B:D,3,0),0)</f>
        <v>10781.4649</v>
      </c>
      <c r="F168" s="18">
        <f>SUMIFS(线上订单!$E:$E,线上订单!$B:$B,美团日报!$C168)-SUMIFS(线上订单!$E:$E,线上订单!$B:$B,美团日报!$C168,线上订单!$D:$D,"美团")-SUMIFS(线上订单!$E:$E,线上订单!$B:$B,美团日报!$C168,线上订单!$D:$D,"饿了么")</f>
        <v>115.57522123895</v>
      </c>
      <c r="G168" s="19">
        <f t="shared" si="16"/>
        <v>0.0107198068454455</v>
      </c>
      <c r="H168" s="18">
        <f>SUMIFS(线上订单!$F:$F,线上订单!$B:$B,美团日报!$C168)-SUMIFS(线上订单!$F:$F,线上订单!$B:$B,美团日报!$C168,线上订单!$D:$D,"美团")-SUMIFS(线上订单!$F:$F,线上订单!$B:$B,美团日报!$C168,线上订单!$D:$D,"饿了么")</f>
        <v>3</v>
      </c>
      <c r="I168" s="18">
        <f>SUMIFS(线上订单!$F:$F,线上订单!$B:$B,美团日报!$C168)-SUMIFS(线上订单!$F:$F,线上订单!$B:$B,美团日报!$C168,线上订单!$D:$D,"美团")-SUMIFS(线上订单!$F:$F,线上订单!$B:$B,美团日报!$C168,线上订单!$D:$D,"饿了么")</f>
        <v>3</v>
      </c>
      <c r="J168" s="21">
        <f t="shared" si="17"/>
        <v>38.5250737463167</v>
      </c>
      <c r="K168" s="22" t="e">
        <f t="shared" si="12"/>
        <v>#REF!</v>
      </c>
      <c r="L168" s="19" t="e">
        <f>SUMIFS(#REF!,#REF!,美团日报!$C$2,#REF!,"秒达")</f>
        <v>#REF!</v>
      </c>
      <c r="M168" s="23"/>
      <c r="N168" s="23"/>
      <c r="O168" s="22" t="e">
        <f t="shared" si="13"/>
        <v>#REF!</v>
      </c>
      <c r="P168" s="19" t="e">
        <f>SUMIFS(#REF!,#REF!,美团日报!$C168,#REF!,"秒达")</f>
        <v>#REF!</v>
      </c>
      <c r="Q168" s="23"/>
      <c r="R168" s="23"/>
      <c r="S168" s="22" t="e">
        <f t="shared" si="14"/>
        <v>#REF!</v>
      </c>
      <c r="T168" s="19" t="e">
        <f>SUMIFS(#REF!,#REF!,美团日报!$C168,#REF!,"O2O")</f>
        <v>#REF!</v>
      </c>
      <c r="U168" s="22" t="e">
        <f t="shared" si="15"/>
        <v>#REF!</v>
      </c>
      <c r="V168" s="19" t="e">
        <f>SUMIFS(#REF!,#REF!,美团日报!$C168,#REF!,"O2O")</f>
        <v>#REF!</v>
      </c>
      <c r="W168" s="24" t="s">
        <v>19</v>
      </c>
    </row>
    <row r="169" ht="14.4" spans="1:23">
      <c r="A169" s="16" t="s">
        <v>264</v>
      </c>
      <c r="B169" s="16" t="s">
        <v>370</v>
      </c>
      <c r="C169" s="16">
        <v>1671</v>
      </c>
      <c r="D169" s="16" t="s">
        <v>417</v>
      </c>
      <c r="E169" s="18">
        <f>_xlfn.IFNA(VLOOKUP(C:C,线上线下销售!B:D,3,0),0)</f>
        <v>0</v>
      </c>
      <c r="F169" s="18">
        <f>SUMIFS(线上订单!$E:$E,线上订单!$B:$B,美团日报!$C169)-SUMIFS(线上订单!$E:$E,线上订单!$B:$B,美团日报!$C169,线上订单!$D:$D,"美团")-SUMIFS(线上订单!$E:$E,线上订单!$B:$B,美团日报!$C169,线上订单!$D:$D,"饿了么")</f>
        <v>0</v>
      </c>
      <c r="G169" s="19">
        <f t="shared" si="16"/>
        <v>0</v>
      </c>
      <c r="H169" s="18">
        <f>SUMIFS(线上订单!$F:$F,线上订单!$B:$B,美团日报!$C169)-SUMIFS(线上订单!$F:$F,线上订单!$B:$B,美团日报!$C169,线上订单!$D:$D,"美团")-SUMIFS(线上订单!$F:$F,线上订单!$B:$B,美团日报!$C169,线上订单!$D:$D,"饿了么")</f>
        <v>0</v>
      </c>
      <c r="I169" s="18">
        <f>SUMIFS(线上订单!$F:$F,线上订单!$B:$B,美团日报!$C169)-SUMIFS(线上订单!$F:$F,线上订单!$B:$B,美团日报!$C169,线上订单!$D:$D,"美团")-SUMIFS(线上订单!$F:$F,线上订单!$B:$B,美团日报!$C169,线上订单!$D:$D,"饿了么")</f>
        <v>0</v>
      </c>
      <c r="J169" s="21">
        <f t="shared" si="17"/>
        <v>0</v>
      </c>
      <c r="K169" s="22" t="e">
        <f t="shared" si="12"/>
        <v>#REF!</v>
      </c>
      <c r="L169" s="19" t="e">
        <f>SUMIFS(#REF!,#REF!,美团日报!$C$2,#REF!,"秒达")</f>
        <v>#REF!</v>
      </c>
      <c r="M169" s="23"/>
      <c r="N169" s="23"/>
      <c r="O169" s="22" t="e">
        <f t="shared" si="13"/>
        <v>#REF!</v>
      </c>
      <c r="P169" s="19" t="e">
        <f>SUMIFS(#REF!,#REF!,美团日报!$C169,#REF!,"秒达")</f>
        <v>#REF!</v>
      </c>
      <c r="Q169" s="23"/>
      <c r="R169" s="23"/>
      <c r="S169" s="22" t="e">
        <f t="shared" si="14"/>
        <v>#REF!</v>
      </c>
      <c r="T169" s="19" t="e">
        <f>SUMIFS(#REF!,#REF!,美团日报!$C169,#REF!,"O2O")</f>
        <v>#REF!</v>
      </c>
      <c r="U169" s="22" t="e">
        <f t="shared" si="15"/>
        <v>#REF!</v>
      </c>
      <c r="V169" s="19" t="e">
        <f>SUMIFS(#REF!,#REF!,美团日报!$C169,#REF!,"O2O")</f>
        <v>#REF!</v>
      </c>
      <c r="W169" s="24" t="s">
        <v>19</v>
      </c>
    </row>
    <row r="170" ht="14.4" spans="1:23">
      <c r="A170" s="16" t="s">
        <v>264</v>
      </c>
      <c r="B170" s="16" t="s">
        <v>313</v>
      </c>
      <c r="C170" s="16">
        <v>1672</v>
      </c>
      <c r="D170" s="16" t="s">
        <v>419</v>
      </c>
      <c r="E170" s="18">
        <f>_xlfn.IFNA(VLOOKUP(C:C,线上线下销售!B:D,3,0),0)</f>
        <v>3637.5168</v>
      </c>
      <c r="F170" s="18">
        <f>SUMIFS(线上订单!$E:$E,线上订单!$B:$B,美团日报!$C170)-SUMIFS(线上订单!$E:$E,线上订单!$B:$B,美团日报!$C170,线上订单!$D:$D,"美团")-SUMIFS(线上订单!$E:$E,线上订单!$B:$B,美团日报!$C170,线上订单!$D:$D,"饿了么")</f>
        <v>0</v>
      </c>
      <c r="G170" s="19">
        <f t="shared" si="16"/>
        <v>0</v>
      </c>
      <c r="H170" s="18">
        <f>SUMIFS(线上订单!$F:$F,线上订单!$B:$B,美团日报!$C170)-SUMIFS(线上订单!$F:$F,线上订单!$B:$B,美团日报!$C170,线上订单!$D:$D,"美团")-SUMIFS(线上订单!$F:$F,线上订单!$B:$B,美团日报!$C170,线上订单!$D:$D,"饿了么")</f>
        <v>0</v>
      </c>
      <c r="I170" s="18">
        <f>SUMIFS(线上订单!$F:$F,线上订单!$B:$B,美团日报!$C170)-SUMIFS(线上订单!$F:$F,线上订单!$B:$B,美团日报!$C170,线上订单!$D:$D,"美团")-SUMIFS(线上订单!$F:$F,线上订单!$B:$B,美团日报!$C170,线上订单!$D:$D,"饿了么")</f>
        <v>0</v>
      </c>
      <c r="J170" s="21">
        <f t="shared" si="17"/>
        <v>0</v>
      </c>
      <c r="K170" s="22" t="e">
        <f t="shared" si="12"/>
        <v>#REF!</v>
      </c>
      <c r="L170" s="19" t="e">
        <f>SUMIFS(#REF!,#REF!,美团日报!$C$2,#REF!,"秒达")</f>
        <v>#REF!</v>
      </c>
      <c r="M170" s="23"/>
      <c r="N170" s="23"/>
      <c r="O170" s="22" t="e">
        <f t="shared" si="13"/>
        <v>#REF!</v>
      </c>
      <c r="P170" s="19" t="e">
        <f>SUMIFS(#REF!,#REF!,美团日报!$C170,#REF!,"秒达")</f>
        <v>#REF!</v>
      </c>
      <c r="Q170" s="23"/>
      <c r="R170" s="23"/>
      <c r="S170" s="22" t="e">
        <f t="shared" si="14"/>
        <v>#REF!</v>
      </c>
      <c r="T170" s="19" t="e">
        <f>SUMIFS(#REF!,#REF!,美团日报!$C170,#REF!,"O2O")</f>
        <v>#REF!</v>
      </c>
      <c r="U170" s="22" t="e">
        <f t="shared" si="15"/>
        <v>#REF!</v>
      </c>
      <c r="V170" s="19" t="e">
        <f>SUMIFS(#REF!,#REF!,美团日报!$C170,#REF!,"O2O")</f>
        <v>#REF!</v>
      </c>
      <c r="W170" s="24" t="s">
        <v>19</v>
      </c>
    </row>
    <row r="171" ht="14.4" spans="1:23">
      <c r="A171" s="16" t="s">
        <v>264</v>
      </c>
      <c r="B171" s="16" t="s">
        <v>576</v>
      </c>
      <c r="C171" s="16">
        <v>1677</v>
      </c>
      <c r="D171" s="16" t="s">
        <v>421</v>
      </c>
      <c r="E171" s="18">
        <f>_xlfn.IFNA(VLOOKUP(C:C,线上线下销售!B:D,3,0),0)</f>
        <v>6826.9306</v>
      </c>
      <c r="F171" s="18">
        <f>SUMIFS(线上订单!$E:$E,线上订单!$B:$B,美团日报!$C171)-SUMIFS(线上订单!$E:$E,线上订单!$B:$B,美团日报!$C171,线上订单!$D:$D,"美团")-SUMIFS(线上订单!$E:$E,线上订单!$B:$B,美团日报!$C171,线上订单!$D:$D,"饿了么")</f>
        <v>0</v>
      </c>
      <c r="G171" s="19">
        <f t="shared" si="16"/>
        <v>0</v>
      </c>
      <c r="H171" s="18">
        <f>SUMIFS(线上订单!$F:$F,线上订单!$B:$B,美团日报!$C171)-SUMIFS(线上订单!$F:$F,线上订单!$B:$B,美团日报!$C171,线上订单!$D:$D,"美团")-SUMIFS(线上订单!$F:$F,线上订单!$B:$B,美团日报!$C171,线上订单!$D:$D,"饿了么")</f>
        <v>0</v>
      </c>
      <c r="I171" s="18">
        <f>SUMIFS(线上订单!$F:$F,线上订单!$B:$B,美团日报!$C171)-SUMIFS(线上订单!$F:$F,线上订单!$B:$B,美团日报!$C171,线上订单!$D:$D,"美团")-SUMIFS(线上订单!$F:$F,线上订单!$B:$B,美团日报!$C171,线上订单!$D:$D,"饿了么")</f>
        <v>0</v>
      </c>
      <c r="J171" s="21">
        <f t="shared" si="17"/>
        <v>0</v>
      </c>
      <c r="K171" s="22" t="e">
        <f t="shared" si="12"/>
        <v>#REF!</v>
      </c>
      <c r="L171" s="19" t="e">
        <f>SUMIFS(#REF!,#REF!,美团日报!$C$2,#REF!,"秒达")</f>
        <v>#REF!</v>
      </c>
      <c r="M171" s="23"/>
      <c r="N171" s="23"/>
      <c r="O171" s="22" t="e">
        <f t="shared" si="13"/>
        <v>#REF!</v>
      </c>
      <c r="P171" s="19" t="e">
        <f>SUMIFS(#REF!,#REF!,美团日报!$C171,#REF!,"秒达")</f>
        <v>#REF!</v>
      </c>
      <c r="Q171" s="23"/>
      <c r="R171" s="23"/>
      <c r="S171" s="22" t="e">
        <f t="shared" si="14"/>
        <v>#REF!</v>
      </c>
      <c r="T171" s="19" t="e">
        <f>SUMIFS(#REF!,#REF!,美团日报!$C171,#REF!,"O2O")</f>
        <v>#REF!</v>
      </c>
      <c r="U171" s="22" t="e">
        <f t="shared" si="15"/>
        <v>#REF!</v>
      </c>
      <c r="V171" s="19" t="e">
        <f>SUMIFS(#REF!,#REF!,美团日报!$C171,#REF!,"O2O")</f>
        <v>#REF!</v>
      </c>
      <c r="W171" s="24" t="s">
        <v>19</v>
      </c>
    </row>
    <row r="172" ht="14.4" spans="1:23">
      <c r="A172" s="16" t="s">
        <v>264</v>
      </c>
      <c r="B172" s="16" t="s">
        <v>359</v>
      </c>
      <c r="C172" s="16">
        <v>1686</v>
      </c>
      <c r="D172" s="16" t="s">
        <v>423</v>
      </c>
      <c r="E172" s="18">
        <f>_xlfn.IFNA(VLOOKUP(C:C,线上线下销售!B:D,3,0),0)</f>
        <v>8765.6691</v>
      </c>
      <c r="F172" s="18">
        <f>SUMIFS(线上订单!$E:$E,线上订单!$B:$B,美团日报!$C172)-SUMIFS(线上订单!$E:$E,线上订单!$B:$B,美团日报!$C172,线上订单!$D:$D,"美团")-SUMIFS(线上订单!$E:$E,线上订单!$B:$B,美团日报!$C172,线上订单!$D:$D,"饿了么")</f>
        <v>0</v>
      </c>
      <c r="G172" s="19">
        <f t="shared" si="16"/>
        <v>0</v>
      </c>
      <c r="H172" s="18">
        <f>SUMIFS(线上订单!$F:$F,线上订单!$B:$B,美团日报!$C172)-SUMIFS(线上订单!$F:$F,线上订单!$B:$B,美团日报!$C172,线上订单!$D:$D,"美团")-SUMIFS(线上订单!$F:$F,线上订单!$B:$B,美团日报!$C172,线上订单!$D:$D,"饿了么")</f>
        <v>0</v>
      </c>
      <c r="I172" s="18">
        <f>SUMIFS(线上订单!$F:$F,线上订单!$B:$B,美团日报!$C172)-SUMIFS(线上订单!$F:$F,线上订单!$B:$B,美团日报!$C172,线上订单!$D:$D,"美团")-SUMIFS(线上订单!$F:$F,线上订单!$B:$B,美团日报!$C172,线上订单!$D:$D,"饿了么")</f>
        <v>0</v>
      </c>
      <c r="J172" s="21">
        <f t="shared" si="17"/>
        <v>0</v>
      </c>
      <c r="K172" s="22" t="e">
        <f t="shared" si="12"/>
        <v>#REF!</v>
      </c>
      <c r="L172" s="19" t="e">
        <f>SUMIFS(#REF!,#REF!,美团日报!$C$2,#REF!,"秒达")</f>
        <v>#REF!</v>
      </c>
      <c r="M172" s="23"/>
      <c r="N172" s="23"/>
      <c r="O172" s="22" t="e">
        <f t="shared" si="13"/>
        <v>#REF!</v>
      </c>
      <c r="P172" s="19" t="e">
        <f>SUMIFS(#REF!,#REF!,美团日报!$C172,#REF!,"秒达")</f>
        <v>#REF!</v>
      </c>
      <c r="Q172" s="23"/>
      <c r="R172" s="23"/>
      <c r="S172" s="22" t="e">
        <f t="shared" si="14"/>
        <v>#REF!</v>
      </c>
      <c r="T172" s="19" t="e">
        <f>SUMIFS(#REF!,#REF!,美团日报!$C172,#REF!,"O2O")</f>
        <v>#REF!</v>
      </c>
      <c r="U172" s="22" t="e">
        <f t="shared" si="15"/>
        <v>#REF!</v>
      </c>
      <c r="V172" s="19" t="e">
        <f>SUMIFS(#REF!,#REF!,美团日报!$C172,#REF!,"O2O")</f>
        <v>#REF!</v>
      </c>
      <c r="W172" s="24" t="s">
        <v>19</v>
      </c>
    </row>
    <row r="173" ht="14.4" spans="1:23">
      <c r="A173" s="16" t="s">
        <v>264</v>
      </c>
      <c r="B173" s="16" t="s">
        <v>261</v>
      </c>
      <c r="C173" s="16">
        <v>1687</v>
      </c>
      <c r="D173" s="16" t="s">
        <v>425</v>
      </c>
      <c r="E173" s="18">
        <f>_xlfn.IFNA(VLOOKUP(C:C,线上线下销售!B:D,3,0),0)</f>
        <v>3252.1825</v>
      </c>
      <c r="F173" s="18">
        <f>SUMIFS(线上订单!$E:$E,线上订单!$B:$B,美团日报!$C173)-SUMIFS(线上订单!$E:$E,线上订单!$B:$B,美团日报!$C173,线上订单!$D:$D,"美团")-SUMIFS(线上订单!$E:$E,线上订单!$B:$B,美团日报!$C173,线上订单!$D:$D,"饿了么")</f>
        <v>0</v>
      </c>
      <c r="G173" s="19">
        <f t="shared" si="16"/>
        <v>0</v>
      </c>
      <c r="H173" s="18">
        <f>SUMIFS(线上订单!$F:$F,线上订单!$B:$B,美团日报!$C173)-SUMIFS(线上订单!$F:$F,线上订单!$B:$B,美团日报!$C173,线上订单!$D:$D,"美团")-SUMIFS(线上订单!$F:$F,线上订单!$B:$B,美团日报!$C173,线上订单!$D:$D,"饿了么")</f>
        <v>0</v>
      </c>
      <c r="I173" s="18">
        <f>SUMIFS(线上订单!$F:$F,线上订单!$B:$B,美团日报!$C173)-SUMIFS(线上订单!$F:$F,线上订单!$B:$B,美团日报!$C173,线上订单!$D:$D,"美团")-SUMIFS(线上订单!$F:$F,线上订单!$B:$B,美团日报!$C173,线上订单!$D:$D,"饿了么")</f>
        <v>0</v>
      </c>
      <c r="J173" s="21">
        <f t="shared" si="17"/>
        <v>0</v>
      </c>
      <c r="K173" s="22" t="e">
        <f t="shared" si="12"/>
        <v>#REF!</v>
      </c>
      <c r="L173" s="19" t="e">
        <f>SUMIFS(#REF!,#REF!,美团日报!$C$2,#REF!,"秒达")</f>
        <v>#REF!</v>
      </c>
      <c r="M173" s="23"/>
      <c r="N173" s="23"/>
      <c r="O173" s="22" t="e">
        <f t="shared" si="13"/>
        <v>#REF!</v>
      </c>
      <c r="P173" s="19" t="e">
        <f>SUMIFS(#REF!,#REF!,美团日报!$C173,#REF!,"秒达")</f>
        <v>#REF!</v>
      </c>
      <c r="Q173" s="23"/>
      <c r="R173" s="23"/>
      <c r="S173" s="22" t="e">
        <f t="shared" si="14"/>
        <v>#REF!</v>
      </c>
      <c r="T173" s="19" t="e">
        <f>SUMIFS(#REF!,#REF!,美团日报!$C173,#REF!,"O2O")</f>
        <v>#REF!</v>
      </c>
      <c r="U173" s="22" t="e">
        <f t="shared" si="15"/>
        <v>#REF!</v>
      </c>
      <c r="V173" s="19" t="e">
        <f>SUMIFS(#REF!,#REF!,美团日报!$C173,#REF!,"O2O")</f>
        <v>#REF!</v>
      </c>
      <c r="W173" s="24" t="s">
        <v>19</v>
      </c>
    </row>
    <row r="174" ht="14.4" spans="1:23">
      <c r="A174" s="16" t="s">
        <v>264</v>
      </c>
      <c r="B174" s="16" t="s">
        <v>261</v>
      </c>
      <c r="C174" s="16">
        <v>1688</v>
      </c>
      <c r="D174" s="16" t="s">
        <v>427</v>
      </c>
      <c r="E174" s="18">
        <f>_xlfn.IFNA(VLOOKUP(C:C,线上线下销售!B:D,3,0),0)</f>
        <v>6319.0287</v>
      </c>
      <c r="F174" s="18">
        <f>SUMIFS(线上订单!$E:$E,线上订单!$B:$B,美团日报!$C174)-SUMIFS(线上订单!$E:$E,线上订单!$B:$B,美团日报!$C174,线上订单!$D:$D,"美团")-SUMIFS(线上订单!$E:$E,线上订单!$B:$B,美团日报!$C174,线上订单!$D:$D,"饿了么")</f>
        <v>0</v>
      </c>
      <c r="G174" s="19">
        <f t="shared" si="16"/>
        <v>0</v>
      </c>
      <c r="H174" s="18">
        <f>SUMIFS(线上订单!$F:$F,线上订单!$B:$B,美团日报!$C174)-SUMIFS(线上订单!$F:$F,线上订单!$B:$B,美团日报!$C174,线上订单!$D:$D,"美团")-SUMIFS(线上订单!$F:$F,线上订单!$B:$B,美团日报!$C174,线上订单!$D:$D,"饿了么")</f>
        <v>0</v>
      </c>
      <c r="I174" s="18">
        <f>SUMIFS(线上订单!$F:$F,线上订单!$B:$B,美团日报!$C174)-SUMIFS(线上订单!$F:$F,线上订单!$B:$B,美团日报!$C174,线上订单!$D:$D,"美团")-SUMIFS(线上订单!$F:$F,线上订单!$B:$B,美团日报!$C174,线上订单!$D:$D,"饿了么")</f>
        <v>0</v>
      </c>
      <c r="J174" s="21">
        <f t="shared" si="17"/>
        <v>0</v>
      </c>
      <c r="K174" s="22" t="e">
        <f t="shared" si="12"/>
        <v>#REF!</v>
      </c>
      <c r="L174" s="19" t="e">
        <f>SUMIFS(#REF!,#REF!,美团日报!$C$2,#REF!,"秒达")</f>
        <v>#REF!</v>
      </c>
      <c r="M174" s="23"/>
      <c r="N174" s="23"/>
      <c r="O174" s="22" t="e">
        <f t="shared" si="13"/>
        <v>#REF!</v>
      </c>
      <c r="P174" s="19" t="e">
        <f>SUMIFS(#REF!,#REF!,美团日报!$C174,#REF!,"秒达")</f>
        <v>#REF!</v>
      </c>
      <c r="Q174" s="23"/>
      <c r="R174" s="23"/>
      <c r="S174" s="22" t="e">
        <f t="shared" si="14"/>
        <v>#REF!</v>
      </c>
      <c r="T174" s="19" t="e">
        <f>SUMIFS(#REF!,#REF!,美团日报!$C174,#REF!,"O2O")</f>
        <v>#REF!</v>
      </c>
      <c r="U174" s="22" t="e">
        <f t="shared" si="15"/>
        <v>#REF!</v>
      </c>
      <c r="V174" s="19" t="e">
        <f>SUMIFS(#REF!,#REF!,美团日报!$C174,#REF!,"O2O")</f>
        <v>#REF!</v>
      </c>
      <c r="W174" s="24" t="s">
        <v>19</v>
      </c>
    </row>
    <row r="175" ht="14.4" spans="1:23">
      <c r="A175" s="16" t="s">
        <v>56</v>
      </c>
      <c r="B175" s="16" t="s">
        <v>118</v>
      </c>
      <c r="C175" s="16">
        <v>1693</v>
      </c>
      <c r="D175" s="16" t="s">
        <v>428</v>
      </c>
      <c r="E175" s="18">
        <f>_xlfn.IFNA(VLOOKUP(C:C,线上线下销售!B:D,3,0),0)</f>
        <v>1622.7013</v>
      </c>
      <c r="F175" s="18">
        <f>SUMIFS(线上订单!$E:$E,线上订单!$B:$B,美团日报!$C175)-SUMIFS(线上订单!$E:$E,线上订单!$B:$B,美团日报!$C175,线上订单!$D:$D,"美团")-SUMIFS(线上订单!$E:$E,线上订单!$B:$B,美团日报!$C175,线上订单!$D:$D,"饿了么")</f>
        <v>171.23893805309</v>
      </c>
      <c r="G175" s="19">
        <f t="shared" si="16"/>
        <v>0.105527085023652</v>
      </c>
      <c r="H175" s="18">
        <f>SUMIFS(线上订单!$F:$F,线上订单!$B:$B,美团日报!$C175)-SUMIFS(线上订单!$F:$F,线上订单!$B:$B,美团日报!$C175,线上订单!$D:$D,"美团")-SUMIFS(线上订单!$F:$F,线上订单!$B:$B,美团日报!$C175,线上订单!$D:$D,"饿了么")</f>
        <v>2</v>
      </c>
      <c r="I175" s="18">
        <f>SUMIFS(线上订单!$F:$F,线上订单!$B:$B,美团日报!$C175)-SUMIFS(线上订单!$F:$F,线上订单!$B:$B,美团日报!$C175,线上订单!$D:$D,"美团")-SUMIFS(线上订单!$F:$F,线上订单!$B:$B,美团日报!$C175,线上订单!$D:$D,"饿了么")</f>
        <v>2</v>
      </c>
      <c r="J175" s="21">
        <f t="shared" si="17"/>
        <v>85.619469026545</v>
      </c>
      <c r="K175" s="22" t="e">
        <f t="shared" si="12"/>
        <v>#REF!</v>
      </c>
      <c r="L175" s="19" t="e">
        <f>SUMIFS(#REF!,#REF!,美团日报!$C$2,#REF!,"秒达")</f>
        <v>#REF!</v>
      </c>
      <c r="M175" s="23"/>
      <c r="N175" s="23"/>
      <c r="O175" s="22" t="e">
        <f t="shared" si="13"/>
        <v>#REF!</v>
      </c>
      <c r="P175" s="19" t="e">
        <f>SUMIFS(#REF!,#REF!,美团日报!$C175,#REF!,"秒达")</f>
        <v>#REF!</v>
      </c>
      <c r="Q175" s="23"/>
      <c r="R175" s="23"/>
      <c r="S175" s="22" t="e">
        <f t="shared" si="14"/>
        <v>#REF!</v>
      </c>
      <c r="T175" s="19" t="e">
        <f>SUMIFS(#REF!,#REF!,美团日报!$C175,#REF!,"O2O")</f>
        <v>#REF!</v>
      </c>
      <c r="U175" s="22" t="e">
        <f t="shared" si="15"/>
        <v>#REF!</v>
      </c>
      <c r="V175" s="19" t="e">
        <f>SUMIFS(#REF!,#REF!,美团日报!$C175,#REF!,"O2O")</f>
        <v>#REF!</v>
      </c>
      <c r="W175" s="24" t="s">
        <v>19</v>
      </c>
    </row>
    <row r="176" ht="14.4" spans="1:23">
      <c r="A176" s="16" t="s">
        <v>264</v>
      </c>
      <c r="B176" s="16" t="s">
        <v>261</v>
      </c>
      <c r="C176" s="16">
        <v>1698</v>
      </c>
      <c r="D176" s="16" t="s">
        <v>430</v>
      </c>
      <c r="E176" s="18">
        <f>_xlfn.IFNA(VLOOKUP(C:C,线上线下销售!B:D,3,0),0)</f>
        <v>6187.1737</v>
      </c>
      <c r="F176" s="18">
        <f>SUMIFS(线上订单!$E:$E,线上订单!$B:$B,美团日报!$C176)-SUMIFS(线上订单!$E:$E,线上订单!$B:$B,美团日报!$C176,线上订单!$D:$D,"美团")-SUMIFS(线上订单!$E:$E,线上订单!$B:$B,美团日报!$C176,线上订单!$D:$D,"饿了么")</f>
        <v>0</v>
      </c>
      <c r="G176" s="19">
        <f t="shared" si="16"/>
        <v>0</v>
      </c>
      <c r="H176" s="18">
        <f>SUMIFS(线上订单!$F:$F,线上订单!$B:$B,美团日报!$C176)-SUMIFS(线上订单!$F:$F,线上订单!$B:$B,美团日报!$C176,线上订单!$D:$D,"美团")-SUMIFS(线上订单!$F:$F,线上订单!$B:$B,美团日报!$C176,线上订单!$D:$D,"饿了么")</f>
        <v>0</v>
      </c>
      <c r="I176" s="18">
        <f>SUMIFS(线上订单!$F:$F,线上订单!$B:$B,美团日报!$C176)-SUMIFS(线上订单!$F:$F,线上订单!$B:$B,美团日报!$C176,线上订单!$D:$D,"美团")-SUMIFS(线上订单!$F:$F,线上订单!$B:$B,美团日报!$C176,线上订单!$D:$D,"饿了么")</f>
        <v>0</v>
      </c>
      <c r="J176" s="21">
        <f t="shared" si="17"/>
        <v>0</v>
      </c>
      <c r="K176" s="22" t="e">
        <f t="shared" si="12"/>
        <v>#REF!</v>
      </c>
      <c r="L176" s="19" t="e">
        <f>SUMIFS(#REF!,#REF!,美团日报!$C$2,#REF!,"秒达")</f>
        <v>#REF!</v>
      </c>
      <c r="M176" s="23"/>
      <c r="N176" s="23"/>
      <c r="O176" s="22" t="e">
        <f t="shared" si="13"/>
        <v>#REF!</v>
      </c>
      <c r="P176" s="19" t="e">
        <f>SUMIFS(#REF!,#REF!,美团日报!$C176,#REF!,"秒达")</f>
        <v>#REF!</v>
      </c>
      <c r="Q176" s="23"/>
      <c r="R176" s="23"/>
      <c r="S176" s="22" t="e">
        <f t="shared" si="14"/>
        <v>#REF!</v>
      </c>
      <c r="T176" s="19" t="e">
        <f>SUMIFS(#REF!,#REF!,美团日报!$C176,#REF!,"O2O")</f>
        <v>#REF!</v>
      </c>
      <c r="U176" s="22" t="e">
        <f t="shared" si="15"/>
        <v>#REF!</v>
      </c>
      <c r="V176" s="19" t="e">
        <f>SUMIFS(#REF!,#REF!,美团日报!$C176,#REF!,"O2O")</f>
        <v>#REF!</v>
      </c>
      <c r="W176" s="24" t="s">
        <v>19</v>
      </c>
    </row>
    <row r="177" ht="14.4" spans="1:23">
      <c r="A177" s="16" t="s">
        <v>264</v>
      </c>
      <c r="B177" s="16" t="s">
        <v>327</v>
      </c>
      <c r="C177" s="16">
        <v>1708</v>
      </c>
      <c r="D177" s="16" t="s">
        <v>432</v>
      </c>
      <c r="E177" s="18">
        <f>_xlfn.IFNA(VLOOKUP(C:C,线上线下销售!B:D,3,0),0)</f>
        <v>1825.7516</v>
      </c>
      <c r="F177" s="18">
        <f>SUMIFS(线上订单!$E:$E,线上订单!$B:$B,美团日报!$C177)-SUMIFS(线上订单!$E:$E,线上订单!$B:$B,美团日报!$C177,线上订单!$D:$D,"美团")-SUMIFS(线上订单!$E:$E,线上订单!$B:$B,美团日报!$C177,线上订单!$D:$D,"饿了么")</f>
        <v>0</v>
      </c>
      <c r="G177" s="19">
        <f t="shared" si="16"/>
        <v>0</v>
      </c>
      <c r="H177" s="18">
        <f>SUMIFS(线上订单!$F:$F,线上订单!$B:$B,美团日报!$C177)-SUMIFS(线上订单!$F:$F,线上订单!$B:$B,美团日报!$C177,线上订单!$D:$D,"美团")-SUMIFS(线上订单!$F:$F,线上订单!$B:$B,美团日报!$C177,线上订单!$D:$D,"饿了么")</f>
        <v>0</v>
      </c>
      <c r="I177" s="18">
        <f>SUMIFS(线上订单!$F:$F,线上订单!$B:$B,美团日报!$C177)-SUMIFS(线上订单!$F:$F,线上订单!$B:$B,美团日报!$C177,线上订单!$D:$D,"美团")-SUMIFS(线上订单!$F:$F,线上订单!$B:$B,美团日报!$C177,线上订单!$D:$D,"饿了么")</f>
        <v>0</v>
      </c>
      <c r="J177" s="21">
        <f t="shared" si="17"/>
        <v>0</v>
      </c>
      <c r="K177" s="22" t="e">
        <f t="shared" si="12"/>
        <v>#REF!</v>
      </c>
      <c r="L177" s="19" t="e">
        <f>SUMIFS(#REF!,#REF!,美团日报!$C$2,#REF!,"秒达")</f>
        <v>#REF!</v>
      </c>
      <c r="M177" s="23"/>
      <c r="N177" s="23"/>
      <c r="O177" s="22" t="e">
        <f t="shared" si="13"/>
        <v>#REF!</v>
      </c>
      <c r="P177" s="19" t="e">
        <f>SUMIFS(#REF!,#REF!,美团日报!$C177,#REF!,"秒达")</f>
        <v>#REF!</v>
      </c>
      <c r="Q177" s="23"/>
      <c r="R177" s="23"/>
      <c r="S177" s="22" t="e">
        <f t="shared" si="14"/>
        <v>#REF!</v>
      </c>
      <c r="T177" s="19" t="e">
        <f>SUMIFS(#REF!,#REF!,美团日报!$C177,#REF!,"O2O")</f>
        <v>#REF!</v>
      </c>
      <c r="U177" s="22" t="e">
        <f t="shared" si="15"/>
        <v>#REF!</v>
      </c>
      <c r="V177" s="19" t="e">
        <f>SUMIFS(#REF!,#REF!,美团日报!$C177,#REF!,"O2O")</f>
        <v>#REF!</v>
      </c>
      <c r="W177" s="24" t="s">
        <v>19</v>
      </c>
    </row>
    <row r="178" ht="14.4" spans="1:23">
      <c r="A178" s="16" t="s">
        <v>264</v>
      </c>
      <c r="B178" s="16" t="s">
        <v>327</v>
      </c>
      <c r="C178" s="16">
        <v>1709</v>
      </c>
      <c r="D178" s="16" t="s">
        <v>434</v>
      </c>
      <c r="E178" s="18">
        <f>_xlfn.IFNA(VLOOKUP(C:C,线上线下销售!B:D,3,0),0)</f>
        <v>1187.8323</v>
      </c>
      <c r="F178" s="18">
        <f>SUMIFS(线上订单!$E:$E,线上订单!$B:$B,美团日报!$C178)-SUMIFS(线上订单!$E:$E,线上订单!$B:$B,美团日报!$C178,线上订单!$D:$D,"美团")-SUMIFS(线上订单!$E:$E,线上订单!$B:$B,美团日报!$C178,线上订单!$D:$D,"饿了么")</f>
        <v>0</v>
      </c>
      <c r="G178" s="19">
        <f t="shared" si="16"/>
        <v>0</v>
      </c>
      <c r="H178" s="18">
        <f>SUMIFS(线上订单!$F:$F,线上订单!$B:$B,美团日报!$C178)-SUMIFS(线上订单!$F:$F,线上订单!$B:$B,美团日报!$C178,线上订单!$D:$D,"美团")-SUMIFS(线上订单!$F:$F,线上订单!$B:$B,美团日报!$C178,线上订单!$D:$D,"饿了么")</f>
        <v>0</v>
      </c>
      <c r="I178" s="18">
        <f>SUMIFS(线上订单!$F:$F,线上订单!$B:$B,美团日报!$C178)-SUMIFS(线上订单!$F:$F,线上订单!$B:$B,美团日报!$C178,线上订单!$D:$D,"美团")-SUMIFS(线上订单!$F:$F,线上订单!$B:$B,美团日报!$C178,线上订单!$D:$D,"饿了么")</f>
        <v>0</v>
      </c>
      <c r="J178" s="21">
        <f t="shared" si="17"/>
        <v>0</v>
      </c>
      <c r="K178" s="22" t="e">
        <f t="shared" si="12"/>
        <v>#REF!</v>
      </c>
      <c r="L178" s="19" t="e">
        <f>SUMIFS(#REF!,#REF!,美团日报!$C$2,#REF!,"秒达")</f>
        <v>#REF!</v>
      </c>
      <c r="M178" s="23"/>
      <c r="N178" s="23"/>
      <c r="O178" s="22" t="e">
        <f t="shared" si="13"/>
        <v>#REF!</v>
      </c>
      <c r="P178" s="19" t="e">
        <f>SUMIFS(#REF!,#REF!,美团日报!$C178,#REF!,"秒达")</f>
        <v>#REF!</v>
      </c>
      <c r="Q178" s="23"/>
      <c r="R178" s="23"/>
      <c r="S178" s="22" t="e">
        <f t="shared" si="14"/>
        <v>#REF!</v>
      </c>
      <c r="T178" s="19" t="e">
        <f>SUMIFS(#REF!,#REF!,美团日报!$C178,#REF!,"O2O")</f>
        <v>#REF!</v>
      </c>
      <c r="U178" s="22" t="e">
        <f t="shared" si="15"/>
        <v>#REF!</v>
      </c>
      <c r="V178" s="19" t="e">
        <f>SUMIFS(#REF!,#REF!,美团日报!$C178,#REF!,"O2O")</f>
        <v>#REF!</v>
      </c>
      <c r="W178" s="24" t="s">
        <v>19</v>
      </c>
    </row>
    <row r="179" ht="14.4" spans="1:23">
      <c r="A179" s="16" t="s">
        <v>264</v>
      </c>
      <c r="B179" s="16" t="s">
        <v>370</v>
      </c>
      <c r="C179" s="16">
        <v>1726</v>
      </c>
      <c r="D179" s="16" t="s">
        <v>436</v>
      </c>
      <c r="E179" s="18">
        <f>_xlfn.IFNA(VLOOKUP(C:C,线上线下销售!B:D,3,0),0)</f>
        <v>3262.8704</v>
      </c>
      <c r="F179" s="18">
        <f>SUMIFS(线上订单!$E:$E,线上订单!$B:$B,美团日报!$C179)-SUMIFS(线上订单!$E:$E,线上订单!$B:$B,美团日报!$C179,线上订单!$D:$D,"美团")-SUMIFS(线上订单!$E:$E,线上订单!$B:$B,美团日报!$C179,线上订单!$D:$D,"饿了么")</f>
        <v>0</v>
      </c>
      <c r="G179" s="19">
        <f t="shared" si="16"/>
        <v>0</v>
      </c>
      <c r="H179" s="18">
        <f>SUMIFS(线上订单!$F:$F,线上订单!$B:$B,美团日报!$C179)-SUMIFS(线上订单!$F:$F,线上订单!$B:$B,美团日报!$C179,线上订单!$D:$D,"美团")-SUMIFS(线上订单!$F:$F,线上订单!$B:$B,美团日报!$C179,线上订单!$D:$D,"饿了么")</f>
        <v>0</v>
      </c>
      <c r="I179" s="18">
        <f>SUMIFS(线上订单!$F:$F,线上订单!$B:$B,美团日报!$C179)-SUMIFS(线上订单!$F:$F,线上订单!$B:$B,美团日报!$C179,线上订单!$D:$D,"美团")-SUMIFS(线上订单!$F:$F,线上订单!$B:$B,美团日报!$C179,线上订单!$D:$D,"饿了么")</f>
        <v>0</v>
      </c>
      <c r="J179" s="21">
        <f t="shared" si="17"/>
        <v>0</v>
      </c>
      <c r="K179" s="22" t="e">
        <f t="shared" si="12"/>
        <v>#REF!</v>
      </c>
      <c r="L179" s="19" t="e">
        <f>SUMIFS(#REF!,#REF!,美团日报!$C$2,#REF!,"秒达")</f>
        <v>#REF!</v>
      </c>
      <c r="M179" s="23"/>
      <c r="N179" s="23"/>
      <c r="O179" s="22" t="e">
        <f t="shared" si="13"/>
        <v>#REF!</v>
      </c>
      <c r="P179" s="19" t="e">
        <f>SUMIFS(#REF!,#REF!,美团日报!$C179,#REF!,"秒达")</f>
        <v>#REF!</v>
      </c>
      <c r="Q179" s="23"/>
      <c r="R179" s="23"/>
      <c r="S179" s="22" t="e">
        <f t="shared" si="14"/>
        <v>#REF!</v>
      </c>
      <c r="T179" s="19" t="e">
        <f>SUMIFS(#REF!,#REF!,美团日报!$C179,#REF!,"O2O")</f>
        <v>#REF!</v>
      </c>
      <c r="U179" s="22" t="e">
        <f t="shared" si="15"/>
        <v>#REF!</v>
      </c>
      <c r="V179" s="19" t="e">
        <f>SUMIFS(#REF!,#REF!,美团日报!$C179,#REF!,"O2O")</f>
        <v>#REF!</v>
      </c>
      <c r="W179" s="24" t="s">
        <v>19</v>
      </c>
    </row>
    <row r="180" ht="14.4" spans="1:23">
      <c r="A180" s="16" t="s">
        <v>264</v>
      </c>
      <c r="B180" s="16" t="s">
        <v>401</v>
      </c>
      <c r="C180" s="16">
        <v>1728</v>
      </c>
      <c r="D180" s="16" t="s">
        <v>438</v>
      </c>
      <c r="E180" s="18">
        <f>_xlfn.IFNA(VLOOKUP(C:C,线上线下销售!B:D,3,0),0)</f>
        <v>34718.0688</v>
      </c>
      <c r="F180" s="18">
        <f>SUMIFS(线上订单!$E:$E,线上订单!$B:$B,美团日报!$C180)-SUMIFS(线上订单!$E:$E,线上订单!$B:$B,美团日报!$C180,线上订单!$D:$D,"美团")-SUMIFS(线上订单!$E:$E,线上订单!$B:$B,美团日报!$C180,线上订单!$D:$D,"饿了么")</f>
        <v>23.22724689453</v>
      </c>
      <c r="G180" s="19">
        <f t="shared" si="16"/>
        <v>0.000669024738338268</v>
      </c>
      <c r="H180" s="18">
        <f>SUMIFS(线上订单!$F:$F,线上订单!$B:$B,美团日报!$C180)-SUMIFS(线上订单!$F:$F,线上订单!$B:$B,美团日报!$C180,线上订单!$D:$D,"美团")-SUMIFS(线上订单!$F:$F,线上订单!$B:$B,美团日报!$C180,线上订单!$D:$D,"饿了么")</f>
        <v>2</v>
      </c>
      <c r="I180" s="18">
        <f>SUMIFS(线上订单!$F:$F,线上订单!$B:$B,美团日报!$C180)-SUMIFS(线上订单!$F:$F,线上订单!$B:$B,美团日报!$C180,线上订单!$D:$D,"美团")-SUMIFS(线上订单!$F:$F,线上订单!$B:$B,美团日报!$C180,线上订单!$D:$D,"饿了么")</f>
        <v>2</v>
      </c>
      <c r="J180" s="21">
        <f t="shared" si="17"/>
        <v>11.613623447265</v>
      </c>
      <c r="K180" s="22" t="e">
        <f t="shared" si="12"/>
        <v>#REF!</v>
      </c>
      <c r="L180" s="19" t="e">
        <f>SUMIFS(#REF!,#REF!,美团日报!$C$2,#REF!,"秒达")</f>
        <v>#REF!</v>
      </c>
      <c r="M180" s="23"/>
      <c r="N180" s="23"/>
      <c r="O180" s="22" t="e">
        <f t="shared" si="13"/>
        <v>#REF!</v>
      </c>
      <c r="P180" s="19" t="e">
        <f>SUMIFS(#REF!,#REF!,美团日报!$C180,#REF!,"秒达")</f>
        <v>#REF!</v>
      </c>
      <c r="Q180" s="23"/>
      <c r="R180" s="23"/>
      <c r="S180" s="22" t="e">
        <f t="shared" si="14"/>
        <v>#REF!</v>
      </c>
      <c r="T180" s="19" t="e">
        <f>SUMIFS(#REF!,#REF!,美团日报!$C180,#REF!,"O2O")</f>
        <v>#REF!</v>
      </c>
      <c r="U180" s="22" t="e">
        <f t="shared" si="15"/>
        <v>#REF!</v>
      </c>
      <c r="V180" s="19" t="e">
        <f>SUMIFS(#REF!,#REF!,美团日报!$C180,#REF!,"O2O")</f>
        <v>#REF!</v>
      </c>
      <c r="W180" s="24" t="s">
        <v>19</v>
      </c>
    </row>
    <row r="181" ht="14.4" spans="1:23">
      <c r="A181" s="16" t="s">
        <v>264</v>
      </c>
      <c r="B181" s="16" t="s">
        <v>350</v>
      </c>
      <c r="C181" s="16">
        <v>1730</v>
      </c>
      <c r="D181" s="16" t="s">
        <v>440</v>
      </c>
      <c r="E181" s="18">
        <f>_xlfn.IFNA(VLOOKUP(C:C,线上线下销售!B:D,3,0),0)</f>
        <v>3484.2904</v>
      </c>
      <c r="F181" s="18">
        <f>SUMIFS(线上订单!$E:$E,线上订单!$B:$B,美团日报!$C181)-SUMIFS(线上订单!$E:$E,线上订单!$B:$B,美团日报!$C181,线上订单!$D:$D,"美团")-SUMIFS(线上订单!$E:$E,线上订单!$B:$B,美团日报!$C181,线上订单!$D:$D,"饿了么")</f>
        <v>0</v>
      </c>
      <c r="G181" s="19">
        <f t="shared" si="16"/>
        <v>0</v>
      </c>
      <c r="H181" s="18">
        <f>SUMIFS(线上订单!$F:$F,线上订单!$B:$B,美团日报!$C181)-SUMIFS(线上订单!$F:$F,线上订单!$B:$B,美团日报!$C181,线上订单!$D:$D,"美团")-SUMIFS(线上订单!$F:$F,线上订单!$B:$B,美团日报!$C181,线上订单!$D:$D,"饿了么")</f>
        <v>0</v>
      </c>
      <c r="I181" s="18">
        <f>SUMIFS(线上订单!$F:$F,线上订单!$B:$B,美团日报!$C181)-SUMIFS(线上订单!$F:$F,线上订单!$B:$B,美团日报!$C181,线上订单!$D:$D,"美团")-SUMIFS(线上订单!$F:$F,线上订单!$B:$B,美团日报!$C181,线上订单!$D:$D,"饿了么")</f>
        <v>0</v>
      </c>
      <c r="J181" s="21">
        <f t="shared" si="17"/>
        <v>0</v>
      </c>
      <c r="K181" s="22" t="e">
        <f t="shared" si="12"/>
        <v>#REF!</v>
      </c>
      <c r="L181" s="19" t="e">
        <f>SUMIFS(#REF!,#REF!,美团日报!$C$2,#REF!,"秒达")</f>
        <v>#REF!</v>
      </c>
      <c r="M181" s="23"/>
      <c r="N181" s="23"/>
      <c r="O181" s="22" t="e">
        <f t="shared" si="13"/>
        <v>#REF!</v>
      </c>
      <c r="P181" s="19" t="e">
        <f>SUMIFS(#REF!,#REF!,美团日报!$C181,#REF!,"秒达")</f>
        <v>#REF!</v>
      </c>
      <c r="Q181" s="23"/>
      <c r="R181" s="23"/>
      <c r="S181" s="22" t="e">
        <f t="shared" si="14"/>
        <v>#REF!</v>
      </c>
      <c r="T181" s="19" t="e">
        <f>SUMIFS(#REF!,#REF!,美团日报!$C181,#REF!,"O2O")</f>
        <v>#REF!</v>
      </c>
      <c r="U181" s="22" t="e">
        <f t="shared" si="15"/>
        <v>#REF!</v>
      </c>
      <c r="V181" s="19" t="e">
        <f>SUMIFS(#REF!,#REF!,美团日报!$C181,#REF!,"O2O")</f>
        <v>#REF!</v>
      </c>
      <c r="W181" s="24" t="s">
        <v>19</v>
      </c>
    </row>
    <row r="182" ht="14.4" spans="1:23">
      <c r="A182" s="16" t="s">
        <v>264</v>
      </c>
      <c r="B182" s="16" t="s">
        <v>401</v>
      </c>
      <c r="C182" s="16">
        <v>1732</v>
      </c>
      <c r="D182" s="16" t="s">
        <v>442</v>
      </c>
      <c r="E182" s="18">
        <f>_xlfn.IFNA(VLOOKUP(C:C,线上线下销售!B:D,3,0),0)</f>
        <v>222.6283</v>
      </c>
      <c r="F182" s="18">
        <f>SUMIFS(线上订单!$E:$E,线上订单!$B:$B,美团日报!$C182)-SUMIFS(线上订单!$E:$E,线上订单!$B:$B,美团日报!$C182,线上订单!$D:$D,"美团")-SUMIFS(线上订单!$E:$E,线上订单!$B:$B,美团日报!$C182,线上订单!$D:$D,"饿了么")</f>
        <v>0</v>
      </c>
      <c r="G182" s="19">
        <f t="shared" si="16"/>
        <v>0</v>
      </c>
      <c r="H182" s="18">
        <f>SUMIFS(线上订单!$F:$F,线上订单!$B:$B,美团日报!$C182)-SUMIFS(线上订单!$F:$F,线上订单!$B:$B,美团日报!$C182,线上订单!$D:$D,"美团")-SUMIFS(线上订单!$F:$F,线上订单!$B:$B,美团日报!$C182,线上订单!$D:$D,"饿了么")</f>
        <v>0</v>
      </c>
      <c r="I182" s="18">
        <f>SUMIFS(线上订单!$F:$F,线上订单!$B:$B,美团日报!$C182)-SUMIFS(线上订单!$F:$F,线上订单!$B:$B,美团日报!$C182,线上订单!$D:$D,"美团")-SUMIFS(线上订单!$F:$F,线上订单!$B:$B,美团日报!$C182,线上订单!$D:$D,"饿了么")</f>
        <v>0</v>
      </c>
      <c r="J182" s="21">
        <f t="shared" si="17"/>
        <v>0</v>
      </c>
      <c r="K182" s="22" t="e">
        <f t="shared" ref="K182:K245" si="18">H182*L182</f>
        <v>#REF!</v>
      </c>
      <c r="L182" s="19" t="e">
        <f>SUMIFS(#REF!,#REF!,美团日报!$C$2,#REF!,"秒达")</f>
        <v>#REF!</v>
      </c>
      <c r="M182" s="23"/>
      <c r="N182" s="23"/>
      <c r="O182" s="22" t="e">
        <f t="shared" ref="O182:O245" si="19">H182*(1-P182)</f>
        <v>#REF!</v>
      </c>
      <c r="P182" s="19" t="e">
        <f>SUMIFS(#REF!,#REF!,美团日报!$C182,#REF!,"秒达")</f>
        <v>#REF!</v>
      </c>
      <c r="Q182" s="23"/>
      <c r="R182" s="23"/>
      <c r="S182" s="22" t="e">
        <f t="shared" ref="S182:S245" si="20">H182*T182</f>
        <v>#REF!</v>
      </c>
      <c r="T182" s="19" t="e">
        <f>SUMIFS(#REF!,#REF!,美团日报!$C182,#REF!,"O2O")</f>
        <v>#REF!</v>
      </c>
      <c r="U182" s="22" t="e">
        <f t="shared" ref="U182:U245" si="21">H182*V182</f>
        <v>#REF!</v>
      </c>
      <c r="V182" s="19" t="e">
        <f>SUMIFS(#REF!,#REF!,美团日报!$C182,#REF!,"O2O")</f>
        <v>#REF!</v>
      </c>
      <c r="W182" s="24" t="s">
        <v>19</v>
      </c>
    </row>
    <row r="183" ht="14.4" spans="1:23">
      <c r="A183" s="16" t="s">
        <v>56</v>
      </c>
      <c r="B183" s="16" t="s">
        <v>73</v>
      </c>
      <c r="C183" s="16">
        <v>1741</v>
      </c>
      <c r="D183" s="16" t="s">
        <v>443</v>
      </c>
      <c r="E183" s="18">
        <f>_xlfn.IFNA(VLOOKUP(C:C,线上线下销售!B:D,3,0),0)</f>
        <v>10039.5513</v>
      </c>
      <c r="F183" s="18">
        <f>SUMIFS(线上订单!$E:$E,线上订单!$B:$B,美团日报!$C183)-SUMIFS(线上订单!$E:$E,线上订单!$B:$B,美团日报!$C183,线上订单!$D:$D,"美团")-SUMIFS(线上订单!$E:$E,线上订单!$B:$B,美团日报!$C183,线上订单!$D:$D,"饿了么")</f>
        <v>0</v>
      </c>
      <c r="G183" s="19">
        <f t="shared" si="16"/>
        <v>0</v>
      </c>
      <c r="H183" s="18">
        <f>SUMIFS(线上订单!$F:$F,线上订单!$B:$B,美团日报!$C183)-SUMIFS(线上订单!$F:$F,线上订单!$B:$B,美团日报!$C183,线上订单!$D:$D,"美团")-SUMIFS(线上订单!$F:$F,线上订单!$B:$B,美团日报!$C183,线上订单!$D:$D,"饿了么")</f>
        <v>0</v>
      </c>
      <c r="I183" s="18">
        <f>SUMIFS(线上订单!$F:$F,线上订单!$B:$B,美团日报!$C183)-SUMIFS(线上订单!$F:$F,线上订单!$B:$B,美团日报!$C183,线上订单!$D:$D,"美团")-SUMIFS(线上订单!$F:$F,线上订单!$B:$B,美团日报!$C183,线上订单!$D:$D,"饿了么")</f>
        <v>0</v>
      </c>
      <c r="J183" s="21">
        <f t="shared" si="17"/>
        <v>0</v>
      </c>
      <c r="K183" s="22" t="e">
        <f t="shared" si="18"/>
        <v>#REF!</v>
      </c>
      <c r="L183" s="19" t="e">
        <f>SUMIFS(#REF!,#REF!,美团日报!$C$2,#REF!,"秒达")</f>
        <v>#REF!</v>
      </c>
      <c r="M183" s="23"/>
      <c r="N183" s="23"/>
      <c r="O183" s="22" t="e">
        <f t="shared" si="19"/>
        <v>#REF!</v>
      </c>
      <c r="P183" s="19" t="e">
        <f>SUMIFS(#REF!,#REF!,美团日报!$C183,#REF!,"秒达")</f>
        <v>#REF!</v>
      </c>
      <c r="Q183" s="23"/>
      <c r="R183" s="23"/>
      <c r="S183" s="22" t="e">
        <f t="shared" si="20"/>
        <v>#REF!</v>
      </c>
      <c r="T183" s="19" t="e">
        <f>SUMIFS(#REF!,#REF!,美团日报!$C183,#REF!,"O2O")</f>
        <v>#REF!</v>
      </c>
      <c r="U183" s="22" t="e">
        <f t="shared" si="21"/>
        <v>#REF!</v>
      </c>
      <c r="V183" s="19" t="e">
        <f>SUMIFS(#REF!,#REF!,美团日报!$C183,#REF!,"O2O")</f>
        <v>#REF!</v>
      </c>
      <c r="W183" s="24" t="s">
        <v>19</v>
      </c>
    </row>
    <row r="184" ht="14.4" spans="1:23">
      <c r="A184" s="16" t="s">
        <v>264</v>
      </c>
      <c r="B184" s="16" t="s">
        <v>350</v>
      </c>
      <c r="C184" s="16">
        <v>1752</v>
      </c>
      <c r="D184" s="16" t="s">
        <v>445</v>
      </c>
      <c r="E184" s="18">
        <f>_xlfn.IFNA(VLOOKUP(C:C,线上线下销售!B:D,3,0),0)</f>
        <v>2205.8491</v>
      </c>
      <c r="F184" s="18">
        <f>SUMIFS(线上订单!$E:$E,线上订单!$B:$B,美团日报!$C184)-SUMIFS(线上订单!$E:$E,线上订单!$B:$B,美团日报!$C184,线上订单!$D:$D,"美团")-SUMIFS(线上订单!$E:$E,线上订单!$B:$B,美团日报!$C184,线上订单!$D:$D,"饿了么")</f>
        <v>34.5132743362799</v>
      </c>
      <c r="G184" s="19">
        <f t="shared" si="16"/>
        <v>0.0156462535611706</v>
      </c>
      <c r="H184" s="18">
        <f>SUMIFS(线上订单!$F:$F,线上订单!$B:$B,美团日报!$C184)-SUMIFS(线上订单!$F:$F,线上订单!$B:$B,美团日报!$C184,线上订单!$D:$D,"美团")-SUMIFS(线上订单!$F:$F,线上订单!$B:$B,美团日报!$C184,线上订单!$D:$D,"饿了么")</f>
        <v>1</v>
      </c>
      <c r="I184" s="18">
        <f>SUMIFS(线上订单!$F:$F,线上订单!$B:$B,美团日报!$C184)-SUMIFS(线上订单!$F:$F,线上订单!$B:$B,美团日报!$C184,线上订单!$D:$D,"美团")-SUMIFS(线上订单!$F:$F,线上订单!$B:$B,美团日报!$C184,线上订单!$D:$D,"饿了么")</f>
        <v>1</v>
      </c>
      <c r="J184" s="21">
        <f t="shared" si="17"/>
        <v>34.5132743362799</v>
      </c>
      <c r="K184" s="22" t="e">
        <f t="shared" si="18"/>
        <v>#REF!</v>
      </c>
      <c r="L184" s="19" t="e">
        <f>SUMIFS(#REF!,#REF!,美团日报!$C$2,#REF!,"秒达")</f>
        <v>#REF!</v>
      </c>
      <c r="M184" s="23"/>
      <c r="N184" s="23"/>
      <c r="O184" s="22" t="e">
        <f t="shared" si="19"/>
        <v>#REF!</v>
      </c>
      <c r="P184" s="19" t="e">
        <f>SUMIFS(#REF!,#REF!,美团日报!$C184,#REF!,"秒达")</f>
        <v>#REF!</v>
      </c>
      <c r="Q184" s="23"/>
      <c r="R184" s="23"/>
      <c r="S184" s="22" t="e">
        <f t="shared" si="20"/>
        <v>#REF!</v>
      </c>
      <c r="T184" s="19" t="e">
        <f>SUMIFS(#REF!,#REF!,美团日报!$C184,#REF!,"O2O")</f>
        <v>#REF!</v>
      </c>
      <c r="U184" s="22" t="e">
        <f t="shared" si="21"/>
        <v>#REF!</v>
      </c>
      <c r="V184" s="19" t="e">
        <f>SUMIFS(#REF!,#REF!,美团日报!$C184,#REF!,"O2O")</f>
        <v>#REF!</v>
      </c>
      <c r="W184" s="24" t="s">
        <v>19</v>
      </c>
    </row>
    <row r="185" ht="14.4" spans="1:23">
      <c r="A185" s="16" t="s">
        <v>264</v>
      </c>
      <c r="B185" s="16" t="s">
        <v>350</v>
      </c>
      <c r="C185" s="16">
        <v>1814</v>
      </c>
      <c r="D185" s="16" t="s">
        <v>447</v>
      </c>
      <c r="E185" s="18">
        <f>_xlfn.IFNA(VLOOKUP(C:C,线上线下销售!B:D,3,0),0)</f>
        <v>713.7654</v>
      </c>
      <c r="F185" s="18">
        <f>SUMIFS(线上订单!$E:$E,线上订单!$B:$B,美团日报!$C185)-SUMIFS(线上订单!$E:$E,线上订单!$B:$B,美团日报!$C185,线上订单!$D:$D,"美团")-SUMIFS(线上订单!$E:$E,线上订单!$B:$B,美团日报!$C185,线上订单!$D:$D,"饿了么")</f>
        <v>0</v>
      </c>
      <c r="G185" s="19">
        <f t="shared" si="16"/>
        <v>0</v>
      </c>
      <c r="H185" s="18">
        <f>SUMIFS(线上订单!$F:$F,线上订单!$B:$B,美团日报!$C185)-SUMIFS(线上订单!$F:$F,线上订单!$B:$B,美团日报!$C185,线上订单!$D:$D,"美团")-SUMIFS(线上订单!$F:$F,线上订单!$B:$B,美团日报!$C185,线上订单!$D:$D,"饿了么")</f>
        <v>0</v>
      </c>
      <c r="I185" s="18">
        <f>SUMIFS(线上订单!$F:$F,线上订单!$B:$B,美团日报!$C185)-SUMIFS(线上订单!$F:$F,线上订单!$B:$B,美团日报!$C185,线上订单!$D:$D,"美团")-SUMIFS(线上订单!$F:$F,线上订单!$B:$B,美团日报!$C185,线上订单!$D:$D,"饿了么")</f>
        <v>0</v>
      </c>
      <c r="J185" s="21">
        <f t="shared" si="17"/>
        <v>0</v>
      </c>
      <c r="K185" s="22" t="e">
        <f t="shared" si="18"/>
        <v>#REF!</v>
      </c>
      <c r="L185" s="19" t="e">
        <f>SUMIFS(#REF!,#REF!,美团日报!$C$2,#REF!,"秒达")</f>
        <v>#REF!</v>
      </c>
      <c r="M185" s="23"/>
      <c r="N185" s="23"/>
      <c r="O185" s="22" t="e">
        <f t="shared" si="19"/>
        <v>#REF!</v>
      </c>
      <c r="P185" s="19" t="e">
        <f>SUMIFS(#REF!,#REF!,美团日报!$C185,#REF!,"秒达")</f>
        <v>#REF!</v>
      </c>
      <c r="Q185" s="23"/>
      <c r="R185" s="23"/>
      <c r="S185" s="22" t="e">
        <f t="shared" si="20"/>
        <v>#REF!</v>
      </c>
      <c r="T185" s="19" t="e">
        <f>SUMIFS(#REF!,#REF!,美团日报!$C185,#REF!,"O2O")</f>
        <v>#REF!</v>
      </c>
      <c r="U185" s="22" t="e">
        <f t="shared" si="21"/>
        <v>#REF!</v>
      </c>
      <c r="V185" s="19" t="e">
        <f>SUMIFS(#REF!,#REF!,美团日报!$C185,#REF!,"O2O")</f>
        <v>#REF!</v>
      </c>
      <c r="W185" s="24" t="s">
        <v>19</v>
      </c>
    </row>
    <row r="186" ht="14.4" spans="1:23">
      <c r="A186" s="16" t="s">
        <v>264</v>
      </c>
      <c r="B186" s="16" t="s">
        <v>296</v>
      </c>
      <c r="C186" s="16">
        <v>1826</v>
      </c>
      <c r="D186" s="16" t="s">
        <v>449</v>
      </c>
      <c r="E186" s="18">
        <f>_xlfn.IFNA(VLOOKUP(C:C,线上线下销售!B:D,3,0),0)</f>
        <v>1504.2081</v>
      </c>
      <c r="F186" s="18">
        <f>SUMIFS(线上订单!$E:$E,线上订单!$B:$B,美团日报!$C186)-SUMIFS(线上订单!$E:$E,线上订单!$B:$B,美团日报!$C186,线上订单!$D:$D,"美团")-SUMIFS(线上订单!$E:$E,线上订单!$B:$B,美团日报!$C186,线上订单!$D:$D,"饿了么")</f>
        <v>0</v>
      </c>
      <c r="G186" s="19">
        <f t="shared" si="16"/>
        <v>0</v>
      </c>
      <c r="H186" s="18">
        <f>SUMIFS(线上订单!$F:$F,线上订单!$B:$B,美团日报!$C186)-SUMIFS(线上订单!$F:$F,线上订单!$B:$B,美团日报!$C186,线上订单!$D:$D,"美团")-SUMIFS(线上订单!$F:$F,线上订单!$B:$B,美团日报!$C186,线上订单!$D:$D,"饿了么")</f>
        <v>0</v>
      </c>
      <c r="I186" s="18">
        <f>SUMIFS(线上订单!$F:$F,线上订单!$B:$B,美团日报!$C186)-SUMIFS(线上订单!$F:$F,线上订单!$B:$B,美团日报!$C186,线上订单!$D:$D,"美团")-SUMIFS(线上订单!$F:$F,线上订单!$B:$B,美团日报!$C186,线上订单!$D:$D,"饿了么")</f>
        <v>0</v>
      </c>
      <c r="J186" s="21">
        <f t="shared" si="17"/>
        <v>0</v>
      </c>
      <c r="K186" s="22" t="e">
        <f t="shared" si="18"/>
        <v>#REF!</v>
      </c>
      <c r="L186" s="19" t="e">
        <f>SUMIFS(#REF!,#REF!,美团日报!$C$2,#REF!,"秒达")</f>
        <v>#REF!</v>
      </c>
      <c r="M186" s="23"/>
      <c r="N186" s="23"/>
      <c r="O186" s="22" t="e">
        <f t="shared" si="19"/>
        <v>#REF!</v>
      </c>
      <c r="P186" s="19" t="e">
        <f>SUMIFS(#REF!,#REF!,美团日报!$C186,#REF!,"秒达")</f>
        <v>#REF!</v>
      </c>
      <c r="Q186" s="23"/>
      <c r="R186" s="23"/>
      <c r="S186" s="22" t="e">
        <f t="shared" si="20"/>
        <v>#REF!</v>
      </c>
      <c r="T186" s="19" t="e">
        <f>SUMIFS(#REF!,#REF!,美团日报!$C186,#REF!,"O2O")</f>
        <v>#REF!</v>
      </c>
      <c r="U186" s="22" t="e">
        <f t="shared" si="21"/>
        <v>#REF!</v>
      </c>
      <c r="V186" s="19" t="e">
        <f>SUMIFS(#REF!,#REF!,美团日报!$C186,#REF!,"O2O")</f>
        <v>#REF!</v>
      </c>
      <c r="W186" s="24" t="s">
        <v>19</v>
      </c>
    </row>
    <row r="187" ht="14.4" spans="1:23">
      <c r="A187" s="16" t="s">
        <v>264</v>
      </c>
      <c r="B187" s="16" t="s">
        <v>350</v>
      </c>
      <c r="C187" s="16">
        <v>1837</v>
      </c>
      <c r="D187" s="16" t="s">
        <v>451</v>
      </c>
      <c r="E187" s="18">
        <f>_xlfn.IFNA(VLOOKUP(C:C,线上线下销售!B:D,3,0),0)</f>
        <v>10350.2519</v>
      </c>
      <c r="F187" s="18">
        <f>SUMIFS(线上订单!$E:$E,线上订单!$B:$B,美团日报!$C187)-SUMIFS(线上订单!$E:$E,线上订单!$B:$B,美团日报!$C187,线上订单!$D:$D,"美团")-SUMIFS(线上订单!$E:$E,线上订单!$B:$B,美团日报!$C187,线上订单!$D:$D,"饿了么")</f>
        <v>290.63724933019</v>
      </c>
      <c r="G187" s="19">
        <f t="shared" si="16"/>
        <v>0.0280802102343219</v>
      </c>
      <c r="H187" s="18">
        <f>SUMIFS(线上订单!$F:$F,线上订单!$B:$B,美团日报!$C187)-SUMIFS(线上订单!$F:$F,线上订单!$B:$B,美团日报!$C187,线上订单!$D:$D,"美团")-SUMIFS(线上订单!$F:$F,线上订单!$B:$B,美团日报!$C187,线上订单!$D:$D,"饿了么")</f>
        <v>7</v>
      </c>
      <c r="I187" s="18">
        <f>SUMIFS(线上订单!$F:$F,线上订单!$B:$B,美团日报!$C187)-SUMIFS(线上订单!$F:$F,线上订单!$B:$B,美团日报!$C187,线上订单!$D:$D,"美团")-SUMIFS(线上订单!$F:$F,线上订单!$B:$B,美团日报!$C187,线上订单!$D:$D,"饿了么")</f>
        <v>7</v>
      </c>
      <c r="J187" s="21">
        <f t="shared" si="17"/>
        <v>41.51960704717</v>
      </c>
      <c r="K187" s="22" t="e">
        <f t="shared" si="18"/>
        <v>#REF!</v>
      </c>
      <c r="L187" s="19" t="e">
        <f>SUMIFS(#REF!,#REF!,美团日报!$C$2,#REF!,"秒达")</f>
        <v>#REF!</v>
      </c>
      <c r="M187" s="23"/>
      <c r="N187" s="23"/>
      <c r="O187" s="22" t="e">
        <f t="shared" si="19"/>
        <v>#REF!</v>
      </c>
      <c r="P187" s="19" t="e">
        <f>SUMIFS(#REF!,#REF!,美团日报!$C187,#REF!,"秒达")</f>
        <v>#REF!</v>
      </c>
      <c r="Q187" s="23"/>
      <c r="R187" s="23"/>
      <c r="S187" s="22" t="e">
        <f t="shared" si="20"/>
        <v>#REF!</v>
      </c>
      <c r="T187" s="19" t="e">
        <f>SUMIFS(#REF!,#REF!,美团日报!$C187,#REF!,"O2O")</f>
        <v>#REF!</v>
      </c>
      <c r="U187" s="22" t="e">
        <f t="shared" si="21"/>
        <v>#REF!</v>
      </c>
      <c r="V187" s="19" t="e">
        <f>SUMIFS(#REF!,#REF!,美团日报!$C187,#REF!,"O2O")</f>
        <v>#REF!</v>
      </c>
      <c r="W187" s="24" t="s">
        <v>19</v>
      </c>
    </row>
    <row r="188" ht="14.4" spans="1:23">
      <c r="A188" s="16" t="s">
        <v>264</v>
      </c>
      <c r="B188" s="16" t="s">
        <v>370</v>
      </c>
      <c r="C188" s="16">
        <v>1867</v>
      </c>
      <c r="D188" s="16" t="s">
        <v>453</v>
      </c>
      <c r="E188" s="18">
        <f>_xlfn.IFNA(VLOOKUP(C:C,线上线下销售!B:D,3,0),0)</f>
        <v>5169.2332</v>
      </c>
      <c r="F188" s="18">
        <f>SUMIFS(线上订单!$E:$E,线上订单!$B:$B,美团日报!$C188)-SUMIFS(线上订单!$E:$E,线上订单!$B:$B,美团日报!$C188,线上订单!$D:$D,"美团")-SUMIFS(线上订单!$E:$E,线上订单!$B:$B,美团日报!$C188,线上订单!$D:$D,"饿了么")</f>
        <v>0</v>
      </c>
      <c r="G188" s="19">
        <f t="shared" si="16"/>
        <v>0</v>
      </c>
      <c r="H188" s="18">
        <f>SUMIFS(线上订单!$F:$F,线上订单!$B:$B,美团日报!$C188)-SUMIFS(线上订单!$F:$F,线上订单!$B:$B,美团日报!$C188,线上订单!$D:$D,"美团")-SUMIFS(线上订单!$F:$F,线上订单!$B:$B,美团日报!$C188,线上订单!$D:$D,"饿了么")</f>
        <v>0</v>
      </c>
      <c r="I188" s="18">
        <f>SUMIFS(线上订单!$F:$F,线上订单!$B:$B,美团日报!$C188)-SUMIFS(线上订单!$F:$F,线上订单!$B:$B,美团日报!$C188,线上订单!$D:$D,"美团")-SUMIFS(线上订单!$F:$F,线上订单!$B:$B,美团日报!$C188,线上订单!$D:$D,"饿了么")</f>
        <v>0</v>
      </c>
      <c r="J188" s="21">
        <f t="shared" si="17"/>
        <v>0</v>
      </c>
      <c r="K188" s="22" t="e">
        <f t="shared" si="18"/>
        <v>#REF!</v>
      </c>
      <c r="L188" s="19" t="e">
        <f>SUMIFS(#REF!,#REF!,美团日报!$C$2,#REF!,"秒达")</f>
        <v>#REF!</v>
      </c>
      <c r="M188" s="23"/>
      <c r="N188" s="23"/>
      <c r="O188" s="22" t="e">
        <f t="shared" si="19"/>
        <v>#REF!</v>
      </c>
      <c r="P188" s="19" t="e">
        <f>SUMIFS(#REF!,#REF!,美团日报!$C188,#REF!,"秒达")</f>
        <v>#REF!</v>
      </c>
      <c r="Q188" s="23"/>
      <c r="R188" s="23"/>
      <c r="S188" s="22" t="e">
        <f t="shared" si="20"/>
        <v>#REF!</v>
      </c>
      <c r="T188" s="19" t="e">
        <f>SUMIFS(#REF!,#REF!,美团日报!$C188,#REF!,"O2O")</f>
        <v>#REF!</v>
      </c>
      <c r="U188" s="22" t="e">
        <f t="shared" si="21"/>
        <v>#REF!</v>
      </c>
      <c r="V188" s="19" t="e">
        <f>SUMIFS(#REF!,#REF!,美团日报!$C188,#REF!,"O2O")</f>
        <v>#REF!</v>
      </c>
      <c r="W188" s="24" t="s">
        <v>19</v>
      </c>
    </row>
    <row r="189" ht="14.4" spans="1:23">
      <c r="A189" s="16" t="s">
        <v>264</v>
      </c>
      <c r="B189" s="16" t="s">
        <v>370</v>
      </c>
      <c r="C189" s="16">
        <v>1868</v>
      </c>
      <c r="D189" s="16" t="s">
        <v>455</v>
      </c>
      <c r="E189" s="18">
        <f>_xlfn.IFNA(VLOOKUP(C:C,线上线下销售!B:D,3,0),0)</f>
        <v>1778.9884</v>
      </c>
      <c r="F189" s="18">
        <f>SUMIFS(线上订单!$E:$E,线上订单!$B:$B,美团日报!$C189)-SUMIFS(线上订单!$E:$E,线上订单!$B:$B,美团日报!$C189,线上订单!$D:$D,"美团")-SUMIFS(线上订单!$E:$E,线上订单!$B:$B,美团日报!$C189,线上订单!$D:$D,"饿了么")</f>
        <v>0</v>
      </c>
      <c r="G189" s="19">
        <f t="shared" si="16"/>
        <v>0</v>
      </c>
      <c r="H189" s="18">
        <f>SUMIFS(线上订单!$F:$F,线上订单!$B:$B,美团日报!$C189)-SUMIFS(线上订单!$F:$F,线上订单!$B:$B,美团日报!$C189,线上订单!$D:$D,"美团")-SUMIFS(线上订单!$F:$F,线上订单!$B:$B,美团日报!$C189,线上订单!$D:$D,"饿了么")</f>
        <v>0</v>
      </c>
      <c r="I189" s="18">
        <f>SUMIFS(线上订单!$F:$F,线上订单!$B:$B,美团日报!$C189)-SUMIFS(线上订单!$F:$F,线上订单!$B:$B,美团日报!$C189,线上订单!$D:$D,"美团")-SUMIFS(线上订单!$F:$F,线上订单!$B:$B,美团日报!$C189,线上订单!$D:$D,"饿了么")</f>
        <v>0</v>
      </c>
      <c r="J189" s="21">
        <f t="shared" si="17"/>
        <v>0</v>
      </c>
      <c r="K189" s="22" t="e">
        <f t="shared" si="18"/>
        <v>#REF!</v>
      </c>
      <c r="L189" s="19" t="e">
        <f>SUMIFS(#REF!,#REF!,美团日报!$C$2,#REF!,"秒达")</f>
        <v>#REF!</v>
      </c>
      <c r="M189" s="23"/>
      <c r="N189" s="23"/>
      <c r="O189" s="22" t="e">
        <f t="shared" si="19"/>
        <v>#REF!</v>
      </c>
      <c r="P189" s="19" t="e">
        <f>SUMIFS(#REF!,#REF!,美团日报!$C189,#REF!,"秒达")</f>
        <v>#REF!</v>
      </c>
      <c r="Q189" s="23"/>
      <c r="R189" s="23"/>
      <c r="S189" s="22" t="e">
        <f t="shared" si="20"/>
        <v>#REF!</v>
      </c>
      <c r="T189" s="19" t="e">
        <f>SUMIFS(#REF!,#REF!,美团日报!$C189,#REF!,"O2O")</f>
        <v>#REF!</v>
      </c>
      <c r="U189" s="22" t="e">
        <f t="shared" si="21"/>
        <v>#REF!</v>
      </c>
      <c r="V189" s="19" t="e">
        <f>SUMIFS(#REF!,#REF!,美团日报!$C189,#REF!,"O2O")</f>
        <v>#REF!</v>
      </c>
      <c r="W189" s="24" t="s">
        <v>19</v>
      </c>
    </row>
    <row r="190" ht="14.4" spans="1:23">
      <c r="A190" s="16" t="s">
        <v>48</v>
      </c>
      <c r="B190" s="16" t="s">
        <v>64</v>
      </c>
      <c r="C190" s="16">
        <v>1880</v>
      </c>
      <c r="D190" s="16" t="s">
        <v>457</v>
      </c>
      <c r="E190" s="18">
        <f>_xlfn.IFNA(VLOOKUP(C:C,线上线下销售!B:D,3,0),0)</f>
        <v>5766.639</v>
      </c>
      <c r="F190" s="18">
        <f>SUMIFS(线上订单!$E:$E,线上订单!$B:$B,美团日报!$C190)-SUMIFS(线上订单!$E:$E,线上订单!$B:$B,美团日报!$C190,线上订单!$D:$D,"美团")-SUMIFS(线上订单!$E:$E,线上订单!$B:$B,美团日报!$C190,线上订单!$D:$D,"饿了么")</f>
        <v>300.04075667771</v>
      </c>
      <c r="G190" s="19">
        <f t="shared" si="16"/>
        <v>0.05203043864506</v>
      </c>
      <c r="H190" s="18">
        <f>SUMIFS(线上订单!$F:$F,线上订单!$B:$B,美团日报!$C190)-SUMIFS(线上订单!$F:$F,线上订单!$B:$B,美团日报!$C190,线上订单!$D:$D,"美团")-SUMIFS(线上订单!$F:$F,线上订单!$B:$B,美团日报!$C190,线上订单!$D:$D,"饿了么")</f>
        <v>10</v>
      </c>
      <c r="I190" s="18">
        <f>SUMIFS(线上订单!$F:$F,线上订单!$B:$B,美团日报!$C190)-SUMIFS(线上订单!$F:$F,线上订单!$B:$B,美团日报!$C190,线上订单!$D:$D,"美团")-SUMIFS(线上订单!$F:$F,线上订单!$B:$B,美团日报!$C190,线上订单!$D:$D,"饿了么")</f>
        <v>10</v>
      </c>
      <c r="J190" s="21">
        <f t="shared" si="17"/>
        <v>30.004075667771</v>
      </c>
      <c r="K190" s="22" t="e">
        <f t="shared" si="18"/>
        <v>#REF!</v>
      </c>
      <c r="L190" s="19" t="e">
        <f>SUMIFS(#REF!,#REF!,美团日报!$C$2,#REF!,"秒达")</f>
        <v>#REF!</v>
      </c>
      <c r="M190" s="23"/>
      <c r="N190" s="23"/>
      <c r="O190" s="22" t="e">
        <f t="shared" si="19"/>
        <v>#REF!</v>
      </c>
      <c r="P190" s="19" t="e">
        <f>SUMIFS(#REF!,#REF!,美团日报!$C190,#REF!,"秒达")</f>
        <v>#REF!</v>
      </c>
      <c r="Q190" s="23"/>
      <c r="R190" s="23"/>
      <c r="S190" s="22" t="e">
        <f t="shared" si="20"/>
        <v>#REF!</v>
      </c>
      <c r="T190" s="19" t="e">
        <f>SUMIFS(#REF!,#REF!,美团日报!$C190,#REF!,"O2O")</f>
        <v>#REF!</v>
      </c>
      <c r="U190" s="22" t="e">
        <f t="shared" si="21"/>
        <v>#REF!</v>
      </c>
      <c r="V190" s="19" t="e">
        <f>SUMIFS(#REF!,#REF!,美团日报!$C190,#REF!,"O2O")</f>
        <v>#REF!</v>
      </c>
      <c r="W190" s="24" t="s">
        <v>19</v>
      </c>
    </row>
    <row r="191" ht="14.4" spans="1:23">
      <c r="A191" s="16" t="s">
        <v>264</v>
      </c>
      <c r="B191" s="16" t="s">
        <v>304</v>
      </c>
      <c r="C191" s="16">
        <v>2120</v>
      </c>
      <c r="D191" s="16" t="s">
        <v>459</v>
      </c>
      <c r="E191" s="18">
        <f>_xlfn.IFNA(VLOOKUP(C:C,线上线下销售!B:D,3,0),0)</f>
        <v>3960.8435</v>
      </c>
      <c r="F191" s="18">
        <f>SUMIFS(线上订单!$E:$E,线上订单!$B:$B,美团日报!$C191)-SUMIFS(线上订单!$E:$E,线上订单!$B:$B,美团日报!$C191,线上订单!$D:$D,"美团")-SUMIFS(线上订单!$E:$E,线上订单!$B:$B,美团日报!$C191,线上订单!$D:$D,"饿了么")</f>
        <v>0</v>
      </c>
      <c r="G191" s="19">
        <f t="shared" si="16"/>
        <v>0</v>
      </c>
      <c r="H191" s="18">
        <f>SUMIFS(线上订单!$F:$F,线上订单!$B:$B,美团日报!$C191)-SUMIFS(线上订单!$F:$F,线上订单!$B:$B,美团日报!$C191,线上订单!$D:$D,"美团")-SUMIFS(线上订单!$F:$F,线上订单!$B:$B,美团日报!$C191,线上订单!$D:$D,"饿了么")</f>
        <v>0</v>
      </c>
      <c r="I191" s="18">
        <f>SUMIFS(线上订单!$F:$F,线上订单!$B:$B,美团日报!$C191)-SUMIFS(线上订单!$F:$F,线上订单!$B:$B,美团日报!$C191,线上订单!$D:$D,"美团")-SUMIFS(线上订单!$F:$F,线上订单!$B:$B,美团日报!$C191,线上订单!$D:$D,"饿了么")</f>
        <v>0</v>
      </c>
      <c r="J191" s="21">
        <f t="shared" si="17"/>
        <v>0</v>
      </c>
      <c r="K191" s="22" t="e">
        <f t="shared" si="18"/>
        <v>#REF!</v>
      </c>
      <c r="L191" s="19" t="e">
        <f>SUMIFS(#REF!,#REF!,美团日报!$C$2,#REF!,"秒达")</f>
        <v>#REF!</v>
      </c>
      <c r="M191" s="23"/>
      <c r="N191" s="23"/>
      <c r="O191" s="22" t="e">
        <f t="shared" si="19"/>
        <v>#REF!</v>
      </c>
      <c r="P191" s="19" t="e">
        <f>SUMIFS(#REF!,#REF!,美团日报!$C191,#REF!,"秒达")</f>
        <v>#REF!</v>
      </c>
      <c r="Q191" s="23"/>
      <c r="R191" s="23"/>
      <c r="S191" s="22" t="e">
        <f t="shared" si="20"/>
        <v>#REF!</v>
      </c>
      <c r="T191" s="19" t="e">
        <f>SUMIFS(#REF!,#REF!,美团日报!$C191,#REF!,"O2O")</f>
        <v>#REF!</v>
      </c>
      <c r="U191" s="22" t="e">
        <f t="shared" si="21"/>
        <v>#REF!</v>
      </c>
      <c r="V191" s="19" t="e">
        <f>SUMIFS(#REF!,#REF!,美团日报!$C191,#REF!,"O2O")</f>
        <v>#REF!</v>
      </c>
      <c r="W191" s="24" t="s">
        <v>19</v>
      </c>
    </row>
    <row r="192" ht="14.4" spans="1:23">
      <c r="A192" s="16" t="s">
        <v>264</v>
      </c>
      <c r="B192" s="16" t="s">
        <v>296</v>
      </c>
      <c r="C192" s="16">
        <v>2130</v>
      </c>
      <c r="D192" s="16" t="s">
        <v>461</v>
      </c>
      <c r="E192" s="18">
        <f>_xlfn.IFNA(VLOOKUP(C:C,线上线下销售!B:D,3,0),0)</f>
        <v>3749.9287</v>
      </c>
      <c r="F192" s="18">
        <f>SUMIFS(线上订单!$E:$E,线上订单!$B:$B,美团日报!$C192)-SUMIFS(线上订单!$E:$E,线上订单!$B:$B,美团日报!$C192,线上订单!$D:$D,"美团")-SUMIFS(线上订单!$E:$E,线上订单!$B:$B,美团日报!$C192,线上订单!$D:$D,"饿了么")</f>
        <v>56.5486725663801</v>
      </c>
      <c r="G192" s="19">
        <f t="shared" si="16"/>
        <v>0.0150799327374891</v>
      </c>
      <c r="H192" s="18">
        <f>SUMIFS(线上订单!$F:$F,线上订单!$B:$B,美团日报!$C192)-SUMIFS(线上订单!$F:$F,线上订单!$B:$B,美团日报!$C192,线上订单!$D:$D,"美团")-SUMIFS(线上订单!$F:$F,线上订单!$B:$B,美团日报!$C192,线上订单!$D:$D,"饿了么")</f>
        <v>2</v>
      </c>
      <c r="I192" s="18">
        <f>SUMIFS(线上订单!$F:$F,线上订单!$B:$B,美团日报!$C192)-SUMIFS(线上订单!$F:$F,线上订单!$B:$B,美团日报!$C192,线上订单!$D:$D,"美团")-SUMIFS(线上订单!$F:$F,线上订单!$B:$B,美团日报!$C192,线上订单!$D:$D,"饿了么")</f>
        <v>2</v>
      </c>
      <c r="J192" s="21">
        <f t="shared" si="17"/>
        <v>28.2743362831901</v>
      </c>
      <c r="K192" s="22" t="e">
        <f t="shared" si="18"/>
        <v>#REF!</v>
      </c>
      <c r="L192" s="19" t="e">
        <f>SUMIFS(#REF!,#REF!,美团日报!$C$2,#REF!,"秒达")</f>
        <v>#REF!</v>
      </c>
      <c r="M192" s="23"/>
      <c r="N192" s="23"/>
      <c r="O192" s="22" t="e">
        <f t="shared" si="19"/>
        <v>#REF!</v>
      </c>
      <c r="P192" s="19" t="e">
        <f>SUMIFS(#REF!,#REF!,美团日报!$C192,#REF!,"秒达")</f>
        <v>#REF!</v>
      </c>
      <c r="Q192" s="23"/>
      <c r="R192" s="23"/>
      <c r="S192" s="22" t="e">
        <f t="shared" si="20"/>
        <v>#REF!</v>
      </c>
      <c r="T192" s="19" t="e">
        <f>SUMIFS(#REF!,#REF!,美团日报!$C192,#REF!,"O2O")</f>
        <v>#REF!</v>
      </c>
      <c r="U192" s="22" t="e">
        <f t="shared" si="21"/>
        <v>#REF!</v>
      </c>
      <c r="V192" s="19" t="e">
        <f>SUMIFS(#REF!,#REF!,美团日报!$C192,#REF!,"O2O")</f>
        <v>#REF!</v>
      </c>
      <c r="W192" s="24" t="s">
        <v>19</v>
      </c>
    </row>
    <row r="193" ht="14.4" spans="1:23">
      <c r="A193" s="16" t="s">
        <v>264</v>
      </c>
      <c r="B193" s="16" t="s">
        <v>359</v>
      </c>
      <c r="C193" s="16">
        <v>2149</v>
      </c>
      <c r="D193" s="16" t="s">
        <v>463</v>
      </c>
      <c r="E193" s="18">
        <f>_xlfn.IFNA(VLOOKUP(C:C,线上线下销售!B:D,3,0),0)</f>
        <v>6856.9406</v>
      </c>
      <c r="F193" s="18">
        <f>SUMIFS(线上订单!$E:$E,线上订单!$B:$B,美团日报!$C193)-SUMIFS(线上订单!$E:$E,线上订单!$B:$B,美团日报!$C193,线上订单!$D:$D,"美团")-SUMIFS(线上订单!$E:$E,线上订单!$B:$B,美团日报!$C193,线上订单!$D:$D,"饿了么")</f>
        <v>0</v>
      </c>
      <c r="G193" s="19">
        <f t="shared" si="16"/>
        <v>0</v>
      </c>
      <c r="H193" s="18">
        <f>SUMIFS(线上订单!$F:$F,线上订单!$B:$B,美团日报!$C193)-SUMIFS(线上订单!$F:$F,线上订单!$B:$B,美团日报!$C193,线上订单!$D:$D,"美团")-SUMIFS(线上订单!$F:$F,线上订单!$B:$B,美团日报!$C193,线上订单!$D:$D,"饿了么")</f>
        <v>0</v>
      </c>
      <c r="I193" s="18">
        <f>SUMIFS(线上订单!$F:$F,线上订单!$B:$B,美团日报!$C193)-SUMIFS(线上订单!$F:$F,线上订单!$B:$B,美团日报!$C193,线上订单!$D:$D,"美团")-SUMIFS(线上订单!$F:$F,线上订单!$B:$B,美团日报!$C193,线上订单!$D:$D,"饿了么")</f>
        <v>0</v>
      </c>
      <c r="J193" s="21">
        <f t="shared" si="17"/>
        <v>0</v>
      </c>
      <c r="K193" s="22" t="e">
        <f t="shared" si="18"/>
        <v>#REF!</v>
      </c>
      <c r="L193" s="19" t="e">
        <f>SUMIFS(#REF!,#REF!,美团日报!$C$2,#REF!,"秒达")</f>
        <v>#REF!</v>
      </c>
      <c r="M193" s="23"/>
      <c r="N193" s="23"/>
      <c r="O193" s="22" t="e">
        <f t="shared" si="19"/>
        <v>#REF!</v>
      </c>
      <c r="P193" s="19" t="e">
        <f>SUMIFS(#REF!,#REF!,美团日报!$C193,#REF!,"秒达")</f>
        <v>#REF!</v>
      </c>
      <c r="Q193" s="23"/>
      <c r="R193" s="23"/>
      <c r="S193" s="22" t="e">
        <f t="shared" si="20"/>
        <v>#REF!</v>
      </c>
      <c r="T193" s="19" t="e">
        <f>SUMIFS(#REF!,#REF!,美团日报!$C193,#REF!,"O2O")</f>
        <v>#REF!</v>
      </c>
      <c r="U193" s="22" t="e">
        <f t="shared" si="21"/>
        <v>#REF!</v>
      </c>
      <c r="V193" s="19" t="e">
        <f>SUMIFS(#REF!,#REF!,美团日报!$C193,#REF!,"O2O")</f>
        <v>#REF!</v>
      </c>
      <c r="W193" s="24" t="s">
        <v>19</v>
      </c>
    </row>
    <row r="194" ht="14.4" spans="1:23">
      <c r="A194" s="16" t="s">
        <v>264</v>
      </c>
      <c r="B194" s="16" t="s">
        <v>359</v>
      </c>
      <c r="C194" s="16">
        <v>2150</v>
      </c>
      <c r="D194" s="16" t="s">
        <v>465</v>
      </c>
      <c r="E194" s="18">
        <f>_xlfn.IFNA(VLOOKUP(C:C,线上线下销售!B:D,3,0),0)</f>
        <v>6986.1254</v>
      </c>
      <c r="F194" s="18">
        <f>SUMIFS(线上订单!$E:$E,线上订单!$B:$B,美团日报!$C194)-SUMIFS(线上订单!$E:$E,线上订单!$B:$B,美团日报!$C194,线上订单!$D:$D,"美团")-SUMIFS(线上订单!$E:$E,线上订单!$B:$B,美团日报!$C194,线上订单!$D:$D,"饿了么")</f>
        <v>0</v>
      </c>
      <c r="G194" s="19">
        <f t="shared" si="16"/>
        <v>0</v>
      </c>
      <c r="H194" s="18">
        <f>SUMIFS(线上订单!$F:$F,线上订单!$B:$B,美团日报!$C194)-SUMIFS(线上订单!$F:$F,线上订单!$B:$B,美团日报!$C194,线上订单!$D:$D,"美团")-SUMIFS(线上订单!$F:$F,线上订单!$B:$B,美团日报!$C194,线上订单!$D:$D,"饿了么")</f>
        <v>0</v>
      </c>
      <c r="I194" s="18">
        <f>SUMIFS(线上订单!$F:$F,线上订单!$B:$B,美团日报!$C194)-SUMIFS(线上订单!$F:$F,线上订单!$B:$B,美团日报!$C194,线上订单!$D:$D,"美团")-SUMIFS(线上订单!$F:$F,线上订单!$B:$B,美团日报!$C194,线上订单!$D:$D,"饿了么")</f>
        <v>0</v>
      </c>
      <c r="J194" s="21">
        <f t="shared" si="17"/>
        <v>0</v>
      </c>
      <c r="K194" s="22" t="e">
        <f t="shared" si="18"/>
        <v>#REF!</v>
      </c>
      <c r="L194" s="19" t="e">
        <f>SUMIFS(#REF!,#REF!,美团日报!$C$2,#REF!,"秒达")</f>
        <v>#REF!</v>
      </c>
      <c r="M194" s="23"/>
      <c r="N194" s="23"/>
      <c r="O194" s="22" t="e">
        <f t="shared" si="19"/>
        <v>#REF!</v>
      </c>
      <c r="P194" s="19" t="e">
        <f>SUMIFS(#REF!,#REF!,美团日报!$C194,#REF!,"秒达")</f>
        <v>#REF!</v>
      </c>
      <c r="Q194" s="23"/>
      <c r="R194" s="23"/>
      <c r="S194" s="22" t="e">
        <f t="shared" si="20"/>
        <v>#REF!</v>
      </c>
      <c r="T194" s="19" t="e">
        <f>SUMIFS(#REF!,#REF!,美团日报!$C194,#REF!,"O2O")</f>
        <v>#REF!</v>
      </c>
      <c r="U194" s="22" t="e">
        <f t="shared" si="21"/>
        <v>#REF!</v>
      </c>
      <c r="V194" s="19" t="e">
        <f>SUMIFS(#REF!,#REF!,美团日报!$C194,#REF!,"O2O")</f>
        <v>#REF!</v>
      </c>
      <c r="W194" s="24" t="s">
        <v>19</v>
      </c>
    </row>
    <row r="195" ht="14.4" spans="1:23">
      <c r="A195" s="16" t="s">
        <v>48</v>
      </c>
      <c r="B195" s="16" t="s">
        <v>49</v>
      </c>
      <c r="C195" s="16">
        <v>2207</v>
      </c>
      <c r="D195" s="16" t="s">
        <v>467</v>
      </c>
      <c r="E195" s="18">
        <f>_xlfn.IFNA(VLOOKUP(C:C,线上线下销售!B:D,3,0),0)</f>
        <v>4252.3534</v>
      </c>
      <c r="F195" s="18">
        <f>SUMIFS(线上订单!$E:$E,线上订单!$B:$B,美团日报!$C195)-SUMIFS(线上订单!$E:$E,线上订单!$B:$B,美团日报!$C195,线上订单!$D:$D,"美团")-SUMIFS(线上订单!$E:$E,线上订单!$B:$B,美团日报!$C195,线上订单!$D:$D,"饿了么")</f>
        <v>164.47332954455</v>
      </c>
      <c r="G195" s="19">
        <f t="shared" ref="G195:G258" si="22">IFERROR(F195/E195,0%)</f>
        <v>0.0386781892456422</v>
      </c>
      <c r="H195" s="18">
        <f>SUMIFS(线上订单!$F:$F,线上订单!$B:$B,美团日报!$C195)-SUMIFS(线上订单!$F:$F,线上订单!$B:$B,美团日报!$C195,线上订单!$D:$D,"美团")-SUMIFS(线上订单!$F:$F,线上订单!$B:$B,美团日报!$C195,线上订单!$D:$D,"饿了么")</f>
        <v>4</v>
      </c>
      <c r="I195" s="18">
        <f>SUMIFS(线上订单!$F:$F,线上订单!$B:$B,美团日报!$C195)-SUMIFS(线上订单!$F:$F,线上订单!$B:$B,美团日报!$C195,线上订单!$D:$D,"美团")-SUMIFS(线上订单!$F:$F,线上订单!$B:$B,美团日报!$C195,线上订单!$D:$D,"饿了么")</f>
        <v>4</v>
      </c>
      <c r="J195" s="21">
        <f t="shared" ref="J195:J258" si="23">IFERROR(F195/I195,0)</f>
        <v>41.1183323861375</v>
      </c>
      <c r="K195" s="22" t="e">
        <f t="shared" si="18"/>
        <v>#REF!</v>
      </c>
      <c r="L195" s="19" t="e">
        <f>SUMIFS(#REF!,#REF!,美团日报!$C$2,#REF!,"秒达")</f>
        <v>#REF!</v>
      </c>
      <c r="M195" s="23"/>
      <c r="N195" s="23"/>
      <c r="O195" s="22" t="e">
        <f t="shared" si="19"/>
        <v>#REF!</v>
      </c>
      <c r="P195" s="19" t="e">
        <f>SUMIFS(#REF!,#REF!,美团日报!$C195,#REF!,"秒达")</f>
        <v>#REF!</v>
      </c>
      <c r="Q195" s="23"/>
      <c r="R195" s="23"/>
      <c r="S195" s="22" t="e">
        <f t="shared" si="20"/>
        <v>#REF!</v>
      </c>
      <c r="T195" s="19" t="e">
        <f>SUMIFS(#REF!,#REF!,美团日报!$C195,#REF!,"O2O")</f>
        <v>#REF!</v>
      </c>
      <c r="U195" s="22" t="e">
        <f t="shared" si="21"/>
        <v>#REF!</v>
      </c>
      <c r="V195" s="19" t="e">
        <f>SUMIFS(#REF!,#REF!,美团日报!$C195,#REF!,"O2O")</f>
        <v>#REF!</v>
      </c>
      <c r="W195" s="24" t="s">
        <v>19</v>
      </c>
    </row>
    <row r="196" ht="14.4" spans="1:23">
      <c r="A196" s="16" t="s">
        <v>264</v>
      </c>
      <c r="B196" s="16" t="s">
        <v>576</v>
      </c>
      <c r="C196" s="16">
        <v>2213</v>
      </c>
      <c r="D196" s="16" t="s">
        <v>469</v>
      </c>
      <c r="E196" s="18">
        <f>_xlfn.IFNA(VLOOKUP(C:C,线上线下销售!B:D,3,0),0)</f>
        <v>6238.8782</v>
      </c>
      <c r="F196" s="18">
        <f>SUMIFS(线上订单!$E:$E,线上订单!$B:$B,美团日报!$C196)-SUMIFS(线上订单!$E:$E,线上订单!$B:$B,美团日报!$C196,线上订单!$D:$D,"美团")-SUMIFS(线上订单!$E:$E,线上订单!$B:$B,美团日报!$C196,线上订单!$D:$D,"饿了么")</f>
        <v>0</v>
      </c>
      <c r="G196" s="19">
        <f t="shared" si="22"/>
        <v>0</v>
      </c>
      <c r="H196" s="18">
        <f>SUMIFS(线上订单!$F:$F,线上订单!$B:$B,美团日报!$C196)-SUMIFS(线上订单!$F:$F,线上订单!$B:$B,美团日报!$C196,线上订单!$D:$D,"美团")-SUMIFS(线上订单!$F:$F,线上订单!$B:$B,美团日报!$C196,线上订单!$D:$D,"饿了么")</f>
        <v>0</v>
      </c>
      <c r="I196" s="18">
        <f>SUMIFS(线上订单!$F:$F,线上订单!$B:$B,美团日报!$C196)-SUMIFS(线上订单!$F:$F,线上订单!$B:$B,美团日报!$C196,线上订单!$D:$D,"美团")-SUMIFS(线上订单!$F:$F,线上订单!$B:$B,美团日报!$C196,线上订单!$D:$D,"饿了么")</f>
        <v>0</v>
      </c>
      <c r="J196" s="21">
        <f t="shared" si="23"/>
        <v>0</v>
      </c>
      <c r="K196" s="22" t="e">
        <f t="shared" si="18"/>
        <v>#REF!</v>
      </c>
      <c r="L196" s="19" t="e">
        <f>SUMIFS(#REF!,#REF!,美团日报!$C$2,#REF!,"秒达")</f>
        <v>#REF!</v>
      </c>
      <c r="M196" s="23"/>
      <c r="N196" s="23"/>
      <c r="O196" s="22" t="e">
        <f t="shared" si="19"/>
        <v>#REF!</v>
      </c>
      <c r="P196" s="19" t="e">
        <f>SUMIFS(#REF!,#REF!,美团日报!$C196,#REF!,"秒达")</f>
        <v>#REF!</v>
      </c>
      <c r="Q196" s="23"/>
      <c r="R196" s="23"/>
      <c r="S196" s="22" t="e">
        <f t="shared" si="20"/>
        <v>#REF!</v>
      </c>
      <c r="T196" s="19" t="e">
        <f>SUMIFS(#REF!,#REF!,美团日报!$C196,#REF!,"O2O")</f>
        <v>#REF!</v>
      </c>
      <c r="U196" s="22" t="e">
        <f t="shared" si="21"/>
        <v>#REF!</v>
      </c>
      <c r="V196" s="19" t="e">
        <f>SUMIFS(#REF!,#REF!,美团日报!$C196,#REF!,"O2O")</f>
        <v>#REF!</v>
      </c>
      <c r="W196" s="24" t="s">
        <v>19</v>
      </c>
    </row>
    <row r="197" ht="14.4" spans="1:23">
      <c r="A197" s="16" t="s">
        <v>264</v>
      </c>
      <c r="B197" s="16" t="s">
        <v>296</v>
      </c>
      <c r="C197" s="16">
        <v>2215</v>
      </c>
      <c r="D197" s="16" t="s">
        <v>471</v>
      </c>
      <c r="E197" s="18">
        <f>_xlfn.IFNA(VLOOKUP(C:C,线上线下销售!B:D,3,0),0)</f>
        <v>4388.977</v>
      </c>
      <c r="F197" s="18">
        <f>SUMIFS(线上订单!$E:$E,线上订单!$B:$B,美团日报!$C197)-SUMIFS(线上订单!$E:$E,线上订单!$B:$B,美团日报!$C197,线上订单!$D:$D,"美团")-SUMIFS(线上订单!$E:$E,线上订单!$B:$B,美团日报!$C197,线上订单!$D:$D,"饿了么")</f>
        <v>221.25663716814</v>
      </c>
      <c r="G197" s="19">
        <f t="shared" si="22"/>
        <v>0.0504118926046183</v>
      </c>
      <c r="H197" s="18">
        <f>SUMIFS(线上订单!$F:$F,线上订单!$B:$B,美团日报!$C197)-SUMIFS(线上订单!$F:$F,线上订单!$B:$B,美团日报!$C197,线上订单!$D:$D,"美团")-SUMIFS(线上订单!$F:$F,线上订单!$B:$B,美团日报!$C197,线上订单!$D:$D,"饿了么")</f>
        <v>4</v>
      </c>
      <c r="I197" s="18">
        <f>SUMIFS(线上订单!$F:$F,线上订单!$B:$B,美团日报!$C197)-SUMIFS(线上订单!$F:$F,线上订单!$B:$B,美团日报!$C197,线上订单!$D:$D,"美团")-SUMIFS(线上订单!$F:$F,线上订单!$B:$B,美团日报!$C197,线上订单!$D:$D,"饿了么")</f>
        <v>4</v>
      </c>
      <c r="J197" s="21">
        <f t="shared" si="23"/>
        <v>55.314159292035</v>
      </c>
      <c r="K197" s="22" t="e">
        <f t="shared" si="18"/>
        <v>#REF!</v>
      </c>
      <c r="L197" s="19" t="e">
        <f>SUMIFS(#REF!,#REF!,美团日报!$C$2,#REF!,"秒达")</f>
        <v>#REF!</v>
      </c>
      <c r="M197" s="23"/>
      <c r="N197" s="23"/>
      <c r="O197" s="22" t="e">
        <f t="shared" si="19"/>
        <v>#REF!</v>
      </c>
      <c r="P197" s="19" t="e">
        <f>SUMIFS(#REF!,#REF!,美团日报!$C197,#REF!,"秒达")</f>
        <v>#REF!</v>
      </c>
      <c r="Q197" s="23"/>
      <c r="R197" s="23"/>
      <c r="S197" s="22" t="e">
        <f t="shared" si="20"/>
        <v>#REF!</v>
      </c>
      <c r="T197" s="19" t="e">
        <f>SUMIFS(#REF!,#REF!,美团日报!$C197,#REF!,"O2O")</f>
        <v>#REF!</v>
      </c>
      <c r="U197" s="22" t="e">
        <f t="shared" si="21"/>
        <v>#REF!</v>
      </c>
      <c r="V197" s="19" t="e">
        <f>SUMIFS(#REF!,#REF!,美团日报!$C197,#REF!,"O2O")</f>
        <v>#REF!</v>
      </c>
      <c r="W197" s="24" t="s">
        <v>19</v>
      </c>
    </row>
    <row r="198" ht="14.4" spans="1:23">
      <c r="A198" s="16" t="s">
        <v>264</v>
      </c>
      <c r="B198" s="16" t="s">
        <v>304</v>
      </c>
      <c r="C198" s="16">
        <v>2223</v>
      </c>
      <c r="D198" s="16" t="s">
        <v>473</v>
      </c>
      <c r="E198" s="18">
        <f>_xlfn.IFNA(VLOOKUP(C:C,线上线下销售!B:D,3,0),0)</f>
        <v>2775.4281</v>
      </c>
      <c r="F198" s="18">
        <f>SUMIFS(线上订单!$E:$E,线上订单!$B:$B,美团日报!$C198)-SUMIFS(线上订单!$E:$E,线上订单!$B:$B,美团日报!$C198,线上订单!$D:$D,"美团")-SUMIFS(线上订单!$E:$E,线上订单!$B:$B,美团日报!$C198,线上订单!$D:$D,"饿了么")</f>
        <v>0</v>
      </c>
      <c r="G198" s="19">
        <f t="shared" si="22"/>
        <v>0</v>
      </c>
      <c r="H198" s="18">
        <f>SUMIFS(线上订单!$F:$F,线上订单!$B:$B,美团日报!$C198)-SUMIFS(线上订单!$F:$F,线上订单!$B:$B,美团日报!$C198,线上订单!$D:$D,"美团")-SUMIFS(线上订单!$F:$F,线上订单!$B:$B,美团日报!$C198,线上订单!$D:$D,"饿了么")</f>
        <v>0</v>
      </c>
      <c r="I198" s="18">
        <f>SUMIFS(线上订单!$F:$F,线上订单!$B:$B,美团日报!$C198)-SUMIFS(线上订单!$F:$F,线上订单!$B:$B,美团日报!$C198,线上订单!$D:$D,"美团")-SUMIFS(线上订单!$F:$F,线上订单!$B:$B,美团日报!$C198,线上订单!$D:$D,"饿了么")</f>
        <v>0</v>
      </c>
      <c r="J198" s="21">
        <f t="shared" si="23"/>
        <v>0</v>
      </c>
      <c r="K198" s="22" t="e">
        <f t="shared" si="18"/>
        <v>#REF!</v>
      </c>
      <c r="L198" s="19" t="e">
        <f>SUMIFS(#REF!,#REF!,美团日报!$C$2,#REF!,"秒达")</f>
        <v>#REF!</v>
      </c>
      <c r="M198" s="23"/>
      <c r="N198" s="23"/>
      <c r="O198" s="22" t="e">
        <f t="shared" si="19"/>
        <v>#REF!</v>
      </c>
      <c r="P198" s="19" t="e">
        <f>SUMIFS(#REF!,#REF!,美团日报!$C198,#REF!,"秒达")</f>
        <v>#REF!</v>
      </c>
      <c r="Q198" s="23"/>
      <c r="R198" s="23"/>
      <c r="S198" s="22" t="e">
        <f t="shared" si="20"/>
        <v>#REF!</v>
      </c>
      <c r="T198" s="19" t="e">
        <f>SUMIFS(#REF!,#REF!,美团日报!$C198,#REF!,"O2O")</f>
        <v>#REF!</v>
      </c>
      <c r="U198" s="22" t="e">
        <f t="shared" si="21"/>
        <v>#REF!</v>
      </c>
      <c r="V198" s="19" t="e">
        <f>SUMIFS(#REF!,#REF!,美团日报!$C198,#REF!,"O2O")</f>
        <v>#REF!</v>
      </c>
      <c r="W198" s="24" t="s">
        <v>19</v>
      </c>
    </row>
    <row r="199" ht="14.4" spans="1:23">
      <c r="A199" s="16" t="s">
        <v>264</v>
      </c>
      <c r="B199" s="16" t="s">
        <v>370</v>
      </c>
      <c r="C199" s="16">
        <v>2241</v>
      </c>
      <c r="D199" s="16" t="s">
        <v>475</v>
      </c>
      <c r="E199" s="18">
        <f>_xlfn.IFNA(VLOOKUP(C:C,线上线下销售!B:D,3,0),0)</f>
        <v>0</v>
      </c>
      <c r="F199" s="18">
        <f>SUMIFS(线上订单!$E:$E,线上订单!$B:$B,美团日报!$C199)-SUMIFS(线上订单!$E:$E,线上订单!$B:$B,美团日报!$C199,线上订单!$D:$D,"美团")-SUMIFS(线上订单!$E:$E,线上订单!$B:$B,美团日报!$C199,线上订单!$D:$D,"饿了么")</f>
        <v>0</v>
      </c>
      <c r="G199" s="19">
        <f t="shared" si="22"/>
        <v>0</v>
      </c>
      <c r="H199" s="18">
        <f>SUMIFS(线上订单!$F:$F,线上订单!$B:$B,美团日报!$C199)-SUMIFS(线上订单!$F:$F,线上订单!$B:$B,美团日报!$C199,线上订单!$D:$D,"美团")-SUMIFS(线上订单!$F:$F,线上订单!$B:$B,美团日报!$C199,线上订单!$D:$D,"饿了么")</f>
        <v>0</v>
      </c>
      <c r="I199" s="18">
        <f>SUMIFS(线上订单!$F:$F,线上订单!$B:$B,美团日报!$C199)-SUMIFS(线上订单!$F:$F,线上订单!$B:$B,美团日报!$C199,线上订单!$D:$D,"美团")-SUMIFS(线上订单!$F:$F,线上订单!$B:$B,美团日报!$C199,线上订单!$D:$D,"饿了么")</f>
        <v>0</v>
      </c>
      <c r="J199" s="21">
        <f t="shared" si="23"/>
        <v>0</v>
      </c>
      <c r="K199" s="22" t="e">
        <f t="shared" si="18"/>
        <v>#REF!</v>
      </c>
      <c r="L199" s="19" t="e">
        <f>SUMIFS(#REF!,#REF!,美团日报!$C$2,#REF!,"秒达")</f>
        <v>#REF!</v>
      </c>
      <c r="M199" s="23"/>
      <c r="N199" s="23"/>
      <c r="O199" s="22" t="e">
        <f t="shared" si="19"/>
        <v>#REF!</v>
      </c>
      <c r="P199" s="19" t="e">
        <f>SUMIFS(#REF!,#REF!,美团日报!$C199,#REF!,"秒达")</f>
        <v>#REF!</v>
      </c>
      <c r="Q199" s="23"/>
      <c r="R199" s="23"/>
      <c r="S199" s="22" t="e">
        <f t="shared" si="20"/>
        <v>#REF!</v>
      </c>
      <c r="T199" s="19" t="e">
        <f>SUMIFS(#REF!,#REF!,美团日报!$C199,#REF!,"O2O")</f>
        <v>#REF!</v>
      </c>
      <c r="U199" s="22" t="e">
        <f t="shared" si="21"/>
        <v>#REF!</v>
      </c>
      <c r="V199" s="19" t="e">
        <f>SUMIFS(#REF!,#REF!,美团日报!$C199,#REF!,"O2O")</f>
        <v>#REF!</v>
      </c>
      <c r="W199" s="24" t="s">
        <v>19</v>
      </c>
    </row>
    <row r="200" ht="14.4" spans="1:23">
      <c r="A200" s="16" t="s">
        <v>264</v>
      </c>
      <c r="B200" s="16" t="s">
        <v>370</v>
      </c>
      <c r="C200" s="16">
        <v>2244</v>
      </c>
      <c r="D200" s="16" t="s">
        <v>477</v>
      </c>
      <c r="E200" s="18">
        <f>_xlfn.IFNA(VLOOKUP(C:C,线上线下销售!B:D,3,0),0)</f>
        <v>13853.7463</v>
      </c>
      <c r="F200" s="18">
        <f>SUMIFS(线上订单!$E:$E,线上订单!$B:$B,美团日报!$C200)-SUMIFS(线上订单!$E:$E,线上订单!$B:$B,美团日报!$C200,线上订单!$D:$D,"美团")-SUMIFS(线上订单!$E:$E,线上订单!$B:$B,美团日报!$C200,线上订单!$D:$D,"饿了么")</f>
        <v>0</v>
      </c>
      <c r="G200" s="19">
        <f t="shared" si="22"/>
        <v>0</v>
      </c>
      <c r="H200" s="18">
        <f>SUMIFS(线上订单!$F:$F,线上订单!$B:$B,美团日报!$C200)-SUMIFS(线上订单!$F:$F,线上订单!$B:$B,美团日报!$C200,线上订单!$D:$D,"美团")-SUMIFS(线上订单!$F:$F,线上订单!$B:$B,美团日报!$C200,线上订单!$D:$D,"饿了么")</f>
        <v>0</v>
      </c>
      <c r="I200" s="18">
        <f>SUMIFS(线上订单!$F:$F,线上订单!$B:$B,美团日报!$C200)-SUMIFS(线上订单!$F:$F,线上订单!$B:$B,美团日报!$C200,线上订单!$D:$D,"美团")-SUMIFS(线上订单!$F:$F,线上订单!$B:$B,美团日报!$C200,线上订单!$D:$D,"饿了么")</f>
        <v>0</v>
      </c>
      <c r="J200" s="21">
        <f t="shared" si="23"/>
        <v>0</v>
      </c>
      <c r="K200" s="22" t="e">
        <f t="shared" si="18"/>
        <v>#REF!</v>
      </c>
      <c r="L200" s="19" t="e">
        <f>SUMIFS(#REF!,#REF!,美团日报!$C$2,#REF!,"秒达")</f>
        <v>#REF!</v>
      </c>
      <c r="M200" s="23"/>
      <c r="N200" s="23"/>
      <c r="O200" s="22" t="e">
        <f t="shared" si="19"/>
        <v>#REF!</v>
      </c>
      <c r="P200" s="19" t="e">
        <f>SUMIFS(#REF!,#REF!,美团日报!$C200,#REF!,"秒达")</f>
        <v>#REF!</v>
      </c>
      <c r="Q200" s="23"/>
      <c r="R200" s="23"/>
      <c r="S200" s="22" t="e">
        <f t="shared" si="20"/>
        <v>#REF!</v>
      </c>
      <c r="T200" s="19" t="e">
        <f>SUMIFS(#REF!,#REF!,美团日报!$C200,#REF!,"O2O")</f>
        <v>#REF!</v>
      </c>
      <c r="U200" s="22" t="e">
        <f t="shared" si="21"/>
        <v>#REF!</v>
      </c>
      <c r="V200" s="19" t="e">
        <f>SUMIFS(#REF!,#REF!,美团日报!$C200,#REF!,"O2O")</f>
        <v>#REF!</v>
      </c>
      <c r="W200" s="24" t="s">
        <v>19</v>
      </c>
    </row>
    <row r="201" ht="14.4" spans="1:23">
      <c r="A201" s="16" t="s">
        <v>264</v>
      </c>
      <c r="B201" s="16" t="s">
        <v>576</v>
      </c>
      <c r="C201" s="16">
        <v>2278</v>
      </c>
      <c r="D201" s="16" t="s">
        <v>479</v>
      </c>
      <c r="E201" s="18">
        <f>_xlfn.IFNA(VLOOKUP(C:C,线上线下销售!B:D,3,0),0)</f>
        <v>9721.1621</v>
      </c>
      <c r="F201" s="18">
        <f>SUMIFS(线上订单!$E:$E,线上订单!$B:$B,美团日报!$C201)-SUMIFS(线上订单!$E:$E,线上订单!$B:$B,美团日报!$C201,线上订单!$D:$D,"美团")-SUMIFS(线上订单!$E:$E,线上订单!$B:$B,美团日报!$C201,线上订单!$D:$D,"饿了么")</f>
        <v>0</v>
      </c>
      <c r="G201" s="19">
        <f t="shared" si="22"/>
        <v>0</v>
      </c>
      <c r="H201" s="18">
        <f>SUMIFS(线上订单!$F:$F,线上订单!$B:$B,美团日报!$C201)-SUMIFS(线上订单!$F:$F,线上订单!$B:$B,美团日报!$C201,线上订单!$D:$D,"美团")-SUMIFS(线上订单!$F:$F,线上订单!$B:$B,美团日报!$C201,线上订单!$D:$D,"饿了么")</f>
        <v>0</v>
      </c>
      <c r="I201" s="18">
        <f>SUMIFS(线上订单!$F:$F,线上订单!$B:$B,美团日报!$C201)-SUMIFS(线上订单!$F:$F,线上订单!$B:$B,美团日报!$C201,线上订单!$D:$D,"美团")-SUMIFS(线上订单!$F:$F,线上订单!$B:$B,美团日报!$C201,线上订单!$D:$D,"饿了么")</f>
        <v>0</v>
      </c>
      <c r="J201" s="21">
        <f t="shared" si="23"/>
        <v>0</v>
      </c>
      <c r="K201" s="22" t="e">
        <f t="shared" si="18"/>
        <v>#REF!</v>
      </c>
      <c r="L201" s="19" t="e">
        <f>SUMIFS(#REF!,#REF!,美团日报!$C$2,#REF!,"秒达")</f>
        <v>#REF!</v>
      </c>
      <c r="M201" s="23"/>
      <c r="N201" s="23"/>
      <c r="O201" s="22" t="e">
        <f t="shared" si="19"/>
        <v>#REF!</v>
      </c>
      <c r="P201" s="19" t="e">
        <f>SUMIFS(#REF!,#REF!,美团日报!$C201,#REF!,"秒达")</f>
        <v>#REF!</v>
      </c>
      <c r="Q201" s="23"/>
      <c r="R201" s="23"/>
      <c r="S201" s="22" t="e">
        <f t="shared" si="20"/>
        <v>#REF!</v>
      </c>
      <c r="T201" s="19" t="e">
        <f>SUMIFS(#REF!,#REF!,美团日报!$C201,#REF!,"O2O")</f>
        <v>#REF!</v>
      </c>
      <c r="U201" s="22" t="e">
        <f t="shared" si="21"/>
        <v>#REF!</v>
      </c>
      <c r="V201" s="19" t="e">
        <f>SUMIFS(#REF!,#REF!,美团日报!$C201,#REF!,"O2O")</f>
        <v>#REF!</v>
      </c>
      <c r="W201" s="24" t="s">
        <v>19</v>
      </c>
    </row>
    <row r="202" ht="14.4" spans="1:23">
      <c r="A202" s="16" t="s">
        <v>48</v>
      </c>
      <c r="B202" s="16" t="s">
        <v>89</v>
      </c>
      <c r="C202" s="16">
        <v>8747</v>
      </c>
      <c r="D202" s="16" t="s">
        <v>481</v>
      </c>
      <c r="E202" s="18">
        <f>_xlfn.IFNA(VLOOKUP(C:C,线上线下销售!B:D,3,0),0)</f>
        <v>12010.6812</v>
      </c>
      <c r="F202" s="18">
        <f>SUMIFS(线上订单!$E:$E,线上订单!$B:$B,美团日报!$C202)-SUMIFS(线上订单!$E:$E,线上订单!$B:$B,美团日报!$C202,线上订单!$D:$D,"美团")-SUMIFS(线上订单!$E:$E,线上订单!$B:$B,美团日报!$C202,线上订单!$D:$D,"饿了么")</f>
        <v>142.68165949501</v>
      </c>
      <c r="G202" s="19">
        <f t="shared" si="22"/>
        <v>0.0118795642910754</v>
      </c>
      <c r="H202" s="18">
        <f>SUMIFS(线上订单!$F:$F,线上订单!$B:$B,美团日报!$C202)-SUMIFS(线上订单!$F:$F,线上订单!$B:$B,美团日报!$C202,线上订单!$D:$D,"美团")-SUMIFS(线上订单!$F:$F,线上订单!$B:$B,美团日报!$C202,线上订单!$D:$D,"饿了么")</f>
        <v>5</v>
      </c>
      <c r="I202" s="18">
        <f>SUMIFS(线上订单!$F:$F,线上订单!$B:$B,美团日报!$C202)-SUMIFS(线上订单!$F:$F,线上订单!$B:$B,美团日报!$C202,线上订单!$D:$D,"美团")-SUMIFS(线上订单!$F:$F,线上订单!$B:$B,美团日报!$C202,线上订单!$D:$D,"饿了么")</f>
        <v>5</v>
      </c>
      <c r="J202" s="21">
        <f t="shared" si="23"/>
        <v>28.536331899002</v>
      </c>
      <c r="K202" s="22" t="e">
        <f t="shared" si="18"/>
        <v>#REF!</v>
      </c>
      <c r="L202" s="19" t="e">
        <f>SUMIFS(#REF!,#REF!,美团日报!$C$2,#REF!,"秒达")</f>
        <v>#REF!</v>
      </c>
      <c r="M202" s="23"/>
      <c r="N202" s="23"/>
      <c r="O202" s="22" t="e">
        <f t="shared" si="19"/>
        <v>#REF!</v>
      </c>
      <c r="P202" s="19" t="e">
        <f>SUMIFS(#REF!,#REF!,美团日报!$C202,#REF!,"秒达")</f>
        <v>#REF!</v>
      </c>
      <c r="Q202" s="23"/>
      <c r="R202" s="23"/>
      <c r="S202" s="22" t="e">
        <f t="shared" si="20"/>
        <v>#REF!</v>
      </c>
      <c r="T202" s="19" t="e">
        <f>SUMIFS(#REF!,#REF!,美团日报!$C202,#REF!,"O2O")</f>
        <v>#REF!</v>
      </c>
      <c r="U202" s="22" t="e">
        <f t="shared" si="21"/>
        <v>#REF!</v>
      </c>
      <c r="V202" s="19" t="e">
        <f>SUMIFS(#REF!,#REF!,美团日报!$C202,#REF!,"O2O")</f>
        <v>#REF!</v>
      </c>
      <c r="W202" s="24" t="s">
        <v>13</v>
      </c>
    </row>
    <row r="203" ht="14.4" spans="1:23">
      <c r="A203" s="16" t="s">
        <v>43</v>
      </c>
      <c r="B203" s="16" t="s">
        <v>143</v>
      </c>
      <c r="C203" s="16">
        <v>8749</v>
      </c>
      <c r="D203" s="16" t="s">
        <v>483</v>
      </c>
      <c r="E203" s="18">
        <f>_xlfn.IFNA(VLOOKUP(C:C,线上线下销售!B:D,3,0),0)</f>
        <v>2141.2804</v>
      </c>
      <c r="F203" s="18">
        <f>SUMIFS(线上订单!$E:$E,线上订单!$B:$B,美团日报!$C203)-SUMIFS(线上订单!$E:$E,线上订单!$B:$B,美团日报!$C203,线上订单!$D:$D,"美团")-SUMIFS(线上订单!$E:$E,线上订单!$B:$B,美团日报!$C203,线上订单!$D:$D,"饿了么")</f>
        <v>184.15929203539</v>
      </c>
      <c r="G203" s="19">
        <f t="shared" si="22"/>
        <v>0.0860042860502483</v>
      </c>
      <c r="H203" s="18">
        <f>SUMIFS(线上订单!$F:$F,线上订单!$B:$B,美团日报!$C203)-SUMIFS(线上订单!$F:$F,线上订单!$B:$B,美团日报!$C203,线上订单!$D:$D,"美团")-SUMIFS(线上订单!$F:$F,线上订单!$B:$B,美团日报!$C203,线上订单!$D:$D,"饿了么")</f>
        <v>5</v>
      </c>
      <c r="I203" s="18">
        <f>SUMIFS(线上订单!$F:$F,线上订单!$B:$B,美团日报!$C203)-SUMIFS(线上订单!$F:$F,线上订单!$B:$B,美团日报!$C203,线上订单!$D:$D,"美团")-SUMIFS(线上订单!$F:$F,线上订单!$B:$B,美团日报!$C203,线上订单!$D:$D,"饿了么")</f>
        <v>5</v>
      </c>
      <c r="J203" s="21">
        <f t="shared" si="23"/>
        <v>36.831858407078</v>
      </c>
      <c r="K203" s="22" t="e">
        <f t="shared" si="18"/>
        <v>#REF!</v>
      </c>
      <c r="L203" s="19" t="e">
        <f>SUMIFS(#REF!,#REF!,美团日报!$C$2,#REF!,"秒达")</f>
        <v>#REF!</v>
      </c>
      <c r="M203" s="23"/>
      <c r="N203" s="23"/>
      <c r="O203" s="22" t="e">
        <f t="shared" si="19"/>
        <v>#REF!</v>
      </c>
      <c r="P203" s="19" t="e">
        <f>SUMIFS(#REF!,#REF!,美团日报!$C203,#REF!,"秒达")</f>
        <v>#REF!</v>
      </c>
      <c r="Q203" s="23"/>
      <c r="R203" s="23"/>
      <c r="S203" s="22" t="e">
        <f t="shared" si="20"/>
        <v>#REF!</v>
      </c>
      <c r="T203" s="19" t="e">
        <f>SUMIFS(#REF!,#REF!,美团日报!$C203,#REF!,"O2O")</f>
        <v>#REF!</v>
      </c>
      <c r="U203" s="22" t="e">
        <f t="shared" si="21"/>
        <v>#REF!</v>
      </c>
      <c r="V203" s="19" t="e">
        <f>SUMIFS(#REF!,#REF!,美团日报!$C203,#REF!,"O2O")</f>
        <v>#REF!</v>
      </c>
      <c r="W203" s="24" t="s">
        <v>13</v>
      </c>
    </row>
    <row r="204" ht="14.4" spans="1:23">
      <c r="A204" s="16" t="s">
        <v>48</v>
      </c>
      <c r="B204" s="16" t="s">
        <v>49</v>
      </c>
      <c r="C204" s="16">
        <v>8748</v>
      </c>
      <c r="D204" s="16" t="s">
        <v>485</v>
      </c>
      <c r="E204" s="18">
        <f>_xlfn.IFNA(VLOOKUP(C:C,线上线下销售!B:D,3,0),0)</f>
        <v>7281.8675</v>
      </c>
      <c r="F204" s="18">
        <f>SUMIFS(线上订单!$E:$E,线上订单!$B:$B,美团日报!$C204)-SUMIFS(线上订单!$E:$E,线上订单!$B:$B,美团日报!$C204,线上订单!$D:$D,"美团")-SUMIFS(线上订单!$E:$E,线上订单!$B:$B,美团日报!$C204,线上订单!$D:$D,"饿了么")</f>
        <v>270.84070796462</v>
      </c>
      <c r="G204" s="19">
        <f t="shared" si="22"/>
        <v>0.0371938528083105</v>
      </c>
      <c r="H204" s="18">
        <f>SUMIFS(线上订单!$F:$F,线上订单!$B:$B,美团日报!$C204)-SUMIFS(线上订单!$F:$F,线上订单!$B:$B,美团日报!$C204,线上订单!$D:$D,"美团")-SUMIFS(线上订单!$F:$F,线上订单!$B:$B,美团日报!$C204,线上订单!$D:$D,"饿了么")</f>
        <v>14</v>
      </c>
      <c r="I204" s="18">
        <f>SUMIFS(线上订单!$F:$F,线上订单!$B:$B,美团日报!$C204)-SUMIFS(线上订单!$F:$F,线上订单!$B:$B,美团日报!$C204,线上订单!$D:$D,"美团")-SUMIFS(线上订单!$F:$F,线上订单!$B:$B,美团日报!$C204,线上订单!$D:$D,"饿了么")</f>
        <v>14</v>
      </c>
      <c r="J204" s="21">
        <f t="shared" si="23"/>
        <v>19.3457648546157</v>
      </c>
      <c r="K204" s="22" t="e">
        <f t="shared" si="18"/>
        <v>#REF!</v>
      </c>
      <c r="L204" s="19" t="e">
        <f>SUMIFS(#REF!,#REF!,美团日报!$C$2,#REF!,"秒达")</f>
        <v>#REF!</v>
      </c>
      <c r="M204" s="23"/>
      <c r="N204" s="23"/>
      <c r="O204" s="22" t="e">
        <f t="shared" si="19"/>
        <v>#REF!</v>
      </c>
      <c r="P204" s="19" t="e">
        <f>SUMIFS(#REF!,#REF!,美团日报!$C204,#REF!,"秒达")</f>
        <v>#REF!</v>
      </c>
      <c r="Q204" s="23"/>
      <c r="R204" s="23"/>
      <c r="S204" s="22" t="e">
        <f t="shared" si="20"/>
        <v>#REF!</v>
      </c>
      <c r="T204" s="19" t="e">
        <f>SUMIFS(#REF!,#REF!,美团日报!$C204,#REF!,"O2O")</f>
        <v>#REF!</v>
      </c>
      <c r="U204" s="22" t="e">
        <f t="shared" si="21"/>
        <v>#REF!</v>
      </c>
      <c r="V204" s="19" t="e">
        <f>SUMIFS(#REF!,#REF!,美团日报!$C204,#REF!,"O2O")</f>
        <v>#REF!</v>
      </c>
      <c r="W204" s="24" t="s">
        <v>13</v>
      </c>
    </row>
    <row r="205" ht="14.4" spans="1:23">
      <c r="A205" s="16" t="s">
        <v>264</v>
      </c>
      <c r="B205" s="16" t="s">
        <v>304</v>
      </c>
      <c r="C205" s="16">
        <v>8753</v>
      </c>
      <c r="D205" s="16" t="s">
        <v>487</v>
      </c>
      <c r="E205" s="18">
        <f>_xlfn.IFNA(VLOOKUP(C:C,线上线下销售!B:D,3,0),0)</f>
        <v>5915.681</v>
      </c>
      <c r="F205" s="18">
        <f>SUMIFS(线上订单!$E:$E,线上订单!$B:$B,美团日报!$C205)-SUMIFS(线上订单!$E:$E,线上订单!$B:$B,美团日报!$C205,线上订单!$D:$D,"美团")-SUMIFS(线上订单!$E:$E,线上订单!$B:$B,美团日报!$C205,线上订单!$D:$D,"饿了么")</f>
        <v>0</v>
      </c>
      <c r="G205" s="19">
        <f t="shared" si="22"/>
        <v>0</v>
      </c>
      <c r="H205" s="18">
        <f>SUMIFS(线上订单!$F:$F,线上订单!$B:$B,美团日报!$C205)-SUMIFS(线上订单!$F:$F,线上订单!$B:$B,美团日报!$C205,线上订单!$D:$D,"美团")-SUMIFS(线上订单!$F:$F,线上订单!$B:$B,美团日报!$C205,线上订单!$D:$D,"饿了么")</f>
        <v>0</v>
      </c>
      <c r="I205" s="18">
        <f>SUMIFS(线上订单!$F:$F,线上订单!$B:$B,美团日报!$C205)-SUMIFS(线上订单!$F:$F,线上订单!$B:$B,美团日报!$C205,线上订单!$D:$D,"美团")-SUMIFS(线上订单!$F:$F,线上订单!$B:$B,美团日报!$C205,线上订单!$D:$D,"饿了么")</f>
        <v>0</v>
      </c>
      <c r="J205" s="21">
        <f t="shared" si="23"/>
        <v>0</v>
      </c>
      <c r="K205" s="22" t="e">
        <f t="shared" si="18"/>
        <v>#REF!</v>
      </c>
      <c r="L205" s="19" t="e">
        <f>SUMIFS(#REF!,#REF!,美团日报!$C$2,#REF!,"秒达")</f>
        <v>#REF!</v>
      </c>
      <c r="M205" s="23"/>
      <c r="N205" s="23"/>
      <c r="O205" s="22" t="e">
        <f t="shared" si="19"/>
        <v>#REF!</v>
      </c>
      <c r="P205" s="19" t="e">
        <f>SUMIFS(#REF!,#REF!,美团日报!$C205,#REF!,"秒达")</f>
        <v>#REF!</v>
      </c>
      <c r="Q205" s="23"/>
      <c r="R205" s="23"/>
      <c r="S205" s="22" t="e">
        <f t="shared" si="20"/>
        <v>#REF!</v>
      </c>
      <c r="T205" s="19" t="e">
        <f>SUMIFS(#REF!,#REF!,美团日报!$C205,#REF!,"O2O")</f>
        <v>#REF!</v>
      </c>
      <c r="U205" s="22" t="e">
        <f t="shared" si="21"/>
        <v>#REF!</v>
      </c>
      <c r="V205" s="19" t="e">
        <f>SUMIFS(#REF!,#REF!,美团日报!$C205,#REF!,"O2O")</f>
        <v>#REF!</v>
      </c>
      <c r="W205" s="24" t="s">
        <v>13</v>
      </c>
    </row>
    <row r="206" ht="14.4" spans="1:23">
      <c r="A206" s="16" t="s">
        <v>43</v>
      </c>
      <c r="B206" s="16" t="s">
        <v>161</v>
      </c>
      <c r="C206" s="16">
        <v>8755</v>
      </c>
      <c r="D206" s="16" t="s">
        <v>489</v>
      </c>
      <c r="E206" s="18">
        <f>_xlfn.IFNA(VLOOKUP(C:C,线上线下销售!B:D,3,0),0)</f>
        <v>17865.9022</v>
      </c>
      <c r="F206" s="18">
        <f>SUMIFS(线上订单!$E:$E,线上订单!$B:$B,美团日报!$C206)-SUMIFS(线上订单!$E:$E,线上订单!$B:$B,美团日报!$C206,线上订单!$D:$D,"美团")-SUMIFS(线上订单!$E:$E,线上订单!$B:$B,美团日报!$C206,线上订单!$D:$D,"饿了么")</f>
        <v>344.7771372899</v>
      </c>
      <c r="G206" s="19">
        <f t="shared" si="22"/>
        <v>0.0192980535452556</v>
      </c>
      <c r="H206" s="18">
        <f>SUMIFS(线上订单!$F:$F,线上订单!$B:$B,美团日报!$C206)-SUMIFS(线上订单!$F:$F,线上订单!$B:$B,美团日报!$C206,线上订单!$D:$D,"美团")-SUMIFS(线上订单!$F:$F,线上订单!$B:$B,美团日报!$C206,线上订单!$D:$D,"饿了么")</f>
        <v>10</v>
      </c>
      <c r="I206" s="18">
        <f>SUMIFS(线上订单!$F:$F,线上订单!$B:$B,美团日报!$C206)-SUMIFS(线上订单!$F:$F,线上订单!$B:$B,美团日报!$C206,线上订单!$D:$D,"美团")-SUMIFS(线上订单!$F:$F,线上订单!$B:$B,美团日报!$C206,线上订单!$D:$D,"饿了么")</f>
        <v>10</v>
      </c>
      <c r="J206" s="21">
        <f t="shared" si="23"/>
        <v>34.47771372899</v>
      </c>
      <c r="K206" s="22" t="e">
        <f t="shared" si="18"/>
        <v>#REF!</v>
      </c>
      <c r="L206" s="19" t="e">
        <f>SUMIFS(#REF!,#REF!,美团日报!$C$2,#REF!,"秒达")</f>
        <v>#REF!</v>
      </c>
      <c r="M206" s="23"/>
      <c r="N206" s="23"/>
      <c r="O206" s="22" t="e">
        <f t="shared" si="19"/>
        <v>#REF!</v>
      </c>
      <c r="P206" s="19" t="e">
        <f>SUMIFS(#REF!,#REF!,美团日报!$C206,#REF!,"秒达")</f>
        <v>#REF!</v>
      </c>
      <c r="Q206" s="23"/>
      <c r="R206" s="23"/>
      <c r="S206" s="22" t="e">
        <f t="shared" si="20"/>
        <v>#REF!</v>
      </c>
      <c r="T206" s="19" t="e">
        <f>SUMIFS(#REF!,#REF!,美团日报!$C206,#REF!,"O2O")</f>
        <v>#REF!</v>
      </c>
      <c r="U206" s="22" t="e">
        <f t="shared" si="21"/>
        <v>#REF!</v>
      </c>
      <c r="V206" s="19" t="e">
        <f>SUMIFS(#REF!,#REF!,美团日报!$C206,#REF!,"O2O")</f>
        <v>#REF!</v>
      </c>
      <c r="W206" s="24" t="s">
        <v>13</v>
      </c>
    </row>
    <row r="207" ht="14.4" spans="1:23">
      <c r="A207" s="16" t="s">
        <v>63</v>
      </c>
      <c r="B207" s="16" t="s">
        <v>60</v>
      </c>
      <c r="C207" s="16">
        <v>8750</v>
      </c>
      <c r="D207" s="16" t="s">
        <v>491</v>
      </c>
      <c r="E207" s="18">
        <f>_xlfn.IFNA(VLOOKUP(C:C,线上线下销售!B:D,3,0),0)</f>
        <v>7242.8559</v>
      </c>
      <c r="F207" s="18">
        <f>SUMIFS(线上订单!$E:$E,线上订单!$B:$B,美团日报!$C207)-SUMIFS(线上订单!$E:$E,线上订单!$B:$B,美团日报!$C207,线上订单!$D:$D,"美团")-SUMIFS(线上订单!$E:$E,线上订单!$B:$B,美团日报!$C207,线上订单!$D:$D,"饿了么")</f>
        <v>48.1415929203499</v>
      </c>
      <c r="G207" s="19">
        <f t="shared" si="22"/>
        <v>0.00664676939387265</v>
      </c>
      <c r="H207" s="18">
        <f>SUMIFS(线上订单!$F:$F,线上订单!$B:$B,美团日报!$C207)-SUMIFS(线上订单!$F:$F,线上订单!$B:$B,美团日报!$C207,线上订单!$D:$D,"美团")-SUMIFS(线上订单!$F:$F,线上订单!$B:$B,美团日报!$C207,线上订单!$D:$D,"饿了么")</f>
        <v>2</v>
      </c>
      <c r="I207" s="18">
        <f>SUMIFS(线上订单!$F:$F,线上订单!$B:$B,美团日报!$C207)-SUMIFS(线上订单!$F:$F,线上订单!$B:$B,美团日报!$C207,线上订单!$D:$D,"美团")-SUMIFS(线上订单!$F:$F,线上订单!$B:$B,美团日报!$C207,线上订单!$D:$D,"饿了么")</f>
        <v>2</v>
      </c>
      <c r="J207" s="21">
        <f t="shared" si="23"/>
        <v>24.070796460175</v>
      </c>
      <c r="K207" s="22" t="e">
        <f t="shared" si="18"/>
        <v>#REF!</v>
      </c>
      <c r="L207" s="19" t="e">
        <f>SUMIFS(#REF!,#REF!,美团日报!$C$2,#REF!,"秒达")</f>
        <v>#REF!</v>
      </c>
      <c r="M207" s="23"/>
      <c r="N207" s="23"/>
      <c r="O207" s="22" t="e">
        <f t="shared" si="19"/>
        <v>#REF!</v>
      </c>
      <c r="P207" s="19" t="e">
        <f>SUMIFS(#REF!,#REF!,美团日报!$C207,#REF!,"秒达")</f>
        <v>#REF!</v>
      </c>
      <c r="Q207" s="23"/>
      <c r="R207" s="23"/>
      <c r="S207" s="22" t="e">
        <f t="shared" si="20"/>
        <v>#REF!</v>
      </c>
      <c r="T207" s="19" t="e">
        <f>SUMIFS(#REF!,#REF!,美团日报!$C207,#REF!,"O2O")</f>
        <v>#REF!</v>
      </c>
      <c r="U207" s="22" t="e">
        <f t="shared" si="21"/>
        <v>#REF!</v>
      </c>
      <c r="V207" s="19" t="e">
        <f>SUMIFS(#REF!,#REF!,美团日报!$C207,#REF!,"O2O")</f>
        <v>#REF!</v>
      </c>
      <c r="W207" s="24" t="s">
        <v>13</v>
      </c>
    </row>
    <row r="208" ht="14.4" spans="1:23">
      <c r="A208" s="16" t="s">
        <v>56</v>
      </c>
      <c r="B208" s="16" t="s">
        <v>70</v>
      </c>
      <c r="C208" s="16">
        <v>8744</v>
      </c>
      <c r="D208" s="16" t="s">
        <v>493</v>
      </c>
      <c r="E208" s="18">
        <f>_xlfn.IFNA(VLOOKUP(C:C,线上线下销售!B:D,3,0),0)</f>
        <v>5621.8587</v>
      </c>
      <c r="F208" s="18">
        <f>SUMIFS(线上订单!$E:$E,线上订单!$B:$B,美团日报!$C208)-SUMIFS(线上订单!$E:$E,线上订单!$B:$B,美团日报!$C208,线上订单!$D:$D,"美团")-SUMIFS(线上订单!$E:$E,线上订单!$B:$B,美团日报!$C208,线上订单!$D:$D,"饿了么")</f>
        <v>66.37168141592</v>
      </c>
      <c r="G208" s="19">
        <f t="shared" si="22"/>
        <v>0.0118060031312989</v>
      </c>
      <c r="H208" s="18">
        <f>SUMIFS(线上订单!$F:$F,线上订单!$B:$B,美团日报!$C208)-SUMIFS(线上订单!$F:$F,线上订单!$B:$B,美团日报!$C208,线上订单!$D:$D,"美团")-SUMIFS(线上订单!$F:$F,线上订单!$B:$B,美团日报!$C208,线上订单!$D:$D,"饿了么")</f>
        <v>2</v>
      </c>
      <c r="I208" s="18">
        <f>SUMIFS(线上订单!$F:$F,线上订单!$B:$B,美团日报!$C208)-SUMIFS(线上订单!$F:$F,线上订单!$B:$B,美团日报!$C208,线上订单!$D:$D,"美团")-SUMIFS(线上订单!$F:$F,线上订单!$B:$B,美团日报!$C208,线上订单!$D:$D,"饿了么")</f>
        <v>2</v>
      </c>
      <c r="J208" s="21">
        <f t="shared" si="23"/>
        <v>33.18584070796</v>
      </c>
      <c r="K208" s="22" t="e">
        <f t="shared" si="18"/>
        <v>#REF!</v>
      </c>
      <c r="L208" s="19" t="e">
        <f>SUMIFS(#REF!,#REF!,美团日报!$C$2,#REF!,"秒达")</f>
        <v>#REF!</v>
      </c>
      <c r="M208" s="23"/>
      <c r="N208" s="23"/>
      <c r="O208" s="22" t="e">
        <f t="shared" si="19"/>
        <v>#REF!</v>
      </c>
      <c r="P208" s="19" t="e">
        <f>SUMIFS(#REF!,#REF!,美团日报!$C208,#REF!,"秒达")</f>
        <v>#REF!</v>
      </c>
      <c r="Q208" s="23"/>
      <c r="R208" s="23"/>
      <c r="S208" s="22" t="e">
        <f t="shared" si="20"/>
        <v>#REF!</v>
      </c>
      <c r="T208" s="19" t="e">
        <f>SUMIFS(#REF!,#REF!,美团日报!$C208,#REF!,"O2O")</f>
        <v>#REF!</v>
      </c>
      <c r="U208" s="22" t="e">
        <f t="shared" si="21"/>
        <v>#REF!</v>
      </c>
      <c r="V208" s="19" t="e">
        <f>SUMIFS(#REF!,#REF!,美团日报!$C208,#REF!,"O2O")</f>
        <v>#REF!</v>
      </c>
      <c r="W208" s="24" t="s">
        <v>13</v>
      </c>
    </row>
    <row r="209" ht="14.4" spans="1:23">
      <c r="A209" s="16" t="s">
        <v>43</v>
      </c>
      <c r="B209" s="16" t="s">
        <v>131</v>
      </c>
      <c r="C209" s="16">
        <v>8751</v>
      </c>
      <c r="D209" s="16" t="s">
        <v>495</v>
      </c>
      <c r="E209" s="18">
        <f>_xlfn.IFNA(VLOOKUP(C:C,线上线下销售!B:D,3,0),0)</f>
        <v>7464.214</v>
      </c>
      <c r="F209" s="18">
        <f>SUMIFS(线上订单!$E:$E,线上订单!$B:$B,美团日报!$C209)-SUMIFS(线上订单!$E:$E,线上订单!$B:$B,美团日报!$C209,线上订单!$D:$D,"美团")-SUMIFS(线上订单!$E:$E,线上订单!$B:$B,美团日报!$C209,线上订单!$D:$D,"饿了么")</f>
        <v>27.43362831859</v>
      </c>
      <c r="G209" s="19">
        <f t="shared" si="22"/>
        <v>0.00367535393794845</v>
      </c>
      <c r="H209" s="18">
        <f>SUMIFS(线上订单!$F:$F,线上订单!$B:$B,美团日报!$C209)-SUMIFS(线上订单!$F:$F,线上订单!$B:$B,美团日报!$C209,线上订单!$D:$D,"美团")-SUMIFS(线上订单!$F:$F,线上订单!$B:$B,美团日报!$C209,线上订单!$D:$D,"饿了么")</f>
        <v>1</v>
      </c>
      <c r="I209" s="18">
        <f>SUMIFS(线上订单!$F:$F,线上订单!$B:$B,美团日报!$C209)-SUMIFS(线上订单!$F:$F,线上订单!$B:$B,美团日报!$C209,线上订单!$D:$D,"美团")-SUMIFS(线上订单!$F:$F,线上订单!$B:$B,美团日报!$C209,线上订单!$D:$D,"饿了么")</f>
        <v>1</v>
      </c>
      <c r="J209" s="21">
        <f t="shared" si="23"/>
        <v>27.43362831859</v>
      </c>
      <c r="K209" s="22" t="e">
        <f t="shared" si="18"/>
        <v>#REF!</v>
      </c>
      <c r="L209" s="19" t="e">
        <f>SUMIFS(#REF!,#REF!,美团日报!$C$2,#REF!,"秒达")</f>
        <v>#REF!</v>
      </c>
      <c r="M209" s="23"/>
      <c r="N209" s="23"/>
      <c r="O209" s="22" t="e">
        <f t="shared" si="19"/>
        <v>#REF!</v>
      </c>
      <c r="P209" s="19" t="e">
        <f>SUMIFS(#REF!,#REF!,美团日报!$C209,#REF!,"秒达")</f>
        <v>#REF!</v>
      </c>
      <c r="Q209" s="23"/>
      <c r="R209" s="23"/>
      <c r="S209" s="22" t="e">
        <f t="shared" si="20"/>
        <v>#REF!</v>
      </c>
      <c r="T209" s="19" t="e">
        <f>SUMIFS(#REF!,#REF!,美团日报!$C209,#REF!,"O2O")</f>
        <v>#REF!</v>
      </c>
      <c r="U209" s="22" t="e">
        <f t="shared" si="21"/>
        <v>#REF!</v>
      </c>
      <c r="V209" s="19" t="e">
        <f>SUMIFS(#REF!,#REF!,美团日报!$C209,#REF!,"O2O")</f>
        <v>#REF!</v>
      </c>
      <c r="W209" s="24" t="s">
        <v>13</v>
      </c>
    </row>
    <row r="210" ht="14.4" spans="1:23">
      <c r="A210" s="16" t="s">
        <v>48</v>
      </c>
      <c r="B210" s="16" t="s">
        <v>89</v>
      </c>
      <c r="C210" s="16">
        <v>8754</v>
      </c>
      <c r="D210" s="16" t="s">
        <v>497</v>
      </c>
      <c r="E210" s="18">
        <f>_xlfn.IFNA(VLOOKUP(C:C,线上线下销售!B:D,3,0),0)</f>
        <v>8707.4412</v>
      </c>
      <c r="F210" s="18">
        <f>SUMIFS(线上订单!$E:$E,线上订单!$B:$B,美团日报!$C210)-SUMIFS(线上订单!$E:$E,线上订单!$B:$B,美团日报!$C210,线上订单!$D:$D,"美团")-SUMIFS(线上订单!$E:$E,线上订单!$B:$B,美团日报!$C210,线上订单!$D:$D,"饿了么")</f>
        <v>230.99861979372</v>
      </c>
      <c r="G210" s="19">
        <f t="shared" si="22"/>
        <v>0.0265288750722451</v>
      </c>
      <c r="H210" s="18">
        <f>SUMIFS(线上订单!$F:$F,线上订单!$B:$B,美团日报!$C210)-SUMIFS(线上订单!$F:$F,线上订单!$B:$B,美团日报!$C210,线上订单!$D:$D,"美团")-SUMIFS(线上订单!$F:$F,线上订单!$B:$B,美团日报!$C210,线上订单!$D:$D,"饿了么")</f>
        <v>11</v>
      </c>
      <c r="I210" s="18">
        <f>SUMIFS(线上订单!$F:$F,线上订单!$B:$B,美团日报!$C210)-SUMIFS(线上订单!$F:$F,线上订单!$B:$B,美团日报!$C210,线上订单!$D:$D,"美团")-SUMIFS(线上订单!$F:$F,线上订单!$B:$B,美团日报!$C210,线上订单!$D:$D,"饿了么")</f>
        <v>11</v>
      </c>
      <c r="J210" s="21">
        <f t="shared" si="23"/>
        <v>20.9998745267018</v>
      </c>
      <c r="K210" s="22" t="e">
        <f t="shared" si="18"/>
        <v>#REF!</v>
      </c>
      <c r="L210" s="19" t="e">
        <f>SUMIFS(#REF!,#REF!,美团日报!$C$2,#REF!,"秒达")</f>
        <v>#REF!</v>
      </c>
      <c r="M210" s="23"/>
      <c r="N210" s="23"/>
      <c r="O210" s="22" t="e">
        <f t="shared" si="19"/>
        <v>#REF!</v>
      </c>
      <c r="P210" s="19" t="e">
        <f>SUMIFS(#REF!,#REF!,美团日报!$C210,#REF!,"秒达")</f>
        <v>#REF!</v>
      </c>
      <c r="Q210" s="23"/>
      <c r="R210" s="23"/>
      <c r="S210" s="22" t="e">
        <f t="shared" si="20"/>
        <v>#REF!</v>
      </c>
      <c r="T210" s="19" t="e">
        <f>SUMIFS(#REF!,#REF!,美团日报!$C210,#REF!,"O2O")</f>
        <v>#REF!</v>
      </c>
      <c r="U210" s="22" t="e">
        <f t="shared" si="21"/>
        <v>#REF!</v>
      </c>
      <c r="V210" s="19" t="e">
        <f>SUMIFS(#REF!,#REF!,美团日报!$C210,#REF!,"O2O")</f>
        <v>#REF!</v>
      </c>
      <c r="W210" s="24" t="s">
        <v>13</v>
      </c>
    </row>
    <row r="211" ht="14.4" spans="1:23">
      <c r="A211" s="16" t="s">
        <v>63</v>
      </c>
      <c r="B211" s="16" t="s">
        <v>60</v>
      </c>
      <c r="C211" s="16">
        <v>8756</v>
      </c>
      <c r="D211" s="16" t="s">
        <v>499</v>
      </c>
      <c r="E211" s="18">
        <f>_xlfn.IFNA(VLOOKUP(C:C,线上线下销售!B:D,3,0),0)</f>
        <v>7614.8041</v>
      </c>
      <c r="F211" s="18">
        <f>SUMIFS(线上订单!$E:$E,线上订单!$B:$B,美团日报!$C211)-SUMIFS(线上订单!$E:$E,线上订单!$B:$B,美团日报!$C211,线上订单!$D:$D,"美团")-SUMIFS(线上订单!$E:$E,线上订单!$B:$B,美团日报!$C211,线上订单!$D:$D,"饿了么")</f>
        <v>181.32743362832</v>
      </c>
      <c r="G211" s="19">
        <f t="shared" si="22"/>
        <v>0.0238124883118556</v>
      </c>
      <c r="H211" s="18">
        <f>SUMIFS(线上订单!$F:$F,线上订单!$B:$B,美团日报!$C211)-SUMIFS(线上订单!$F:$F,线上订单!$B:$B,美团日报!$C211,线上订单!$D:$D,"美团")-SUMIFS(线上订单!$F:$F,线上订单!$B:$B,美团日报!$C211,线上订单!$D:$D,"饿了么")</f>
        <v>2</v>
      </c>
      <c r="I211" s="18">
        <f>SUMIFS(线上订单!$F:$F,线上订单!$B:$B,美团日报!$C211)-SUMIFS(线上订单!$F:$F,线上订单!$B:$B,美团日报!$C211,线上订单!$D:$D,"美团")-SUMIFS(线上订单!$F:$F,线上订单!$B:$B,美团日报!$C211,线上订单!$D:$D,"饿了么")</f>
        <v>2</v>
      </c>
      <c r="J211" s="21">
        <f t="shared" si="23"/>
        <v>90.6637168141601</v>
      </c>
      <c r="K211" s="22" t="e">
        <f t="shared" si="18"/>
        <v>#REF!</v>
      </c>
      <c r="L211" s="19" t="e">
        <f>SUMIFS(#REF!,#REF!,美团日报!$C$2,#REF!,"秒达")</f>
        <v>#REF!</v>
      </c>
      <c r="M211" s="23"/>
      <c r="N211" s="23"/>
      <c r="O211" s="22" t="e">
        <f t="shared" si="19"/>
        <v>#REF!</v>
      </c>
      <c r="P211" s="19" t="e">
        <f>SUMIFS(#REF!,#REF!,美团日报!$C211,#REF!,"秒达")</f>
        <v>#REF!</v>
      </c>
      <c r="Q211" s="23"/>
      <c r="R211" s="23"/>
      <c r="S211" s="22" t="e">
        <f t="shared" si="20"/>
        <v>#REF!</v>
      </c>
      <c r="T211" s="19" t="e">
        <f>SUMIFS(#REF!,#REF!,美团日报!$C211,#REF!,"O2O")</f>
        <v>#REF!</v>
      </c>
      <c r="U211" s="22" t="e">
        <f t="shared" si="21"/>
        <v>#REF!</v>
      </c>
      <c r="V211" s="19" t="e">
        <f>SUMIFS(#REF!,#REF!,美团日报!$C211,#REF!,"O2O")</f>
        <v>#REF!</v>
      </c>
      <c r="W211" s="24" t="s">
        <v>13</v>
      </c>
    </row>
    <row r="212" ht="14.4" spans="1:23">
      <c r="A212" s="16" t="s">
        <v>264</v>
      </c>
      <c r="B212" s="16" t="s">
        <v>359</v>
      </c>
      <c r="C212" s="16">
        <v>8758</v>
      </c>
      <c r="D212" s="16" t="s">
        <v>501</v>
      </c>
      <c r="E212" s="18">
        <f>_xlfn.IFNA(VLOOKUP(C:C,线上线下销售!B:D,3,0),0)</f>
        <v>855.3635</v>
      </c>
      <c r="F212" s="18">
        <f>SUMIFS(线上订单!$E:$E,线上订单!$B:$B,美团日报!$C212)-SUMIFS(线上订单!$E:$E,线上订单!$B:$B,美团日报!$C212,线上订单!$D:$D,"美团")-SUMIFS(线上订单!$E:$E,线上订单!$B:$B,美团日报!$C212,线上订单!$D:$D,"饿了么")</f>
        <v>0</v>
      </c>
      <c r="G212" s="19">
        <f t="shared" si="22"/>
        <v>0</v>
      </c>
      <c r="H212" s="18">
        <f>SUMIFS(线上订单!$F:$F,线上订单!$B:$B,美团日报!$C212)-SUMIFS(线上订单!$F:$F,线上订单!$B:$B,美团日报!$C212,线上订单!$D:$D,"美团")-SUMIFS(线上订单!$F:$F,线上订单!$B:$B,美团日报!$C212,线上订单!$D:$D,"饿了么")</f>
        <v>0</v>
      </c>
      <c r="I212" s="18">
        <f>SUMIFS(线上订单!$F:$F,线上订单!$B:$B,美团日报!$C212)-SUMIFS(线上订单!$F:$F,线上订单!$B:$B,美团日报!$C212,线上订单!$D:$D,"美团")-SUMIFS(线上订单!$F:$F,线上订单!$B:$B,美团日报!$C212,线上订单!$D:$D,"饿了么")</f>
        <v>0</v>
      </c>
      <c r="J212" s="21">
        <f t="shared" si="23"/>
        <v>0</v>
      </c>
      <c r="K212" s="22" t="e">
        <f t="shared" si="18"/>
        <v>#REF!</v>
      </c>
      <c r="L212" s="19" t="e">
        <f>SUMIFS(#REF!,#REF!,美团日报!$C$2,#REF!,"秒达")</f>
        <v>#REF!</v>
      </c>
      <c r="M212" s="23"/>
      <c r="N212" s="23"/>
      <c r="O212" s="22" t="e">
        <f t="shared" si="19"/>
        <v>#REF!</v>
      </c>
      <c r="P212" s="19" t="e">
        <f>SUMIFS(#REF!,#REF!,美团日报!$C212,#REF!,"秒达")</f>
        <v>#REF!</v>
      </c>
      <c r="Q212" s="23"/>
      <c r="R212" s="23"/>
      <c r="S212" s="22" t="e">
        <f t="shared" si="20"/>
        <v>#REF!</v>
      </c>
      <c r="T212" s="19" t="e">
        <f>SUMIFS(#REF!,#REF!,美团日报!$C212,#REF!,"O2O")</f>
        <v>#REF!</v>
      </c>
      <c r="U212" s="22" t="e">
        <f t="shared" si="21"/>
        <v>#REF!</v>
      </c>
      <c r="V212" s="19" t="e">
        <f>SUMIFS(#REF!,#REF!,美团日报!$C212,#REF!,"O2O")</f>
        <v>#REF!</v>
      </c>
      <c r="W212" s="24" t="s">
        <v>13</v>
      </c>
    </row>
    <row r="213" ht="14.4" spans="1:23">
      <c r="A213" s="16" t="s">
        <v>264</v>
      </c>
      <c r="B213" s="16" t="s">
        <v>261</v>
      </c>
      <c r="C213" s="16">
        <v>8759</v>
      </c>
      <c r="D213" s="16" t="s">
        <v>503</v>
      </c>
      <c r="E213" s="18">
        <f>_xlfn.IFNA(VLOOKUP(C:C,线上线下销售!B:D,3,0),0)</f>
        <v>120.7078</v>
      </c>
      <c r="F213" s="18">
        <f>SUMIFS(线上订单!$E:$E,线上订单!$B:$B,美团日报!$C213)-SUMIFS(线上订单!$E:$E,线上订单!$B:$B,美团日报!$C213,线上订单!$D:$D,"美团")-SUMIFS(线上订单!$E:$E,线上订单!$B:$B,美团日报!$C213,线上订单!$D:$D,"饿了么")</f>
        <v>0</v>
      </c>
      <c r="G213" s="19">
        <f t="shared" si="22"/>
        <v>0</v>
      </c>
      <c r="H213" s="18">
        <f>SUMIFS(线上订单!$F:$F,线上订单!$B:$B,美团日报!$C213)-SUMIFS(线上订单!$F:$F,线上订单!$B:$B,美团日报!$C213,线上订单!$D:$D,"美团")-SUMIFS(线上订单!$F:$F,线上订单!$B:$B,美团日报!$C213,线上订单!$D:$D,"饿了么")</f>
        <v>0</v>
      </c>
      <c r="I213" s="18">
        <f>SUMIFS(线上订单!$F:$F,线上订单!$B:$B,美团日报!$C213)-SUMIFS(线上订单!$F:$F,线上订单!$B:$B,美团日报!$C213,线上订单!$D:$D,"美团")-SUMIFS(线上订单!$F:$F,线上订单!$B:$B,美团日报!$C213,线上订单!$D:$D,"饿了么")</f>
        <v>0</v>
      </c>
      <c r="J213" s="21">
        <f t="shared" si="23"/>
        <v>0</v>
      </c>
      <c r="K213" s="22" t="e">
        <f t="shared" si="18"/>
        <v>#REF!</v>
      </c>
      <c r="L213" s="19" t="e">
        <f>SUMIFS(#REF!,#REF!,美团日报!$C$2,#REF!,"秒达")</f>
        <v>#REF!</v>
      </c>
      <c r="M213" s="23"/>
      <c r="N213" s="23"/>
      <c r="O213" s="22" t="e">
        <f t="shared" si="19"/>
        <v>#REF!</v>
      </c>
      <c r="P213" s="19" t="e">
        <f>SUMIFS(#REF!,#REF!,美团日报!$C213,#REF!,"秒达")</f>
        <v>#REF!</v>
      </c>
      <c r="Q213" s="23"/>
      <c r="R213" s="23"/>
      <c r="S213" s="22" t="e">
        <f t="shared" si="20"/>
        <v>#REF!</v>
      </c>
      <c r="T213" s="19" t="e">
        <f>SUMIFS(#REF!,#REF!,美团日报!$C213,#REF!,"O2O")</f>
        <v>#REF!</v>
      </c>
      <c r="U213" s="22" t="e">
        <f t="shared" si="21"/>
        <v>#REF!</v>
      </c>
      <c r="V213" s="19" t="e">
        <f>SUMIFS(#REF!,#REF!,美团日报!$C213,#REF!,"O2O")</f>
        <v>#REF!</v>
      </c>
      <c r="W213" s="24" t="s">
        <v>13</v>
      </c>
    </row>
    <row r="214" ht="14.4" spans="1:23">
      <c r="A214" s="16" t="s">
        <v>264</v>
      </c>
      <c r="B214" s="16" t="s">
        <v>261</v>
      </c>
      <c r="C214" s="16">
        <v>8760</v>
      </c>
      <c r="D214" s="16" t="s">
        <v>505</v>
      </c>
      <c r="E214" s="18">
        <f>_xlfn.IFNA(VLOOKUP(C:C,线上线下销售!B:D,3,0),0)</f>
        <v>11283.0733</v>
      </c>
      <c r="F214" s="18">
        <f>SUMIFS(线上订单!$E:$E,线上订单!$B:$B,美团日报!$C214)-SUMIFS(线上订单!$E:$E,线上订单!$B:$B,美团日报!$C214,线上订单!$D:$D,"美团")-SUMIFS(线上订单!$E:$E,线上订单!$B:$B,美团日报!$C214,线上订单!$D:$D,"饿了么")</f>
        <v>0</v>
      </c>
      <c r="G214" s="19">
        <f t="shared" si="22"/>
        <v>0</v>
      </c>
      <c r="H214" s="18">
        <f>SUMIFS(线上订单!$F:$F,线上订单!$B:$B,美团日报!$C214)-SUMIFS(线上订单!$F:$F,线上订单!$B:$B,美团日报!$C214,线上订单!$D:$D,"美团")-SUMIFS(线上订单!$F:$F,线上订单!$B:$B,美团日报!$C214,线上订单!$D:$D,"饿了么")</f>
        <v>0</v>
      </c>
      <c r="I214" s="18">
        <f>SUMIFS(线上订单!$F:$F,线上订单!$B:$B,美团日报!$C214)-SUMIFS(线上订单!$F:$F,线上订单!$B:$B,美团日报!$C214,线上订单!$D:$D,"美团")-SUMIFS(线上订单!$F:$F,线上订单!$B:$B,美团日报!$C214,线上订单!$D:$D,"饿了么")</f>
        <v>0</v>
      </c>
      <c r="J214" s="21">
        <f t="shared" si="23"/>
        <v>0</v>
      </c>
      <c r="K214" s="22" t="e">
        <f t="shared" si="18"/>
        <v>#REF!</v>
      </c>
      <c r="L214" s="19" t="e">
        <f>SUMIFS(#REF!,#REF!,美团日报!$C$2,#REF!,"秒达")</f>
        <v>#REF!</v>
      </c>
      <c r="M214" s="23"/>
      <c r="N214" s="23"/>
      <c r="O214" s="22" t="e">
        <f t="shared" si="19"/>
        <v>#REF!</v>
      </c>
      <c r="P214" s="19" t="e">
        <f>SUMIFS(#REF!,#REF!,美团日报!$C214,#REF!,"秒达")</f>
        <v>#REF!</v>
      </c>
      <c r="Q214" s="23"/>
      <c r="R214" s="23"/>
      <c r="S214" s="22" t="e">
        <f t="shared" si="20"/>
        <v>#REF!</v>
      </c>
      <c r="T214" s="19" t="e">
        <f>SUMIFS(#REF!,#REF!,美团日报!$C214,#REF!,"O2O")</f>
        <v>#REF!</v>
      </c>
      <c r="U214" s="22" t="e">
        <f t="shared" si="21"/>
        <v>#REF!</v>
      </c>
      <c r="V214" s="19" t="e">
        <f>SUMIFS(#REF!,#REF!,美团日报!$C214,#REF!,"O2O")</f>
        <v>#REF!</v>
      </c>
      <c r="W214" s="24" t="s">
        <v>13</v>
      </c>
    </row>
    <row r="215" ht="14.4" spans="1:23">
      <c r="A215" s="16" t="s">
        <v>264</v>
      </c>
      <c r="B215" s="16" t="s">
        <v>401</v>
      </c>
      <c r="C215" s="16">
        <v>8761</v>
      </c>
      <c r="D215" s="16" t="s">
        <v>507</v>
      </c>
      <c r="E215" s="18">
        <f>_xlfn.IFNA(VLOOKUP(C:C,线上线下销售!B:D,3,0),0)</f>
        <v>2974.729</v>
      </c>
      <c r="F215" s="18">
        <f>SUMIFS(线上订单!$E:$E,线上订单!$B:$B,美团日报!$C215)-SUMIFS(线上订单!$E:$E,线上订单!$B:$B,美团日报!$C215,线上订单!$D:$D,"美团")-SUMIFS(线上订单!$E:$E,线上订单!$B:$B,美团日报!$C215,线上订单!$D:$D,"饿了么")</f>
        <v>0</v>
      </c>
      <c r="G215" s="19">
        <f t="shared" si="22"/>
        <v>0</v>
      </c>
      <c r="H215" s="18">
        <f>SUMIFS(线上订单!$F:$F,线上订单!$B:$B,美团日报!$C215)-SUMIFS(线上订单!$F:$F,线上订单!$B:$B,美团日报!$C215,线上订单!$D:$D,"美团")-SUMIFS(线上订单!$F:$F,线上订单!$B:$B,美团日报!$C215,线上订单!$D:$D,"饿了么")</f>
        <v>0</v>
      </c>
      <c r="I215" s="18">
        <f>SUMIFS(线上订单!$F:$F,线上订单!$B:$B,美团日报!$C215)-SUMIFS(线上订单!$F:$F,线上订单!$B:$B,美团日报!$C215,线上订单!$D:$D,"美团")-SUMIFS(线上订单!$F:$F,线上订单!$B:$B,美团日报!$C215,线上订单!$D:$D,"饿了么")</f>
        <v>0</v>
      </c>
      <c r="J215" s="21">
        <f t="shared" si="23"/>
        <v>0</v>
      </c>
      <c r="K215" s="22" t="e">
        <f t="shared" si="18"/>
        <v>#REF!</v>
      </c>
      <c r="L215" s="19" t="e">
        <f>SUMIFS(#REF!,#REF!,美团日报!$C$2,#REF!,"秒达")</f>
        <v>#REF!</v>
      </c>
      <c r="M215" s="23"/>
      <c r="N215" s="23"/>
      <c r="O215" s="22" t="e">
        <f t="shared" si="19"/>
        <v>#REF!</v>
      </c>
      <c r="P215" s="19" t="e">
        <f>SUMIFS(#REF!,#REF!,美团日报!$C215,#REF!,"秒达")</f>
        <v>#REF!</v>
      </c>
      <c r="Q215" s="23"/>
      <c r="R215" s="23"/>
      <c r="S215" s="22" t="e">
        <f t="shared" si="20"/>
        <v>#REF!</v>
      </c>
      <c r="T215" s="19" t="e">
        <f>SUMIFS(#REF!,#REF!,美团日报!$C215,#REF!,"O2O")</f>
        <v>#REF!</v>
      </c>
      <c r="U215" s="22" t="e">
        <f t="shared" si="21"/>
        <v>#REF!</v>
      </c>
      <c r="V215" s="19" t="e">
        <f>SUMIFS(#REF!,#REF!,美团日报!$C215,#REF!,"O2O")</f>
        <v>#REF!</v>
      </c>
      <c r="W215" s="24" t="s">
        <v>13</v>
      </c>
    </row>
    <row r="216" ht="14.4" spans="1:23">
      <c r="A216" s="16" t="s">
        <v>48</v>
      </c>
      <c r="B216" s="16" t="s">
        <v>111</v>
      </c>
      <c r="C216" s="16">
        <v>8764</v>
      </c>
      <c r="D216" s="16" t="s">
        <v>509</v>
      </c>
      <c r="E216" s="18">
        <f>_xlfn.IFNA(VLOOKUP(C:C,线上线下销售!B:D,3,0),0)</f>
        <v>12454.5095</v>
      </c>
      <c r="F216" s="18">
        <f>SUMIFS(线上订单!$E:$E,线上订单!$B:$B,美团日报!$C216)-SUMIFS(线上订单!$E:$E,线上订单!$B:$B,美团日报!$C216,线上订单!$D:$D,"美团")-SUMIFS(线上订单!$E:$E,线上订单!$B:$B,美团日报!$C216,线上订单!$D:$D,"饿了么")</f>
        <v>0</v>
      </c>
      <c r="G216" s="19">
        <f t="shared" si="22"/>
        <v>0</v>
      </c>
      <c r="H216" s="18">
        <f>SUMIFS(线上订单!$F:$F,线上订单!$B:$B,美团日报!$C216)-SUMIFS(线上订单!$F:$F,线上订单!$B:$B,美团日报!$C216,线上订单!$D:$D,"美团")-SUMIFS(线上订单!$F:$F,线上订单!$B:$B,美团日报!$C216,线上订单!$D:$D,"饿了么")</f>
        <v>0</v>
      </c>
      <c r="I216" s="18">
        <f>SUMIFS(线上订单!$F:$F,线上订单!$B:$B,美团日报!$C216)-SUMIFS(线上订单!$F:$F,线上订单!$B:$B,美团日报!$C216,线上订单!$D:$D,"美团")-SUMIFS(线上订单!$F:$F,线上订单!$B:$B,美团日报!$C216,线上订单!$D:$D,"饿了么")</f>
        <v>0</v>
      </c>
      <c r="J216" s="21">
        <f t="shared" si="23"/>
        <v>0</v>
      </c>
      <c r="K216" s="22" t="e">
        <f t="shared" si="18"/>
        <v>#REF!</v>
      </c>
      <c r="L216" s="19" t="e">
        <f>SUMIFS(#REF!,#REF!,美团日报!$C$2,#REF!,"秒达")</f>
        <v>#REF!</v>
      </c>
      <c r="M216" s="23"/>
      <c r="N216" s="23"/>
      <c r="O216" s="22" t="e">
        <f t="shared" si="19"/>
        <v>#REF!</v>
      </c>
      <c r="P216" s="19" t="e">
        <f>SUMIFS(#REF!,#REF!,美团日报!$C216,#REF!,"秒达")</f>
        <v>#REF!</v>
      </c>
      <c r="Q216" s="23"/>
      <c r="R216" s="23"/>
      <c r="S216" s="22" t="e">
        <f t="shared" si="20"/>
        <v>#REF!</v>
      </c>
      <c r="T216" s="19" t="e">
        <f>SUMIFS(#REF!,#REF!,美团日报!$C216,#REF!,"O2O")</f>
        <v>#REF!</v>
      </c>
      <c r="U216" s="22" t="e">
        <f t="shared" si="21"/>
        <v>#REF!</v>
      </c>
      <c r="V216" s="19" t="e">
        <f>SUMIFS(#REF!,#REF!,美团日报!$C216,#REF!,"O2O")</f>
        <v>#REF!</v>
      </c>
      <c r="W216" s="24" t="s">
        <v>13</v>
      </c>
    </row>
    <row r="217" ht="14.4" spans="1:23">
      <c r="A217" s="16" t="s">
        <v>43</v>
      </c>
      <c r="B217" s="16" t="s">
        <v>38</v>
      </c>
      <c r="C217" s="16">
        <v>8763</v>
      </c>
      <c r="D217" s="16" t="s">
        <v>510</v>
      </c>
      <c r="E217" s="18">
        <f>_xlfn.IFNA(VLOOKUP(C:C,线上线下销售!B:D,3,0),0)</f>
        <v>1327.6932</v>
      </c>
      <c r="F217" s="18">
        <f>SUMIFS(线上订单!$E:$E,线上订单!$B:$B,美团日报!$C217)-SUMIFS(线上订单!$E:$E,线上订单!$B:$B,美团日报!$C217,线上订单!$D:$D,"美团")-SUMIFS(线上订单!$E:$E,线上订单!$B:$B,美团日报!$C217,线上订单!$D:$D,"饿了么")</f>
        <v>0</v>
      </c>
      <c r="G217" s="19">
        <f t="shared" si="22"/>
        <v>0</v>
      </c>
      <c r="H217" s="18">
        <f>SUMIFS(线上订单!$F:$F,线上订单!$B:$B,美团日报!$C217)-SUMIFS(线上订单!$F:$F,线上订单!$B:$B,美团日报!$C217,线上订单!$D:$D,"美团")-SUMIFS(线上订单!$F:$F,线上订单!$B:$B,美团日报!$C217,线上订单!$D:$D,"饿了么")</f>
        <v>0</v>
      </c>
      <c r="I217" s="18">
        <f>SUMIFS(线上订单!$F:$F,线上订单!$B:$B,美团日报!$C217)-SUMIFS(线上订单!$F:$F,线上订单!$B:$B,美团日报!$C217,线上订单!$D:$D,"美团")-SUMIFS(线上订单!$F:$F,线上订单!$B:$B,美团日报!$C217,线上订单!$D:$D,"饿了么")</f>
        <v>0</v>
      </c>
      <c r="J217" s="21">
        <f t="shared" si="23"/>
        <v>0</v>
      </c>
      <c r="K217" s="22" t="e">
        <f t="shared" si="18"/>
        <v>#REF!</v>
      </c>
      <c r="L217" s="19" t="e">
        <f>SUMIFS(#REF!,#REF!,美团日报!$C$2,#REF!,"秒达")</f>
        <v>#REF!</v>
      </c>
      <c r="M217" s="23"/>
      <c r="N217" s="23"/>
      <c r="O217" s="22" t="e">
        <f t="shared" si="19"/>
        <v>#REF!</v>
      </c>
      <c r="P217" s="19" t="e">
        <f>SUMIFS(#REF!,#REF!,美团日报!$C217,#REF!,"秒达")</f>
        <v>#REF!</v>
      </c>
      <c r="Q217" s="23"/>
      <c r="R217" s="23"/>
      <c r="S217" s="22" t="e">
        <f t="shared" si="20"/>
        <v>#REF!</v>
      </c>
      <c r="T217" s="19" t="e">
        <f>SUMIFS(#REF!,#REF!,美团日报!$C217,#REF!,"O2O")</f>
        <v>#REF!</v>
      </c>
      <c r="U217" s="22" t="e">
        <f t="shared" si="21"/>
        <v>#REF!</v>
      </c>
      <c r="V217" s="19" t="e">
        <f>SUMIFS(#REF!,#REF!,美团日报!$C217,#REF!,"O2O")</f>
        <v>#REF!</v>
      </c>
      <c r="W217" s="24" t="s">
        <v>13</v>
      </c>
    </row>
    <row r="218" ht="14.4" spans="1:23">
      <c r="A218" s="16" t="s">
        <v>264</v>
      </c>
      <c r="B218" s="16" t="s">
        <v>401</v>
      </c>
      <c r="C218" s="16">
        <v>8767</v>
      </c>
      <c r="D218" s="16" t="s">
        <v>511</v>
      </c>
      <c r="E218" s="18">
        <f>_xlfn.IFNA(VLOOKUP(C:C,线上线下销售!B:D,3,0),0)</f>
        <v>51490.8945</v>
      </c>
      <c r="F218" s="18">
        <f>SUMIFS(线上订单!$E:$E,线上订单!$B:$B,美团日报!$C218)-SUMIFS(线上订单!$E:$E,线上订单!$B:$B,美团日报!$C218,线上订单!$D:$D,"美团")-SUMIFS(线上订单!$E:$E,线上订单!$B:$B,美团日报!$C218,线上订单!$D:$D,"饿了么")</f>
        <v>1340.45960867113</v>
      </c>
      <c r="G218" s="19">
        <f t="shared" si="22"/>
        <v>0.0260329446922141</v>
      </c>
      <c r="H218" s="18">
        <f>SUMIFS(线上订单!$F:$F,线上订单!$B:$B,美团日报!$C218)-SUMIFS(线上订单!$F:$F,线上订单!$B:$B,美团日报!$C218,线上订单!$D:$D,"美团")-SUMIFS(线上订单!$F:$F,线上订单!$B:$B,美团日报!$C218,线上订单!$D:$D,"饿了么")</f>
        <v>40</v>
      </c>
      <c r="I218" s="18">
        <f>SUMIFS(线上订单!$F:$F,线上订单!$B:$B,美团日报!$C218)-SUMIFS(线上订单!$F:$F,线上订单!$B:$B,美团日报!$C218,线上订单!$D:$D,"美团")-SUMIFS(线上订单!$F:$F,线上订单!$B:$B,美团日报!$C218,线上订单!$D:$D,"饿了么")</f>
        <v>40</v>
      </c>
      <c r="J218" s="21">
        <f t="shared" si="23"/>
        <v>33.5114902167782</v>
      </c>
      <c r="K218" s="22" t="e">
        <f t="shared" si="18"/>
        <v>#REF!</v>
      </c>
      <c r="L218" s="19" t="e">
        <f>SUMIFS(#REF!,#REF!,美团日报!$C$2,#REF!,"秒达")</f>
        <v>#REF!</v>
      </c>
      <c r="M218" s="23"/>
      <c r="N218" s="23"/>
      <c r="O218" s="22" t="e">
        <f t="shared" si="19"/>
        <v>#REF!</v>
      </c>
      <c r="P218" s="19" t="e">
        <f>SUMIFS(#REF!,#REF!,美团日报!$C218,#REF!,"秒达")</f>
        <v>#REF!</v>
      </c>
      <c r="Q218" s="23"/>
      <c r="R218" s="23"/>
      <c r="S218" s="22" t="e">
        <f t="shared" si="20"/>
        <v>#REF!</v>
      </c>
      <c r="T218" s="19" t="e">
        <f>SUMIFS(#REF!,#REF!,美团日报!$C218,#REF!,"O2O")</f>
        <v>#REF!</v>
      </c>
      <c r="U218" s="22" t="e">
        <f t="shared" si="21"/>
        <v>#REF!</v>
      </c>
      <c r="V218" s="19" t="e">
        <f>SUMIFS(#REF!,#REF!,美团日报!$C218,#REF!,"O2O")</f>
        <v>#REF!</v>
      </c>
      <c r="W218" s="24" t="s">
        <v>13</v>
      </c>
    </row>
    <row r="219" ht="14.4" spans="1:23">
      <c r="A219" s="16" t="s">
        <v>48</v>
      </c>
      <c r="B219" s="16"/>
      <c r="C219" s="16">
        <v>8762</v>
      </c>
      <c r="D219" s="16" t="s">
        <v>512</v>
      </c>
      <c r="E219" s="18">
        <f>_xlfn.IFNA(VLOOKUP(C:C,线上线下销售!B:D,3,0),0)</f>
        <v>3111.6859</v>
      </c>
      <c r="F219" s="18">
        <f>SUMIFS(线上订单!$E:$E,线上订单!$B:$B,美团日报!$C219)-SUMIFS(线上订单!$E:$E,线上订单!$B:$B,美团日报!$C219,线上订单!$D:$D,"美团")-SUMIFS(线上订单!$E:$E,线上订单!$B:$B,美团日报!$C219,线上订单!$D:$D,"饿了么")</f>
        <v>0</v>
      </c>
      <c r="G219" s="19">
        <f t="shared" si="22"/>
        <v>0</v>
      </c>
      <c r="H219" s="18">
        <f>SUMIFS(线上订单!$F:$F,线上订单!$B:$B,美团日报!$C219)-SUMIFS(线上订单!$F:$F,线上订单!$B:$B,美团日报!$C219,线上订单!$D:$D,"美团")-SUMIFS(线上订单!$F:$F,线上订单!$B:$B,美团日报!$C219,线上订单!$D:$D,"饿了么")</f>
        <v>0</v>
      </c>
      <c r="I219" s="18">
        <f>SUMIFS(线上订单!$F:$F,线上订单!$B:$B,美团日报!$C219)-SUMIFS(线上订单!$F:$F,线上订单!$B:$B,美团日报!$C219,线上订单!$D:$D,"美团")-SUMIFS(线上订单!$F:$F,线上订单!$B:$B,美团日报!$C219,线上订单!$D:$D,"饿了么")</f>
        <v>0</v>
      </c>
      <c r="J219" s="21">
        <f t="shared" si="23"/>
        <v>0</v>
      </c>
      <c r="K219" s="22" t="e">
        <f t="shared" si="18"/>
        <v>#REF!</v>
      </c>
      <c r="L219" s="19" t="e">
        <f>SUMIFS(#REF!,#REF!,美团日报!$C$2,#REF!,"秒达")</f>
        <v>#REF!</v>
      </c>
      <c r="M219" s="23"/>
      <c r="N219" s="23"/>
      <c r="O219" s="22" t="e">
        <f t="shared" si="19"/>
        <v>#REF!</v>
      </c>
      <c r="P219" s="19" t="e">
        <f>SUMIFS(#REF!,#REF!,美团日报!$C219,#REF!,"秒达")</f>
        <v>#REF!</v>
      </c>
      <c r="Q219" s="23"/>
      <c r="R219" s="23"/>
      <c r="S219" s="22" t="e">
        <f t="shared" si="20"/>
        <v>#REF!</v>
      </c>
      <c r="T219" s="19" t="e">
        <f>SUMIFS(#REF!,#REF!,美团日报!$C219,#REF!,"O2O")</f>
        <v>#REF!</v>
      </c>
      <c r="U219" s="22" t="e">
        <f t="shared" si="21"/>
        <v>#REF!</v>
      </c>
      <c r="V219" s="19" t="e">
        <f>SUMIFS(#REF!,#REF!,美团日报!$C219,#REF!,"O2O")</f>
        <v>#REF!</v>
      </c>
      <c r="W219" s="24" t="s">
        <v>13</v>
      </c>
    </row>
    <row r="220" ht="14.4" spans="1:23">
      <c r="A220" s="16" t="s">
        <v>48</v>
      </c>
      <c r="B220" s="16" t="s">
        <v>49</v>
      </c>
      <c r="C220" s="16">
        <v>8699</v>
      </c>
      <c r="D220" s="16" t="s">
        <v>513</v>
      </c>
      <c r="E220" s="18">
        <f>_xlfn.IFNA(VLOOKUP(C:C,线上线下销售!B:D,3,0),0)</f>
        <v>0</v>
      </c>
      <c r="F220" s="18">
        <f>SUMIFS(线上订单!$E:$E,线上订单!$B:$B,美团日报!$C220)-SUMIFS(线上订单!$E:$E,线上订单!$B:$B,美团日报!$C220,线上订单!$D:$D,"美团")-SUMIFS(线上订单!$E:$E,线上订单!$B:$B,美团日报!$C220,线上订单!$D:$D,"饿了么")</f>
        <v>0</v>
      </c>
      <c r="G220" s="19">
        <f t="shared" si="22"/>
        <v>0</v>
      </c>
      <c r="H220" s="18">
        <f>SUMIFS(线上订单!$F:$F,线上订单!$B:$B,美团日报!$C220)-SUMIFS(线上订单!$F:$F,线上订单!$B:$B,美团日报!$C220,线上订单!$D:$D,"美团")-SUMIFS(线上订单!$F:$F,线上订单!$B:$B,美团日报!$C220,线上订单!$D:$D,"饿了么")</f>
        <v>0</v>
      </c>
      <c r="I220" s="18">
        <f>SUMIFS(线上订单!$F:$F,线上订单!$B:$B,美团日报!$C220)-SUMIFS(线上订单!$F:$F,线上订单!$B:$B,美团日报!$C220,线上订单!$D:$D,"美团")-SUMIFS(线上订单!$F:$F,线上订单!$B:$B,美团日报!$C220,线上订单!$D:$D,"饿了么")</f>
        <v>0</v>
      </c>
      <c r="J220" s="21">
        <f t="shared" si="23"/>
        <v>0</v>
      </c>
      <c r="K220" s="22" t="e">
        <f t="shared" si="18"/>
        <v>#REF!</v>
      </c>
      <c r="L220" s="19" t="e">
        <f>SUMIFS(#REF!,#REF!,美团日报!$C$2,#REF!,"秒达")</f>
        <v>#REF!</v>
      </c>
      <c r="M220" s="23"/>
      <c r="N220" s="23"/>
      <c r="O220" s="22" t="e">
        <f t="shared" si="19"/>
        <v>#REF!</v>
      </c>
      <c r="P220" s="19" t="e">
        <f>SUMIFS(#REF!,#REF!,美团日报!$C220,#REF!,"秒达")</f>
        <v>#REF!</v>
      </c>
      <c r="Q220" s="23"/>
      <c r="R220" s="23"/>
      <c r="S220" s="22" t="e">
        <f t="shared" si="20"/>
        <v>#REF!</v>
      </c>
      <c r="T220" s="19" t="e">
        <f>SUMIFS(#REF!,#REF!,美团日报!$C220,#REF!,"O2O")</f>
        <v>#REF!</v>
      </c>
      <c r="U220" s="22" t="e">
        <f t="shared" si="21"/>
        <v>#REF!</v>
      </c>
      <c r="V220" s="19" t="e">
        <f>SUMIFS(#REF!,#REF!,美团日报!$C220,#REF!,"O2O")</f>
        <v>#REF!</v>
      </c>
      <c r="W220" s="24" t="s">
        <v>13</v>
      </c>
    </row>
    <row r="221" ht="14.4" spans="1:23">
      <c r="A221" s="16" t="s">
        <v>63</v>
      </c>
      <c r="B221" s="16" t="s">
        <v>60</v>
      </c>
      <c r="C221" s="16">
        <v>8712</v>
      </c>
      <c r="D221" s="16" t="s">
        <v>514</v>
      </c>
      <c r="E221" s="18">
        <f>_xlfn.IFNA(VLOOKUP(C:C,线上线下销售!B:D,3,0),0)</f>
        <v>0</v>
      </c>
      <c r="F221" s="18">
        <f>SUMIFS(线上订单!$E:$E,线上订单!$B:$B,美团日报!$C221)-SUMIFS(线上订单!$E:$E,线上订单!$B:$B,美团日报!$C221,线上订单!$D:$D,"美团")-SUMIFS(线上订单!$E:$E,线上订单!$B:$B,美团日报!$C221,线上订单!$D:$D,"饿了么")</f>
        <v>0</v>
      </c>
      <c r="G221" s="19">
        <f t="shared" si="22"/>
        <v>0</v>
      </c>
      <c r="H221" s="18">
        <f>SUMIFS(线上订单!$F:$F,线上订单!$B:$B,美团日报!$C221)-SUMIFS(线上订单!$F:$F,线上订单!$B:$B,美团日报!$C221,线上订单!$D:$D,"美团")-SUMIFS(线上订单!$F:$F,线上订单!$B:$B,美团日报!$C221,线上订单!$D:$D,"饿了么")</f>
        <v>0</v>
      </c>
      <c r="I221" s="18">
        <f>SUMIFS(线上订单!$F:$F,线上订单!$B:$B,美团日报!$C221)-SUMIFS(线上订单!$F:$F,线上订单!$B:$B,美团日报!$C221,线上订单!$D:$D,"美团")-SUMIFS(线上订单!$F:$F,线上订单!$B:$B,美团日报!$C221,线上订单!$D:$D,"饿了么")</f>
        <v>0</v>
      </c>
      <c r="J221" s="21">
        <f t="shared" si="23"/>
        <v>0</v>
      </c>
      <c r="K221" s="22" t="e">
        <f t="shared" si="18"/>
        <v>#REF!</v>
      </c>
      <c r="L221" s="19" t="e">
        <f>SUMIFS(#REF!,#REF!,美团日报!$C$2,#REF!,"秒达")</f>
        <v>#REF!</v>
      </c>
      <c r="M221" s="23"/>
      <c r="N221" s="23"/>
      <c r="O221" s="22" t="e">
        <f t="shared" si="19"/>
        <v>#REF!</v>
      </c>
      <c r="P221" s="19" t="e">
        <f>SUMIFS(#REF!,#REF!,美团日报!$C221,#REF!,"秒达")</f>
        <v>#REF!</v>
      </c>
      <c r="Q221" s="23"/>
      <c r="R221" s="23"/>
      <c r="S221" s="22" t="e">
        <f t="shared" si="20"/>
        <v>#REF!</v>
      </c>
      <c r="T221" s="19" t="e">
        <f>SUMIFS(#REF!,#REF!,美团日报!$C221,#REF!,"O2O")</f>
        <v>#REF!</v>
      </c>
      <c r="U221" s="22" t="e">
        <f t="shared" si="21"/>
        <v>#REF!</v>
      </c>
      <c r="V221" s="19" t="e">
        <f>SUMIFS(#REF!,#REF!,美团日报!$C221,#REF!,"O2O")</f>
        <v>#REF!</v>
      </c>
      <c r="W221" s="24" t="s">
        <v>13</v>
      </c>
    </row>
    <row r="222" ht="14.4" spans="1:23">
      <c r="A222" s="16"/>
      <c r="B222" s="16"/>
      <c r="C222" s="25">
        <v>8780</v>
      </c>
      <c r="D222" s="26" t="s">
        <v>515</v>
      </c>
      <c r="E222" s="18">
        <f>_xlfn.IFNA(VLOOKUP(C:C,线上线下销售!B:D,3,0),0)</f>
        <v>7416.5769</v>
      </c>
      <c r="F222" s="18">
        <f>SUMIFS(线上订单!$E:$E,线上订单!$B:$B,美团日报!$C222)-SUMIFS(线上订单!$E:$E,线上订单!$B:$B,美团日报!$C222,线上订单!$D:$D,"美团")-SUMIFS(线上订单!$E:$E,线上订单!$B:$B,美团日报!$C222,线上订单!$D:$D,"饿了么")</f>
        <v>0</v>
      </c>
      <c r="G222" s="19">
        <f t="shared" si="22"/>
        <v>0</v>
      </c>
      <c r="H222" s="18">
        <f>SUMIFS(线上订单!$F:$F,线上订单!$B:$B,美团日报!$C222)-SUMIFS(线上订单!$F:$F,线上订单!$B:$B,美团日报!$C222,线上订单!$D:$D,"美团")-SUMIFS(线上订单!$F:$F,线上订单!$B:$B,美团日报!$C222,线上订单!$D:$D,"饿了么")</f>
        <v>0</v>
      </c>
      <c r="I222" s="18">
        <f>SUMIFS(线上订单!$F:$F,线上订单!$B:$B,美团日报!$C222)-SUMIFS(线上订单!$F:$F,线上订单!$B:$B,美团日报!$C222,线上订单!$D:$D,"美团")-SUMIFS(线上订单!$F:$F,线上订单!$B:$B,美团日报!$C222,线上订单!$D:$D,"饿了么")</f>
        <v>0</v>
      </c>
      <c r="J222" s="21">
        <f t="shared" si="23"/>
        <v>0</v>
      </c>
      <c r="K222" s="22" t="e">
        <f t="shared" si="18"/>
        <v>#REF!</v>
      </c>
      <c r="L222" s="19" t="e">
        <f>SUMIFS(#REF!,#REF!,美团日报!$C$2,#REF!,"秒达")</f>
        <v>#REF!</v>
      </c>
      <c r="M222" s="23"/>
      <c r="N222" s="23"/>
      <c r="O222" s="22" t="e">
        <f t="shared" si="19"/>
        <v>#REF!</v>
      </c>
      <c r="P222" s="19" t="e">
        <f>SUMIFS(#REF!,#REF!,美团日报!$C222,#REF!,"秒达")</f>
        <v>#REF!</v>
      </c>
      <c r="Q222" s="23"/>
      <c r="R222" s="23"/>
      <c r="S222" s="22" t="e">
        <f t="shared" si="20"/>
        <v>#REF!</v>
      </c>
      <c r="T222" s="19" t="e">
        <f>SUMIFS(#REF!,#REF!,美团日报!$C222,#REF!,"O2O")</f>
        <v>#REF!</v>
      </c>
      <c r="U222" s="22" t="e">
        <f t="shared" si="21"/>
        <v>#REF!</v>
      </c>
      <c r="V222" s="19" t="e">
        <f>SUMIFS(#REF!,#REF!,美团日报!$C222,#REF!,"O2O")</f>
        <v>#REF!</v>
      </c>
      <c r="W222" s="24" t="s">
        <v>13</v>
      </c>
    </row>
    <row r="223" ht="14.4" spans="1:23">
      <c r="A223" s="16"/>
      <c r="B223" s="16"/>
      <c r="C223" s="25">
        <v>8768</v>
      </c>
      <c r="D223" s="26" t="s">
        <v>516</v>
      </c>
      <c r="E223" s="18">
        <f>_xlfn.IFNA(VLOOKUP(C:C,线上线下销售!B:D,3,0),0)</f>
        <v>0</v>
      </c>
      <c r="F223" s="18">
        <f>SUMIFS(线上订单!$E:$E,线上订单!$B:$B,美团日报!$C223)-SUMIFS(线上订单!$E:$E,线上订单!$B:$B,美团日报!$C223,线上订单!$D:$D,"美团")-SUMIFS(线上订单!$E:$E,线上订单!$B:$B,美团日报!$C223,线上订单!$D:$D,"饿了么")</f>
        <v>0</v>
      </c>
      <c r="G223" s="19">
        <f t="shared" si="22"/>
        <v>0</v>
      </c>
      <c r="H223" s="18">
        <f>SUMIFS(线上订单!$F:$F,线上订单!$B:$B,美团日报!$C223)-SUMIFS(线上订单!$F:$F,线上订单!$B:$B,美团日报!$C223,线上订单!$D:$D,"美团")-SUMIFS(线上订单!$F:$F,线上订单!$B:$B,美团日报!$C223,线上订单!$D:$D,"饿了么")</f>
        <v>0</v>
      </c>
      <c r="I223" s="18">
        <f>SUMIFS(线上订单!$F:$F,线上订单!$B:$B,美团日报!$C223)-SUMIFS(线上订单!$F:$F,线上订单!$B:$B,美团日报!$C223,线上订单!$D:$D,"美团")-SUMIFS(线上订单!$F:$F,线上订单!$B:$B,美团日报!$C223,线上订单!$D:$D,"饿了么")</f>
        <v>0</v>
      </c>
      <c r="J223" s="21">
        <f t="shared" si="23"/>
        <v>0</v>
      </c>
      <c r="K223" s="22" t="e">
        <f t="shared" si="18"/>
        <v>#REF!</v>
      </c>
      <c r="L223" s="19" t="e">
        <f>SUMIFS(#REF!,#REF!,美团日报!$C$2,#REF!,"秒达")</f>
        <v>#REF!</v>
      </c>
      <c r="M223" s="23"/>
      <c r="N223" s="23"/>
      <c r="O223" s="22" t="e">
        <f t="shared" si="19"/>
        <v>#REF!</v>
      </c>
      <c r="P223" s="19" t="e">
        <f>SUMIFS(#REF!,#REF!,美团日报!$C223,#REF!,"秒达")</f>
        <v>#REF!</v>
      </c>
      <c r="Q223" s="23"/>
      <c r="R223" s="23"/>
      <c r="S223" s="22" t="e">
        <f t="shared" si="20"/>
        <v>#REF!</v>
      </c>
      <c r="T223" s="19" t="e">
        <f>SUMIFS(#REF!,#REF!,美团日报!$C223,#REF!,"O2O")</f>
        <v>#REF!</v>
      </c>
      <c r="U223" s="22" t="e">
        <f t="shared" si="21"/>
        <v>#REF!</v>
      </c>
      <c r="V223" s="19" t="e">
        <f>SUMIFS(#REF!,#REF!,美团日报!$C223,#REF!,"O2O")</f>
        <v>#REF!</v>
      </c>
      <c r="W223" s="24" t="s">
        <v>13</v>
      </c>
    </row>
    <row r="224" ht="14.4" spans="1:23">
      <c r="A224" s="27" t="s">
        <v>43</v>
      </c>
      <c r="B224" s="27" t="s">
        <v>131</v>
      </c>
      <c r="C224" s="28">
        <v>8766</v>
      </c>
      <c r="D224" s="29" t="s">
        <v>517</v>
      </c>
      <c r="E224" s="18">
        <f>_xlfn.IFNA(VLOOKUP(C:C,线上线下销售!B:D,3,0),0)</f>
        <v>7161.6856</v>
      </c>
      <c r="F224" s="18">
        <f>SUMIFS(线上订单!$E:$E,线上订单!$B:$B,美团日报!$C224)-SUMIFS(线上订单!$E:$E,线上订单!$B:$B,美团日报!$C224,线上订单!$D:$D,"美团")-SUMIFS(线上订单!$E:$E,线上订单!$B:$B,美团日报!$C224,线上订单!$D:$D,"饿了么")</f>
        <v>175.97223349844</v>
      </c>
      <c r="G224" s="19">
        <f t="shared" si="22"/>
        <v>0.0245713430227152</v>
      </c>
      <c r="H224" s="18">
        <f>SUMIFS(线上订单!$F:$F,线上订单!$B:$B,美团日报!$C224)-SUMIFS(线上订单!$F:$F,线上订单!$B:$B,美团日报!$C224,线上订单!$D:$D,"美团")-SUMIFS(线上订单!$F:$F,线上订单!$B:$B,美团日报!$C224,线上订单!$D:$D,"饿了么")</f>
        <v>7</v>
      </c>
      <c r="I224" s="18">
        <f>SUMIFS(线上订单!$F:$F,线上订单!$B:$B,美团日报!$C224)-SUMIFS(线上订单!$F:$F,线上订单!$B:$B,美团日报!$C224,线上订单!$D:$D,"美团")-SUMIFS(线上订单!$F:$F,线上订单!$B:$B,美团日报!$C224,线上订单!$D:$D,"饿了么")</f>
        <v>7</v>
      </c>
      <c r="J224" s="21">
        <f t="shared" si="23"/>
        <v>25.1388904997772</v>
      </c>
      <c r="K224" s="22" t="e">
        <f t="shared" si="18"/>
        <v>#REF!</v>
      </c>
      <c r="L224" s="19" t="e">
        <f>SUMIFS(#REF!,#REF!,美团日报!$C$2,#REF!,"秒达")</f>
        <v>#REF!</v>
      </c>
      <c r="M224" s="23"/>
      <c r="N224" s="23"/>
      <c r="O224" s="22" t="e">
        <f t="shared" si="19"/>
        <v>#REF!</v>
      </c>
      <c r="P224" s="19" t="e">
        <f>SUMIFS(#REF!,#REF!,美团日报!$C224,#REF!,"秒达")</f>
        <v>#REF!</v>
      </c>
      <c r="Q224" s="23"/>
      <c r="R224" s="23"/>
      <c r="S224" s="22" t="e">
        <f t="shared" si="20"/>
        <v>#REF!</v>
      </c>
      <c r="T224" s="19" t="e">
        <f>SUMIFS(#REF!,#REF!,美团日报!$C224,#REF!,"O2O")</f>
        <v>#REF!</v>
      </c>
      <c r="U224" s="22" t="e">
        <f t="shared" si="21"/>
        <v>#REF!</v>
      </c>
      <c r="V224" s="19" t="e">
        <f>SUMIFS(#REF!,#REF!,美团日报!$C224,#REF!,"O2O")</f>
        <v>#REF!</v>
      </c>
      <c r="W224" s="24" t="s">
        <v>13</v>
      </c>
    </row>
    <row r="225" ht="14.4" spans="1:23">
      <c r="A225" s="29" t="s">
        <v>63</v>
      </c>
      <c r="B225" s="29" t="s">
        <v>168</v>
      </c>
      <c r="C225" s="28">
        <v>8765</v>
      </c>
      <c r="D225" s="26" t="s">
        <v>577</v>
      </c>
      <c r="E225" s="18">
        <f>_xlfn.IFNA(VLOOKUP(C:C,线上线下销售!B:D,3,0),0)</f>
        <v>16482.8543</v>
      </c>
      <c r="F225" s="18">
        <f>SUMIFS(线上订单!$E:$E,线上订单!$B:$B,美团日报!$C225)-SUMIFS(线上订单!$E:$E,线上订单!$B:$B,美团日报!$C225,线上订单!$D:$D,"美团")-SUMIFS(线上订单!$E:$E,线上订单!$B:$B,美团日报!$C225,线上订单!$D:$D,"饿了么")</f>
        <v>171.85840707961</v>
      </c>
      <c r="G225" s="19">
        <f t="shared" si="22"/>
        <v>0.0104264955542081</v>
      </c>
      <c r="H225" s="18">
        <f>SUMIFS(线上订单!$F:$F,线上订单!$B:$B,美团日报!$C225)-SUMIFS(线上订单!$F:$F,线上订单!$B:$B,美团日报!$C225,线上订单!$D:$D,"美团")-SUMIFS(线上订单!$F:$F,线上订单!$B:$B,美团日报!$C225,线上订单!$D:$D,"饿了么")</f>
        <v>12</v>
      </c>
      <c r="I225" s="18">
        <f>SUMIFS(线上订单!$F:$F,线上订单!$B:$B,美团日报!$C225)-SUMIFS(线上订单!$F:$F,线上订单!$B:$B,美团日报!$C225,线上订单!$D:$D,"美团")-SUMIFS(线上订单!$F:$F,线上订单!$B:$B,美团日报!$C225,线上订单!$D:$D,"饿了么")</f>
        <v>12</v>
      </c>
      <c r="J225" s="21">
        <f t="shared" si="23"/>
        <v>14.3215339233008</v>
      </c>
      <c r="K225" s="22" t="e">
        <f t="shared" si="18"/>
        <v>#REF!</v>
      </c>
      <c r="L225" s="19" t="e">
        <f>SUMIFS(#REF!,#REF!,美团日报!$C$2,#REF!,"秒达")</f>
        <v>#REF!</v>
      </c>
      <c r="M225" s="23"/>
      <c r="N225" s="23"/>
      <c r="O225" s="22" t="e">
        <f t="shared" si="19"/>
        <v>#REF!</v>
      </c>
      <c r="P225" s="19" t="e">
        <f>SUMIFS(#REF!,#REF!,美团日报!$C262,#REF!,"秒达")</f>
        <v>#REF!</v>
      </c>
      <c r="Q225" s="23"/>
      <c r="R225" s="23"/>
      <c r="S225" s="22" t="e">
        <f t="shared" si="20"/>
        <v>#REF!</v>
      </c>
      <c r="T225" s="19" t="e">
        <f>SUMIFS(#REF!,#REF!,美团日报!$C262,#REF!,"O2O")</f>
        <v>#REF!</v>
      </c>
      <c r="U225" s="22" t="e">
        <f t="shared" si="21"/>
        <v>#REF!</v>
      </c>
      <c r="V225" s="19" t="e">
        <f>SUMIFS(#REF!,#REF!,美团日报!$C262,#REF!,"O2O")</f>
        <v>#REF!</v>
      </c>
      <c r="W225" s="24" t="s">
        <v>13</v>
      </c>
    </row>
    <row r="226" ht="14.4" spans="1:23">
      <c r="A226" s="29" t="s">
        <v>56</v>
      </c>
      <c r="B226" s="29" t="s">
        <v>52</v>
      </c>
      <c r="C226" s="16">
        <v>8772</v>
      </c>
      <c r="D226" s="29" t="s">
        <v>519</v>
      </c>
      <c r="E226" s="18">
        <f>_xlfn.IFNA(VLOOKUP(C:C,线上线下销售!B:D,3,0),0)</f>
        <v>4597.4832</v>
      </c>
      <c r="F226" s="18">
        <f>SUMIFS(线上订单!$E:$E,线上订单!$B:$B,美团日报!$C226)-SUMIFS(线上订单!$E:$E,线上订单!$B:$B,美团日报!$C226,线上订单!$D:$D,"美团")-SUMIFS(线上订单!$E:$E,线上订单!$B:$B,美团日报!$C226,线上订单!$D:$D,"饿了么")</f>
        <v>80.1769911504199</v>
      </c>
      <c r="G226" s="19">
        <f t="shared" si="22"/>
        <v>0.0174393222688492</v>
      </c>
      <c r="H226" s="18">
        <f>SUMIFS(线上订单!$F:$F,线上订单!$B:$B,美团日报!$C226)-SUMIFS(线上订单!$F:$F,线上订单!$B:$B,美团日报!$C226,线上订单!$D:$D,"美团")-SUMIFS(线上订单!$F:$F,线上订单!$B:$B,美团日报!$C226,线上订单!$D:$D,"饿了么")</f>
        <v>3</v>
      </c>
      <c r="I226" s="18">
        <f>SUMIFS(线上订单!$F:$F,线上订单!$B:$B,美团日报!$C226)-SUMIFS(线上订单!$F:$F,线上订单!$B:$B,美团日报!$C226,线上订单!$D:$D,"美团")-SUMIFS(线上订单!$F:$F,线上订单!$B:$B,美团日报!$C226,线上订单!$D:$D,"饿了么")</f>
        <v>3</v>
      </c>
      <c r="J226" s="21">
        <f t="shared" si="23"/>
        <v>26.7256637168066</v>
      </c>
      <c r="K226" s="22" t="e">
        <f t="shared" si="18"/>
        <v>#REF!</v>
      </c>
      <c r="L226" s="19" t="e">
        <f>SUMIFS(#REF!,#REF!,美团日报!$C$2,#REF!,"秒达")</f>
        <v>#REF!</v>
      </c>
      <c r="M226" s="23"/>
      <c r="N226" s="23"/>
      <c r="O226" s="22" t="e">
        <f t="shared" si="19"/>
        <v>#REF!</v>
      </c>
      <c r="P226" s="19" t="e">
        <f>SUMIFS(#REF!,#REF!,美团日报!$C263,#REF!,"秒达")</f>
        <v>#REF!</v>
      </c>
      <c r="Q226" s="23"/>
      <c r="R226" s="23"/>
      <c r="S226" s="22" t="e">
        <f t="shared" si="20"/>
        <v>#REF!</v>
      </c>
      <c r="T226" s="19" t="e">
        <f>SUMIFS(#REF!,#REF!,美团日报!$C263,#REF!,"O2O")</f>
        <v>#REF!</v>
      </c>
      <c r="U226" s="22" t="e">
        <f t="shared" si="21"/>
        <v>#REF!</v>
      </c>
      <c r="V226" s="19" t="e">
        <f>SUMIFS(#REF!,#REF!,美团日报!$C263,#REF!,"O2O")</f>
        <v>#REF!</v>
      </c>
      <c r="W226" s="24" t="s">
        <v>13</v>
      </c>
    </row>
    <row r="227" ht="14.4" spans="1:23">
      <c r="A227" s="29" t="s">
        <v>56</v>
      </c>
      <c r="B227" s="29" t="s">
        <v>70</v>
      </c>
      <c r="C227" s="16">
        <v>8773</v>
      </c>
      <c r="D227" s="29" t="s">
        <v>520</v>
      </c>
      <c r="E227" s="18">
        <f>_xlfn.IFNA(VLOOKUP(C:C,线上线下销售!B:D,3,0),0)</f>
        <v>6674.0584</v>
      </c>
      <c r="F227" s="18">
        <f>SUMIFS(线上订单!$E:$E,线上订单!$B:$B,美团日报!$C227)-SUMIFS(线上订单!$E:$E,线上订单!$B:$B,美团日报!$C227,线上订单!$D:$D,"美团")-SUMIFS(线上订单!$E:$E,线上订单!$B:$B,美团日报!$C227,线上订单!$D:$D,"饿了么")</f>
        <v>205.43395307297</v>
      </c>
      <c r="G227" s="19">
        <f t="shared" si="22"/>
        <v>0.0307809642590137</v>
      </c>
      <c r="H227" s="18">
        <f>SUMIFS(线上订单!$F:$F,线上订单!$B:$B,美团日报!$C227)-SUMIFS(线上订单!$F:$F,线上订单!$B:$B,美团日报!$C227,线上订单!$D:$D,"美团")-SUMIFS(线上订单!$F:$F,线上订单!$B:$B,美团日报!$C227,线上订单!$D:$D,"饿了么")</f>
        <v>5</v>
      </c>
      <c r="I227" s="18">
        <f>SUMIFS(线上订单!$F:$F,线上订单!$B:$B,美团日报!$C227)-SUMIFS(线上订单!$F:$F,线上订单!$B:$B,美团日报!$C227,线上订单!$D:$D,"美团")-SUMIFS(线上订单!$F:$F,线上订单!$B:$B,美团日报!$C227,线上订单!$D:$D,"饿了么")</f>
        <v>5</v>
      </c>
      <c r="J227" s="21">
        <f t="shared" si="23"/>
        <v>41.086790614594</v>
      </c>
      <c r="K227" s="22" t="e">
        <f t="shared" si="18"/>
        <v>#REF!</v>
      </c>
      <c r="L227" s="19" t="e">
        <f>SUMIFS(#REF!,#REF!,美团日报!$C$2,#REF!,"秒达")</f>
        <v>#REF!</v>
      </c>
      <c r="M227" s="23"/>
      <c r="N227" s="23"/>
      <c r="O227" s="22" t="e">
        <f t="shared" si="19"/>
        <v>#REF!</v>
      </c>
      <c r="P227" s="19" t="e">
        <f>SUMIFS(#REF!,#REF!,美团日报!$C264,#REF!,"秒达")</f>
        <v>#REF!</v>
      </c>
      <c r="Q227" s="23"/>
      <c r="R227" s="23"/>
      <c r="S227" s="22" t="e">
        <f t="shared" si="20"/>
        <v>#REF!</v>
      </c>
      <c r="T227" s="19" t="e">
        <f>SUMIFS(#REF!,#REF!,美团日报!$C264,#REF!,"O2O")</f>
        <v>#REF!</v>
      </c>
      <c r="U227" s="22" t="e">
        <f t="shared" si="21"/>
        <v>#REF!</v>
      </c>
      <c r="V227" s="19" t="e">
        <f>SUMIFS(#REF!,#REF!,美团日报!$C264,#REF!,"O2O")</f>
        <v>#REF!</v>
      </c>
      <c r="W227" s="24" t="s">
        <v>13</v>
      </c>
    </row>
    <row r="228" ht="14.4" spans="1:23">
      <c r="A228" s="29" t="s">
        <v>48</v>
      </c>
      <c r="B228" s="29" t="s">
        <v>111</v>
      </c>
      <c r="C228" s="16">
        <v>8778</v>
      </c>
      <c r="D228" s="29" t="s">
        <v>521</v>
      </c>
      <c r="E228" s="18">
        <f>_xlfn.IFNA(VLOOKUP(C:C,线上线下销售!B:D,3,0),0)</f>
        <v>5334.5526</v>
      </c>
      <c r="F228" s="18">
        <f>SUMIFS(线上订单!$E:$E,线上订单!$B:$B,美团日报!$C228)-SUMIFS(线上订单!$E:$E,线上订单!$B:$B,美团日报!$C228,线上订单!$D:$D,"美团")-SUMIFS(线上订单!$E:$E,线上订单!$B:$B,美团日报!$C228,线上订单!$D:$D,"饿了么")</f>
        <v>52.21238938053</v>
      </c>
      <c r="G228" s="19">
        <f t="shared" si="22"/>
        <v>0.00978758544447195</v>
      </c>
      <c r="H228" s="18">
        <f>SUMIFS(线上订单!$F:$F,线上订单!$B:$B,美团日报!$C228)-SUMIFS(线上订单!$F:$F,线上订单!$B:$B,美团日报!$C228,线上订单!$D:$D,"美团")-SUMIFS(线上订单!$F:$F,线上订单!$B:$B,美团日报!$C228,线上订单!$D:$D,"饿了么")</f>
        <v>1</v>
      </c>
      <c r="I228" s="18">
        <f>SUMIFS(线上订单!$F:$F,线上订单!$B:$B,美团日报!$C228)-SUMIFS(线上订单!$F:$F,线上订单!$B:$B,美团日报!$C228,线上订单!$D:$D,"美团")-SUMIFS(线上订单!$F:$F,线上订单!$B:$B,美团日报!$C228,线上订单!$D:$D,"饿了么")</f>
        <v>1</v>
      </c>
      <c r="J228" s="21">
        <f t="shared" si="23"/>
        <v>52.21238938053</v>
      </c>
      <c r="K228" s="22" t="e">
        <f t="shared" si="18"/>
        <v>#REF!</v>
      </c>
      <c r="L228" s="19" t="e">
        <f>SUMIFS(#REF!,#REF!,美团日报!$C$2,#REF!,"秒达")</f>
        <v>#REF!</v>
      </c>
      <c r="M228" s="23"/>
      <c r="N228" s="23"/>
      <c r="O228" s="22" t="e">
        <f t="shared" si="19"/>
        <v>#REF!</v>
      </c>
      <c r="P228" s="19" t="e">
        <f>SUMIFS(#REF!,#REF!,美团日报!$C265,#REF!,"秒达")</f>
        <v>#REF!</v>
      </c>
      <c r="Q228" s="23"/>
      <c r="R228" s="23"/>
      <c r="S228" s="22" t="e">
        <f t="shared" si="20"/>
        <v>#REF!</v>
      </c>
      <c r="T228" s="19" t="e">
        <f>SUMIFS(#REF!,#REF!,美团日报!$C265,#REF!,"O2O")</f>
        <v>#REF!</v>
      </c>
      <c r="U228" s="22" t="e">
        <f t="shared" si="21"/>
        <v>#REF!</v>
      </c>
      <c r="V228" s="19" t="e">
        <f>SUMIFS(#REF!,#REF!,美团日报!$C265,#REF!,"O2O")</f>
        <v>#REF!</v>
      </c>
      <c r="W228" s="24" t="s">
        <v>13</v>
      </c>
    </row>
    <row r="229" ht="14.4" spans="1:23">
      <c r="A229" s="29" t="s">
        <v>56</v>
      </c>
      <c r="B229" s="29" t="s">
        <v>57</v>
      </c>
      <c r="C229" s="16">
        <v>8732</v>
      </c>
      <c r="D229" s="29" t="s">
        <v>522</v>
      </c>
      <c r="E229" s="18">
        <f>_xlfn.IFNA(VLOOKUP(C:C,线上线下销售!B:D,3,0),0)</f>
        <v>9888.7962</v>
      </c>
      <c r="F229" s="18">
        <f>SUMIFS(线上订单!$E:$E,线上订单!$B:$B,美团日报!$C229)-SUMIFS(线上订单!$E:$E,线上订单!$B:$B,美团日报!$C229,线上订单!$D:$D,"美团")-SUMIFS(线上订单!$E:$E,线上订单!$B:$B,美团日报!$C229,线上订单!$D:$D,"饿了么")</f>
        <v>0</v>
      </c>
      <c r="G229" s="19">
        <f t="shared" si="22"/>
        <v>0</v>
      </c>
      <c r="H229" s="18">
        <f>SUMIFS(线上订单!$F:$F,线上订单!$B:$B,美团日报!$C229)-SUMIFS(线上订单!$F:$F,线上订单!$B:$B,美团日报!$C229,线上订单!$D:$D,"美团")-SUMIFS(线上订单!$F:$F,线上订单!$B:$B,美团日报!$C229,线上订单!$D:$D,"饿了么")</f>
        <v>0</v>
      </c>
      <c r="I229" s="18">
        <f>SUMIFS(线上订单!$F:$F,线上订单!$B:$B,美团日报!$C229)-SUMIFS(线上订单!$F:$F,线上订单!$B:$B,美团日报!$C229,线上订单!$D:$D,"美团")-SUMIFS(线上订单!$F:$F,线上订单!$B:$B,美团日报!$C229,线上订单!$D:$D,"饿了么")</f>
        <v>0</v>
      </c>
      <c r="J229" s="21">
        <f t="shared" si="23"/>
        <v>0</v>
      </c>
      <c r="K229" s="22" t="e">
        <f t="shared" si="18"/>
        <v>#REF!</v>
      </c>
      <c r="L229" s="19" t="e">
        <f>SUMIFS(#REF!,#REF!,美团日报!$C$2,#REF!,"秒达")</f>
        <v>#REF!</v>
      </c>
      <c r="M229" s="23"/>
      <c r="N229" s="23"/>
      <c r="O229" s="22" t="e">
        <f t="shared" si="19"/>
        <v>#REF!</v>
      </c>
      <c r="P229" s="19" t="e">
        <f>SUMIFS(#REF!,#REF!,美团日报!$C266,#REF!,"秒达")</f>
        <v>#REF!</v>
      </c>
      <c r="Q229" s="23"/>
      <c r="R229" s="23"/>
      <c r="S229" s="22" t="e">
        <f t="shared" si="20"/>
        <v>#REF!</v>
      </c>
      <c r="T229" s="19" t="e">
        <f>SUMIFS(#REF!,#REF!,美团日报!$C266,#REF!,"O2O")</f>
        <v>#REF!</v>
      </c>
      <c r="U229" s="22" t="e">
        <f t="shared" si="21"/>
        <v>#REF!</v>
      </c>
      <c r="V229" s="19" t="e">
        <f>SUMIFS(#REF!,#REF!,美团日报!$C266,#REF!,"O2O")</f>
        <v>#REF!</v>
      </c>
      <c r="W229" s="24" t="s">
        <v>13</v>
      </c>
    </row>
    <row r="230" ht="14.4" spans="1:23">
      <c r="A230" s="29" t="s">
        <v>48</v>
      </c>
      <c r="B230" s="29" t="s">
        <v>64</v>
      </c>
      <c r="C230" s="16">
        <v>8776</v>
      </c>
      <c r="D230" s="29" t="s">
        <v>523</v>
      </c>
      <c r="E230" s="18">
        <f>_xlfn.IFNA(VLOOKUP(C:C,线上线下销售!B:D,3,0),0)</f>
        <v>533.071</v>
      </c>
      <c r="F230" s="18">
        <f>SUMIFS(线上订单!$E:$E,线上订单!$B:$B,美团日报!$C230)-SUMIFS(线上订单!$E:$E,线上订单!$B:$B,美团日报!$C230,线上订单!$D:$D,"美团")-SUMIFS(线上订单!$E:$E,线上订单!$B:$B,美团日报!$C230,线上订单!$D:$D,"饿了么")</f>
        <v>0</v>
      </c>
      <c r="G230" s="19">
        <f t="shared" si="22"/>
        <v>0</v>
      </c>
      <c r="H230" s="18">
        <f>SUMIFS(线上订单!$F:$F,线上订单!$B:$B,美团日报!$C230)-SUMIFS(线上订单!$F:$F,线上订单!$B:$B,美团日报!$C230,线上订单!$D:$D,"美团")-SUMIFS(线上订单!$F:$F,线上订单!$B:$B,美团日报!$C230,线上订单!$D:$D,"饿了么")</f>
        <v>0</v>
      </c>
      <c r="I230" s="18">
        <f>SUMIFS(线上订单!$F:$F,线上订单!$B:$B,美团日报!$C230)-SUMIFS(线上订单!$F:$F,线上订单!$B:$B,美团日报!$C230,线上订单!$D:$D,"美团")-SUMIFS(线上订单!$F:$F,线上订单!$B:$B,美团日报!$C230,线上订单!$D:$D,"饿了么")</f>
        <v>0</v>
      </c>
      <c r="J230" s="21">
        <f t="shared" si="23"/>
        <v>0</v>
      </c>
      <c r="K230" s="22" t="e">
        <f t="shared" si="18"/>
        <v>#REF!</v>
      </c>
      <c r="L230" s="19" t="e">
        <f>SUMIFS(#REF!,#REF!,美团日报!$C$2,#REF!,"秒达")</f>
        <v>#REF!</v>
      </c>
      <c r="M230" s="23"/>
      <c r="N230" s="23"/>
      <c r="O230" s="22" t="e">
        <f t="shared" si="19"/>
        <v>#REF!</v>
      </c>
      <c r="P230" s="19" t="e">
        <f>SUMIFS(#REF!,#REF!,美团日报!$C267,#REF!,"秒达")</f>
        <v>#REF!</v>
      </c>
      <c r="Q230" s="23"/>
      <c r="R230" s="23"/>
      <c r="S230" s="22" t="e">
        <f t="shared" si="20"/>
        <v>#REF!</v>
      </c>
      <c r="T230" s="19" t="e">
        <f>SUMIFS(#REF!,#REF!,美团日报!$C267,#REF!,"O2O")</f>
        <v>#REF!</v>
      </c>
      <c r="U230" s="22" t="e">
        <f t="shared" si="21"/>
        <v>#REF!</v>
      </c>
      <c r="V230" s="19" t="e">
        <f>SUMIFS(#REF!,#REF!,美团日报!$C267,#REF!,"O2O")</f>
        <v>#REF!</v>
      </c>
      <c r="W230" s="24" t="s">
        <v>13</v>
      </c>
    </row>
    <row r="231" ht="14.4" spans="1:23">
      <c r="A231" s="29" t="s">
        <v>264</v>
      </c>
      <c r="B231" s="29" t="s">
        <v>301</v>
      </c>
      <c r="C231" s="16">
        <v>8777</v>
      </c>
      <c r="D231" s="29" t="s">
        <v>525</v>
      </c>
      <c r="E231" s="18">
        <f>_xlfn.IFNA(VLOOKUP(C:C,线上线下销售!B:D,3,0),0)</f>
        <v>314.0535</v>
      </c>
      <c r="F231" s="18">
        <f>SUMIFS(线上订单!$E:$E,线上订单!$B:$B,美团日报!$C231)-SUMIFS(线上订单!$E:$E,线上订单!$B:$B,美团日报!$C231,线上订单!$D:$D,"美团")-SUMIFS(线上订单!$E:$E,线上订单!$B:$B,美团日报!$C231,线上订单!$D:$D,"饿了么")</f>
        <v>0</v>
      </c>
      <c r="G231" s="19">
        <f t="shared" si="22"/>
        <v>0</v>
      </c>
      <c r="H231" s="18">
        <f>SUMIFS(线上订单!$F:$F,线上订单!$B:$B,美团日报!$C231)-SUMIFS(线上订单!$F:$F,线上订单!$B:$B,美团日报!$C231,线上订单!$D:$D,"美团")-SUMIFS(线上订单!$F:$F,线上订单!$B:$B,美团日报!$C231,线上订单!$D:$D,"饿了么")</f>
        <v>0</v>
      </c>
      <c r="I231" s="18">
        <f>SUMIFS(线上订单!$F:$F,线上订单!$B:$B,美团日报!$C231)-SUMIFS(线上订单!$F:$F,线上订单!$B:$B,美团日报!$C231,线上订单!$D:$D,"美团")-SUMIFS(线上订单!$F:$F,线上订单!$B:$B,美团日报!$C231,线上订单!$D:$D,"饿了么")</f>
        <v>0</v>
      </c>
      <c r="J231" s="21">
        <f t="shared" si="23"/>
        <v>0</v>
      </c>
      <c r="K231" s="22" t="e">
        <f t="shared" si="18"/>
        <v>#REF!</v>
      </c>
      <c r="L231" s="19" t="e">
        <f>SUMIFS(#REF!,#REF!,美团日报!$C$2,#REF!,"秒达")</f>
        <v>#REF!</v>
      </c>
      <c r="M231" s="23"/>
      <c r="N231" s="23"/>
      <c r="O231" s="22" t="e">
        <f t="shared" si="19"/>
        <v>#REF!</v>
      </c>
      <c r="P231" s="19" t="e">
        <f>SUMIFS(#REF!,#REF!,美团日报!$C268,#REF!,"秒达")</f>
        <v>#REF!</v>
      </c>
      <c r="Q231" s="23"/>
      <c r="R231" s="23"/>
      <c r="S231" s="22" t="e">
        <f t="shared" si="20"/>
        <v>#REF!</v>
      </c>
      <c r="T231" s="19" t="e">
        <f>SUMIFS(#REF!,#REF!,美团日报!$C268,#REF!,"O2O")</f>
        <v>#REF!</v>
      </c>
      <c r="U231" s="22" t="e">
        <f t="shared" si="21"/>
        <v>#REF!</v>
      </c>
      <c r="V231" s="19" t="e">
        <f>SUMIFS(#REF!,#REF!,美团日报!$C268,#REF!,"O2O")</f>
        <v>#REF!</v>
      </c>
      <c r="W231" s="24" t="s">
        <v>13</v>
      </c>
    </row>
    <row r="232" ht="14.4" spans="1:23">
      <c r="A232" s="29" t="s">
        <v>264</v>
      </c>
      <c r="B232" s="29" t="s">
        <v>401</v>
      </c>
      <c r="C232" s="16">
        <v>8781</v>
      </c>
      <c r="D232" s="29" t="s">
        <v>526</v>
      </c>
      <c r="E232" s="18">
        <f>_xlfn.IFNA(VLOOKUP(C:C,线上线下销售!B:D,3,0),0)</f>
        <v>64906.9152</v>
      </c>
      <c r="F232" s="18">
        <f>SUMIFS(线上订单!$E:$E,线上订单!$B:$B,美团日报!$C232)-SUMIFS(线上订单!$E:$E,线上订单!$B:$B,美团日报!$C232,线上订单!$D:$D,"美团")-SUMIFS(线上订单!$E:$E,线上订单!$B:$B,美团日报!$C232,线上订单!$D:$D,"饿了么")</f>
        <v>0</v>
      </c>
      <c r="G232" s="19">
        <f t="shared" si="22"/>
        <v>0</v>
      </c>
      <c r="H232" s="18">
        <f>SUMIFS(线上订单!$F:$F,线上订单!$B:$B,美团日报!$C232)-SUMIFS(线上订单!$F:$F,线上订单!$B:$B,美团日报!$C232,线上订单!$D:$D,"美团")-SUMIFS(线上订单!$F:$F,线上订单!$B:$B,美团日报!$C232,线上订单!$D:$D,"饿了么")</f>
        <v>0</v>
      </c>
      <c r="I232" s="18">
        <f>SUMIFS(线上订单!$F:$F,线上订单!$B:$B,美团日报!$C232)-SUMIFS(线上订单!$F:$F,线上订单!$B:$B,美团日报!$C232,线上订单!$D:$D,"美团")-SUMIFS(线上订单!$F:$F,线上订单!$B:$B,美团日报!$C232,线上订单!$D:$D,"饿了么")</f>
        <v>0</v>
      </c>
      <c r="J232" s="21">
        <f t="shared" si="23"/>
        <v>0</v>
      </c>
      <c r="K232" s="22" t="e">
        <f t="shared" si="18"/>
        <v>#REF!</v>
      </c>
      <c r="L232" s="19" t="e">
        <f>SUMIFS(#REF!,#REF!,美团日报!$C$2,#REF!,"秒达")</f>
        <v>#REF!</v>
      </c>
      <c r="M232" s="23"/>
      <c r="N232" s="23"/>
      <c r="O232" s="22" t="e">
        <f t="shared" si="19"/>
        <v>#REF!</v>
      </c>
      <c r="P232" s="19" t="e">
        <f>SUMIFS(#REF!,#REF!,美团日报!$C265,#REF!,"秒达")</f>
        <v>#REF!</v>
      </c>
      <c r="Q232" s="23"/>
      <c r="R232" s="23"/>
      <c r="S232" s="22" t="e">
        <f t="shared" si="20"/>
        <v>#REF!</v>
      </c>
      <c r="T232" s="19" t="e">
        <f>SUMIFS(#REF!,#REF!,美团日报!$C265,#REF!,"O2O")</f>
        <v>#REF!</v>
      </c>
      <c r="U232" s="22" t="e">
        <f t="shared" si="21"/>
        <v>#REF!</v>
      </c>
      <c r="V232" s="19" t="e">
        <f>SUMIFS(#REF!,#REF!,美团日报!$C265,#REF!,"O2O")</f>
        <v>#REF!</v>
      </c>
      <c r="W232" s="24" t="s">
        <v>13</v>
      </c>
    </row>
    <row r="233" ht="14.4" spans="1:23">
      <c r="A233" s="30" t="s">
        <v>63</v>
      </c>
      <c r="B233" s="30" t="s">
        <v>86</v>
      </c>
      <c r="C233" s="31">
        <v>8779</v>
      </c>
      <c r="D233" s="30" t="s">
        <v>527</v>
      </c>
      <c r="E233" s="18">
        <f>_xlfn.IFNA(VLOOKUP(C:C,线上线下销售!B:D,3,0),0)</f>
        <v>2895.3975</v>
      </c>
      <c r="F233" s="18">
        <f>SUMIFS(线上订单!$E:$E,线上订单!$B:$B,美团日报!$C233)-SUMIFS(线上订单!$E:$E,线上订单!$B:$B,美团日报!$C233,线上订单!$D:$D,"美团")-SUMIFS(线上订单!$E:$E,线上订单!$B:$B,美团日报!$C233,线上订单!$D:$D,"饿了么")</f>
        <v>0</v>
      </c>
      <c r="G233" s="19">
        <f t="shared" si="22"/>
        <v>0</v>
      </c>
      <c r="H233" s="18">
        <f>SUMIFS(线上订单!$F:$F,线上订单!$B:$B,美团日报!$C233)-SUMIFS(线上订单!$F:$F,线上订单!$B:$B,美团日报!$C233,线上订单!$D:$D,"美团")-SUMIFS(线上订单!$F:$F,线上订单!$B:$B,美团日报!$C233,线上订单!$D:$D,"饿了么")</f>
        <v>0</v>
      </c>
      <c r="I233" s="18">
        <f>SUMIFS(线上订单!$F:$F,线上订单!$B:$B,美团日报!$C233)-SUMIFS(线上订单!$F:$F,线上订单!$B:$B,美团日报!$C233,线上订单!$D:$D,"美团")-SUMIFS(线上订单!$F:$F,线上订单!$B:$B,美团日报!$C233,线上订单!$D:$D,"饿了么")</f>
        <v>0</v>
      </c>
      <c r="J233" s="21">
        <f t="shared" si="23"/>
        <v>0</v>
      </c>
      <c r="K233" s="22" t="e">
        <f t="shared" si="18"/>
        <v>#REF!</v>
      </c>
      <c r="L233" s="19" t="e">
        <f>SUMIFS(#REF!,#REF!,美团日报!$C$2,#REF!,"秒达")</f>
        <v>#REF!</v>
      </c>
      <c r="M233" s="23"/>
      <c r="N233" s="23"/>
      <c r="O233" s="22" t="e">
        <f t="shared" si="19"/>
        <v>#REF!</v>
      </c>
      <c r="P233" s="19" t="e">
        <f>SUMIFS(#REF!,#REF!,美团日报!$C266,#REF!,"秒达")</f>
        <v>#REF!</v>
      </c>
      <c r="Q233" s="23"/>
      <c r="R233" s="23"/>
      <c r="S233" s="22" t="e">
        <f t="shared" si="20"/>
        <v>#REF!</v>
      </c>
      <c r="T233" s="19" t="e">
        <f>SUMIFS(#REF!,#REF!,美团日报!$C266,#REF!,"O2O")</f>
        <v>#REF!</v>
      </c>
      <c r="U233" s="22" t="e">
        <f t="shared" si="21"/>
        <v>#REF!</v>
      </c>
      <c r="V233" s="19" t="e">
        <f>SUMIFS(#REF!,#REF!,美团日报!$C266,#REF!,"O2O")</f>
        <v>#REF!</v>
      </c>
      <c r="W233" s="24" t="s">
        <v>13</v>
      </c>
    </row>
    <row r="234" ht="14.4" spans="1:23">
      <c r="A234" s="30" t="s">
        <v>63</v>
      </c>
      <c r="B234" s="30" t="s">
        <v>168</v>
      </c>
      <c r="C234" s="31">
        <v>8792</v>
      </c>
      <c r="D234" s="30" t="s">
        <v>528</v>
      </c>
      <c r="E234" s="18">
        <f>_xlfn.IFNA(VLOOKUP(C:C,线上线下销售!B:D,3,0),0)</f>
        <v>8377.1846</v>
      </c>
      <c r="F234" s="18">
        <f>SUMIFS(线上订单!$E:$E,线上订单!$B:$B,美团日报!$C234)-SUMIFS(线上订单!$E:$E,线上订单!$B:$B,美团日报!$C234,线上订单!$D:$D,"美团")-SUMIFS(线上订单!$E:$E,线上订单!$B:$B,美团日报!$C234,线上订单!$D:$D,"饿了么")</f>
        <v>0</v>
      </c>
      <c r="G234" s="19">
        <f t="shared" si="22"/>
        <v>0</v>
      </c>
      <c r="H234" s="18">
        <f>SUMIFS(线上订单!$F:$F,线上订单!$B:$B,美团日报!$C234)-SUMIFS(线上订单!$F:$F,线上订单!$B:$B,美团日报!$C234,线上订单!$D:$D,"美团")-SUMIFS(线上订单!$F:$F,线上订单!$B:$B,美团日报!$C234,线上订单!$D:$D,"饿了么")</f>
        <v>0</v>
      </c>
      <c r="I234" s="18">
        <f>SUMIFS(线上订单!$F:$F,线上订单!$B:$B,美团日报!$C234)-SUMIFS(线上订单!$F:$F,线上订单!$B:$B,美团日报!$C234,线上订单!$D:$D,"美团")-SUMIFS(线上订单!$F:$F,线上订单!$B:$B,美团日报!$C234,线上订单!$D:$D,"饿了么")</f>
        <v>0</v>
      </c>
      <c r="J234" s="21">
        <f t="shared" si="23"/>
        <v>0</v>
      </c>
      <c r="K234" s="22" t="e">
        <f t="shared" si="18"/>
        <v>#REF!</v>
      </c>
      <c r="L234" s="19" t="e">
        <f>SUMIFS(#REF!,#REF!,美团日报!$C$2,#REF!,"秒达")</f>
        <v>#REF!</v>
      </c>
      <c r="M234" s="23"/>
      <c r="N234" s="23"/>
      <c r="O234" s="22" t="e">
        <f t="shared" si="19"/>
        <v>#REF!</v>
      </c>
      <c r="P234" s="19" t="e">
        <f>SUMIFS(#REF!,#REF!,美团日报!$C267,#REF!,"秒达")</f>
        <v>#REF!</v>
      </c>
      <c r="Q234" s="23"/>
      <c r="R234" s="23"/>
      <c r="S234" s="22" t="e">
        <f t="shared" si="20"/>
        <v>#REF!</v>
      </c>
      <c r="T234" s="19" t="e">
        <f>SUMIFS(#REF!,#REF!,美团日报!$C267,#REF!,"O2O")</f>
        <v>#REF!</v>
      </c>
      <c r="U234" s="22" t="e">
        <f t="shared" si="21"/>
        <v>#REF!</v>
      </c>
      <c r="V234" s="19" t="e">
        <f>SUMIFS(#REF!,#REF!,美团日报!$C267,#REF!,"O2O")</f>
        <v>#REF!</v>
      </c>
      <c r="W234" s="24" t="s">
        <v>13</v>
      </c>
    </row>
    <row r="235" ht="14.4" spans="1:23">
      <c r="A235" s="30" t="s">
        <v>63</v>
      </c>
      <c r="B235" s="30" t="s">
        <v>168</v>
      </c>
      <c r="C235" s="31">
        <v>8774</v>
      </c>
      <c r="D235" s="30" t="s">
        <v>529</v>
      </c>
      <c r="E235" s="18">
        <f>_xlfn.IFNA(VLOOKUP(C:C,线上线下销售!B:D,3,0),0)</f>
        <v>3246.8189</v>
      </c>
      <c r="F235" s="18">
        <f>SUMIFS(线上订单!$E:$E,线上订单!$B:$B,美团日报!$C235)-SUMIFS(线上订单!$E:$E,线上订单!$B:$B,美团日报!$C235,线上订单!$D:$D,"美团")-SUMIFS(线上订单!$E:$E,线上订单!$B:$B,美团日报!$C235,线上订单!$D:$D,"饿了么")</f>
        <v>0</v>
      </c>
      <c r="G235" s="19">
        <f t="shared" si="22"/>
        <v>0</v>
      </c>
      <c r="H235" s="18">
        <f>SUMIFS(线上订单!$F:$F,线上订单!$B:$B,美团日报!$C235)-SUMIFS(线上订单!$F:$F,线上订单!$B:$B,美团日报!$C235,线上订单!$D:$D,"美团")-SUMIFS(线上订单!$F:$F,线上订单!$B:$B,美团日报!$C235,线上订单!$D:$D,"饿了么")</f>
        <v>0</v>
      </c>
      <c r="I235" s="18">
        <f>SUMIFS(线上订单!$F:$F,线上订单!$B:$B,美团日报!$C235)-SUMIFS(线上订单!$F:$F,线上订单!$B:$B,美团日报!$C235,线上订单!$D:$D,"美团")-SUMIFS(线上订单!$F:$F,线上订单!$B:$B,美团日报!$C235,线上订单!$D:$D,"饿了么")</f>
        <v>0</v>
      </c>
      <c r="J235" s="21">
        <f t="shared" si="23"/>
        <v>0</v>
      </c>
      <c r="K235" s="22" t="e">
        <f t="shared" si="18"/>
        <v>#REF!</v>
      </c>
      <c r="L235" s="19" t="e">
        <f>SUMIFS(#REF!,#REF!,美团日报!$C$2,#REF!,"秒达")</f>
        <v>#REF!</v>
      </c>
      <c r="M235" s="23"/>
      <c r="N235" s="23"/>
      <c r="O235" s="22" t="e">
        <f t="shared" si="19"/>
        <v>#REF!</v>
      </c>
      <c r="P235" s="19" t="e">
        <f>SUMIFS(#REF!,#REF!,美团日报!$C268,#REF!,"秒达")</f>
        <v>#REF!</v>
      </c>
      <c r="Q235" s="23"/>
      <c r="R235" s="23"/>
      <c r="S235" s="22" t="e">
        <f t="shared" si="20"/>
        <v>#REF!</v>
      </c>
      <c r="T235" s="19" t="e">
        <f>SUMIFS(#REF!,#REF!,美团日报!$C268,#REF!,"O2O")</f>
        <v>#REF!</v>
      </c>
      <c r="U235" s="22" t="e">
        <f t="shared" si="21"/>
        <v>#REF!</v>
      </c>
      <c r="V235" s="19" t="e">
        <f>SUMIFS(#REF!,#REF!,美团日报!$C268,#REF!,"O2O")</f>
        <v>#REF!</v>
      </c>
      <c r="W235" s="24" t="s">
        <v>13</v>
      </c>
    </row>
    <row r="236" ht="14.4" spans="1:23">
      <c r="A236" s="30" t="s">
        <v>264</v>
      </c>
      <c r="B236" s="30" t="s">
        <v>350</v>
      </c>
      <c r="C236" s="31">
        <v>8770</v>
      </c>
      <c r="D236" s="30" t="s">
        <v>531</v>
      </c>
      <c r="E236" s="18">
        <f>_xlfn.IFNA(VLOOKUP(C:C,线上线下销售!B:D,3,0),0)</f>
        <v>0</v>
      </c>
      <c r="F236" s="18">
        <f>SUMIFS(线上订单!$E:$E,线上订单!$B:$B,美团日报!$C236)-SUMIFS(线上订单!$E:$E,线上订单!$B:$B,美团日报!$C236,线上订单!$D:$D,"美团")-SUMIFS(线上订单!$E:$E,线上订单!$B:$B,美团日报!$C236,线上订单!$D:$D,"饿了么")</f>
        <v>0</v>
      </c>
      <c r="G236" s="19">
        <f t="shared" si="22"/>
        <v>0</v>
      </c>
      <c r="H236" s="18">
        <f>SUMIFS(线上订单!$F:$F,线上订单!$B:$B,美团日报!$C236)-SUMIFS(线上订单!$F:$F,线上订单!$B:$B,美团日报!$C236,线上订单!$D:$D,"美团")-SUMIFS(线上订单!$F:$F,线上订单!$B:$B,美团日报!$C236,线上订单!$D:$D,"饿了么")</f>
        <v>0</v>
      </c>
      <c r="I236" s="18">
        <f>SUMIFS(线上订单!$F:$F,线上订单!$B:$B,美团日报!$C236)-SUMIFS(线上订单!$F:$F,线上订单!$B:$B,美团日报!$C236,线上订单!$D:$D,"美团")-SUMIFS(线上订单!$F:$F,线上订单!$B:$B,美团日报!$C236,线上订单!$D:$D,"饿了么")</f>
        <v>0</v>
      </c>
      <c r="J236" s="21">
        <f t="shared" si="23"/>
        <v>0</v>
      </c>
      <c r="K236" s="22" t="e">
        <f t="shared" si="18"/>
        <v>#REF!</v>
      </c>
      <c r="L236" s="19" t="e">
        <f>SUMIFS(#REF!,#REF!,美团日报!$C$2,#REF!,"秒达")</f>
        <v>#REF!</v>
      </c>
      <c r="M236" s="23"/>
      <c r="N236" s="23"/>
      <c r="O236" s="22" t="e">
        <f t="shared" si="19"/>
        <v>#REF!</v>
      </c>
      <c r="P236" s="19" t="e">
        <f>SUMIFS(#REF!,#REF!,美团日报!$C269,#REF!,"秒达")</f>
        <v>#REF!</v>
      </c>
      <c r="Q236" s="23"/>
      <c r="R236" s="23"/>
      <c r="S236" s="22" t="e">
        <f t="shared" si="20"/>
        <v>#REF!</v>
      </c>
      <c r="T236" s="19" t="e">
        <f>SUMIFS(#REF!,#REF!,美团日报!$C269,#REF!,"O2O")</f>
        <v>#REF!</v>
      </c>
      <c r="U236" s="22" t="e">
        <f t="shared" si="21"/>
        <v>#REF!</v>
      </c>
      <c r="V236" s="19" t="e">
        <f>SUMIFS(#REF!,#REF!,美团日报!$C269,#REF!,"O2O")</f>
        <v>#REF!</v>
      </c>
      <c r="W236" s="24" t="s">
        <v>13</v>
      </c>
    </row>
    <row r="237" ht="14.4" spans="1:23">
      <c r="A237" s="30" t="s">
        <v>264</v>
      </c>
      <c r="B237" s="30" t="s">
        <v>350</v>
      </c>
      <c r="C237" s="31">
        <v>8769</v>
      </c>
      <c r="D237" s="30" t="s">
        <v>532</v>
      </c>
      <c r="E237" s="18">
        <f>_xlfn.IFNA(VLOOKUP(C:C,线上线下销售!B:D,3,0),0)</f>
        <v>0</v>
      </c>
      <c r="F237" s="18">
        <f>SUMIFS(线上订单!$E:$E,线上订单!$B:$B,美团日报!$C237)-SUMIFS(线上订单!$E:$E,线上订单!$B:$B,美团日报!$C237,线上订单!$D:$D,"美团")-SUMIFS(线上订单!$E:$E,线上订单!$B:$B,美团日报!$C237,线上订单!$D:$D,"饿了么")</f>
        <v>0</v>
      </c>
      <c r="G237" s="19">
        <f t="shared" si="22"/>
        <v>0</v>
      </c>
      <c r="H237" s="18">
        <f>SUMIFS(线上订单!$F:$F,线上订单!$B:$B,美团日报!$C237)-SUMIFS(线上订单!$F:$F,线上订单!$B:$B,美团日报!$C237,线上订单!$D:$D,"美团")-SUMIFS(线上订单!$F:$F,线上订单!$B:$B,美团日报!$C237,线上订单!$D:$D,"饿了么")</f>
        <v>0</v>
      </c>
      <c r="I237" s="18">
        <f>SUMIFS(线上订单!$F:$F,线上订单!$B:$B,美团日报!$C237)-SUMIFS(线上订单!$F:$F,线上订单!$B:$B,美团日报!$C237,线上订单!$D:$D,"美团")-SUMIFS(线上订单!$F:$F,线上订单!$B:$B,美团日报!$C237,线上订单!$D:$D,"饿了么")</f>
        <v>0</v>
      </c>
      <c r="J237" s="21">
        <f t="shared" si="23"/>
        <v>0</v>
      </c>
      <c r="K237" s="22" t="e">
        <f t="shared" si="18"/>
        <v>#REF!</v>
      </c>
      <c r="L237" s="19" t="e">
        <f>SUMIFS(#REF!,#REF!,美团日报!$C$2,#REF!,"秒达")</f>
        <v>#REF!</v>
      </c>
      <c r="M237" s="23"/>
      <c r="N237" s="23"/>
      <c r="O237" s="22" t="e">
        <f t="shared" si="19"/>
        <v>#REF!</v>
      </c>
      <c r="P237" s="19" t="e">
        <f>SUMIFS(#REF!,#REF!,美团日报!$C270,#REF!,"秒达")</f>
        <v>#REF!</v>
      </c>
      <c r="Q237" s="23"/>
      <c r="R237" s="23"/>
      <c r="S237" s="22" t="e">
        <f t="shared" si="20"/>
        <v>#REF!</v>
      </c>
      <c r="T237" s="19" t="e">
        <f>SUMIFS(#REF!,#REF!,美团日报!$C270,#REF!,"O2O")</f>
        <v>#REF!</v>
      </c>
      <c r="U237" s="22" t="e">
        <f t="shared" si="21"/>
        <v>#REF!</v>
      </c>
      <c r="V237" s="19" t="e">
        <f>SUMIFS(#REF!,#REF!,美团日报!$C270,#REF!,"O2O")</f>
        <v>#REF!</v>
      </c>
      <c r="W237" s="24" t="s">
        <v>13</v>
      </c>
    </row>
    <row r="238" ht="14.4" spans="1:23">
      <c r="A238" s="30" t="s">
        <v>48</v>
      </c>
      <c r="B238" s="30" t="s">
        <v>83</v>
      </c>
      <c r="C238" s="31">
        <v>8775</v>
      </c>
      <c r="D238" s="30" t="s">
        <v>533</v>
      </c>
      <c r="E238" s="18">
        <f>_xlfn.IFNA(VLOOKUP(C:C,线上线下销售!B:D,3,0),0)</f>
        <v>0</v>
      </c>
      <c r="F238" s="18">
        <f>SUMIFS(线上订单!$E:$E,线上订单!$B:$B,美团日报!$C238)-SUMIFS(线上订单!$E:$E,线上订单!$B:$B,美团日报!$C238,线上订单!$D:$D,"美团")-SUMIFS(线上订单!$E:$E,线上订单!$B:$B,美团日报!$C238,线上订单!$D:$D,"饿了么")</f>
        <v>0</v>
      </c>
      <c r="G238" s="19">
        <f t="shared" si="22"/>
        <v>0</v>
      </c>
      <c r="H238" s="18">
        <f>SUMIFS(线上订单!$F:$F,线上订单!$B:$B,美团日报!$C238)-SUMIFS(线上订单!$F:$F,线上订单!$B:$B,美团日报!$C238,线上订单!$D:$D,"美团")-SUMIFS(线上订单!$F:$F,线上订单!$B:$B,美团日报!$C238,线上订单!$D:$D,"饿了么")</f>
        <v>0</v>
      </c>
      <c r="I238" s="18">
        <f>SUMIFS(线上订单!$F:$F,线上订单!$B:$B,美团日报!$C238)-SUMIFS(线上订单!$F:$F,线上订单!$B:$B,美团日报!$C238,线上订单!$D:$D,"美团")-SUMIFS(线上订单!$F:$F,线上订单!$B:$B,美团日报!$C238,线上订单!$D:$D,"饿了么")</f>
        <v>0</v>
      </c>
      <c r="J238" s="21">
        <f t="shared" si="23"/>
        <v>0</v>
      </c>
      <c r="K238" s="22" t="e">
        <f t="shared" si="18"/>
        <v>#REF!</v>
      </c>
      <c r="L238" s="19" t="e">
        <f>SUMIFS(#REF!,#REF!,美团日报!$C$2,#REF!,"秒达")</f>
        <v>#REF!</v>
      </c>
      <c r="M238" s="23"/>
      <c r="N238" s="23"/>
      <c r="O238" s="22" t="e">
        <f t="shared" si="19"/>
        <v>#REF!</v>
      </c>
      <c r="P238" s="19" t="e">
        <f>SUMIFS(#REF!,#REF!,美团日报!$C271,#REF!,"秒达")</f>
        <v>#REF!</v>
      </c>
      <c r="Q238" s="23"/>
      <c r="R238" s="23"/>
      <c r="S238" s="22" t="e">
        <f t="shared" si="20"/>
        <v>#REF!</v>
      </c>
      <c r="T238" s="19" t="e">
        <f>SUMIFS(#REF!,#REF!,美团日报!$C271,#REF!,"O2O")</f>
        <v>#REF!</v>
      </c>
      <c r="U238" s="22" t="e">
        <f t="shared" si="21"/>
        <v>#REF!</v>
      </c>
      <c r="V238" s="19" t="e">
        <f>SUMIFS(#REF!,#REF!,美团日报!$C271,#REF!,"O2O")</f>
        <v>#REF!</v>
      </c>
      <c r="W238" s="24" t="s">
        <v>13</v>
      </c>
    </row>
    <row r="239" ht="14.4" spans="1:23">
      <c r="A239" s="30"/>
      <c r="B239" s="30"/>
      <c r="C239" s="31">
        <v>8789</v>
      </c>
      <c r="D239" s="32" t="s">
        <v>534</v>
      </c>
      <c r="E239" s="18">
        <f>_xlfn.IFNA(VLOOKUP(C:C,线上线下销售!B:D,3,0),0)</f>
        <v>4155.7465</v>
      </c>
      <c r="F239" s="18">
        <f>SUMIFS(线上订单!$E:$E,线上订单!$B:$B,美团日报!$C239)-SUMIFS(线上订单!$E:$E,线上订单!$B:$B,美团日报!$C239,线上订单!$D:$D,"美团")-SUMIFS(线上订单!$E:$E,线上订单!$B:$B,美团日报!$C239,线上订单!$D:$D,"饿了么")</f>
        <v>0</v>
      </c>
      <c r="G239" s="19">
        <f t="shared" si="22"/>
        <v>0</v>
      </c>
      <c r="H239" s="18">
        <f>SUMIFS(线上订单!$F:$F,线上订单!$B:$B,美团日报!$C239)-SUMIFS(线上订单!$F:$F,线上订单!$B:$B,美团日报!$C239,线上订单!$D:$D,"美团")-SUMIFS(线上订单!$F:$F,线上订单!$B:$B,美团日报!$C239,线上订单!$D:$D,"饿了么")</f>
        <v>0</v>
      </c>
      <c r="I239" s="18">
        <f>SUMIFS(线上订单!$F:$F,线上订单!$B:$B,美团日报!$C239)-SUMIFS(线上订单!$F:$F,线上订单!$B:$B,美团日报!$C239,线上订单!$D:$D,"美团")-SUMIFS(线上订单!$F:$F,线上订单!$B:$B,美团日报!$C239,线上订单!$D:$D,"饿了么")</f>
        <v>0</v>
      </c>
      <c r="J239" s="21">
        <f t="shared" si="23"/>
        <v>0</v>
      </c>
      <c r="K239" s="22" t="e">
        <f t="shared" si="18"/>
        <v>#REF!</v>
      </c>
      <c r="L239" s="19" t="e">
        <f>SUMIFS(#REF!,#REF!,美团日报!$C$2,#REF!,"秒达")</f>
        <v>#REF!</v>
      </c>
      <c r="M239" s="23"/>
      <c r="N239" s="23"/>
      <c r="O239" s="22" t="e">
        <f t="shared" si="19"/>
        <v>#REF!</v>
      </c>
      <c r="P239" s="19" t="e">
        <f>SUMIFS(#REF!,#REF!,美团日报!$C272,#REF!,"秒达")</f>
        <v>#REF!</v>
      </c>
      <c r="Q239" s="23"/>
      <c r="R239" s="23"/>
      <c r="S239" s="22" t="e">
        <f t="shared" si="20"/>
        <v>#REF!</v>
      </c>
      <c r="T239" s="19" t="e">
        <f>SUMIFS(#REF!,#REF!,美团日报!$C272,#REF!,"O2O")</f>
        <v>#REF!</v>
      </c>
      <c r="U239" s="22" t="e">
        <f t="shared" si="21"/>
        <v>#REF!</v>
      </c>
      <c r="V239" s="19" t="e">
        <f>SUMIFS(#REF!,#REF!,美团日报!$C272,#REF!,"O2O")</f>
        <v>#REF!</v>
      </c>
      <c r="W239" s="24" t="s">
        <v>13</v>
      </c>
    </row>
    <row r="240" ht="14.4" spans="1:23">
      <c r="A240" s="30"/>
      <c r="B240" s="30"/>
      <c r="C240" s="33">
        <v>8798</v>
      </c>
      <c r="D240" s="32" t="s">
        <v>536</v>
      </c>
      <c r="E240" s="18">
        <f>_xlfn.IFNA(VLOOKUP(C:C,线上线下销售!B:D,3,0),0)</f>
        <v>4611.6069</v>
      </c>
      <c r="F240" s="18">
        <f>SUMIFS(线上订单!$E:$E,线上订单!$B:$B,美团日报!$C240)-SUMIFS(线上订单!$E:$E,线上订单!$B:$B,美团日报!$C240,线上订单!$D:$D,"美团")-SUMIFS(线上订单!$E:$E,线上订单!$B:$B,美团日报!$C240,线上订单!$D:$D,"饿了么")</f>
        <v>0</v>
      </c>
      <c r="G240" s="19">
        <f t="shared" si="22"/>
        <v>0</v>
      </c>
      <c r="H240" s="18">
        <f>SUMIFS(线上订单!$F:$F,线上订单!$B:$B,美团日报!$C240)-SUMIFS(线上订单!$F:$F,线上订单!$B:$B,美团日报!$C240,线上订单!$D:$D,"美团")-SUMIFS(线上订单!$F:$F,线上订单!$B:$B,美团日报!$C240,线上订单!$D:$D,"饿了么")</f>
        <v>0</v>
      </c>
      <c r="I240" s="18">
        <f>SUMIFS(线上订单!$F:$F,线上订单!$B:$B,美团日报!$C240)-SUMIFS(线上订单!$F:$F,线上订单!$B:$B,美团日报!$C240,线上订单!$D:$D,"美团")-SUMIFS(线上订单!$F:$F,线上订单!$B:$B,美团日报!$C240,线上订单!$D:$D,"饿了么")</f>
        <v>0</v>
      </c>
      <c r="J240" s="21">
        <f t="shared" si="23"/>
        <v>0</v>
      </c>
      <c r="K240" s="22" t="e">
        <f t="shared" si="18"/>
        <v>#REF!</v>
      </c>
      <c r="L240" s="19" t="e">
        <f>SUMIFS(#REF!,#REF!,美团日报!$C$2,#REF!,"秒达")</f>
        <v>#REF!</v>
      </c>
      <c r="M240" s="23"/>
      <c r="N240" s="23"/>
      <c r="O240" s="22" t="e">
        <f t="shared" si="19"/>
        <v>#REF!</v>
      </c>
      <c r="P240" s="19" t="e">
        <f>SUMIFS(#REF!,#REF!,美团日报!$C273,#REF!,"秒达")</f>
        <v>#REF!</v>
      </c>
      <c r="Q240" s="23"/>
      <c r="R240" s="23"/>
      <c r="S240" s="22" t="e">
        <f t="shared" si="20"/>
        <v>#REF!</v>
      </c>
      <c r="T240" s="19" t="e">
        <f>SUMIFS(#REF!,#REF!,美团日报!$C273,#REF!,"O2O")</f>
        <v>#REF!</v>
      </c>
      <c r="U240" s="22" t="e">
        <f t="shared" si="21"/>
        <v>#REF!</v>
      </c>
      <c r="V240" s="19" t="e">
        <f>SUMIFS(#REF!,#REF!,美团日报!$C273,#REF!,"O2O")</f>
        <v>#REF!</v>
      </c>
      <c r="W240" s="24" t="s">
        <v>13</v>
      </c>
    </row>
    <row r="241" ht="14.4" spans="1:23">
      <c r="A241" s="30"/>
      <c r="B241" s="30"/>
      <c r="C241" s="33">
        <v>8800</v>
      </c>
      <c r="D241" s="32" t="s">
        <v>538</v>
      </c>
      <c r="E241" s="18">
        <f>_xlfn.IFNA(VLOOKUP(C:C,线上线下销售!B:D,3,0),0)</f>
        <v>4055.4092</v>
      </c>
      <c r="F241" s="18">
        <f>SUMIFS(线上订单!$E:$E,线上订单!$B:$B,美团日报!$C241)-SUMIFS(线上订单!$E:$E,线上订单!$B:$B,美团日报!$C241,线上订单!$D:$D,"美团")-SUMIFS(线上订单!$E:$E,线上订单!$B:$B,美团日报!$C241,线上订单!$D:$D,"饿了么")</f>
        <v>0</v>
      </c>
      <c r="G241" s="19">
        <f t="shared" si="22"/>
        <v>0</v>
      </c>
      <c r="H241" s="18">
        <f>SUMIFS(线上订单!$F:$F,线上订单!$B:$B,美团日报!$C241)-SUMIFS(线上订单!$F:$F,线上订单!$B:$B,美团日报!$C241,线上订单!$D:$D,"美团")-SUMIFS(线上订单!$F:$F,线上订单!$B:$B,美团日报!$C241,线上订单!$D:$D,"饿了么")</f>
        <v>0</v>
      </c>
      <c r="I241" s="18">
        <f>SUMIFS(线上订单!$F:$F,线上订单!$B:$B,美团日报!$C241)-SUMIFS(线上订单!$F:$F,线上订单!$B:$B,美团日报!$C241,线上订单!$D:$D,"美团")-SUMIFS(线上订单!$F:$F,线上订单!$B:$B,美团日报!$C241,线上订单!$D:$D,"饿了么")</f>
        <v>0</v>
      </c>
      <c r="J241" s="21">
        <f t="shared" si="23"/>
        <v>0</v>
      </c>
      <c r="K241" s="22" t="e">
        <f t="shared" si="18"/>
        <v>#REF!</v>
      </c>
      <c r="L241" s="19" t="e">
        <f>SUMIFS(#REF!,#REF!,美团日报!$C$2,#REF!,"秒达")</f>
        <v>#REF!</v>
      </c>
      <c r="M241" s="23"/>
      <c r="N241" s="23"/>
      <c r="O241" s="22" t="e">
        <f t="shared" si="19"/>
        <v>#REF!</v>
      </c>
      <c r="P241" s="19" t="e">
        <f>SUMIFS(#REF!,#REF!,美团日报!$C274,#REF!,"秒达")</f>
        <v>#REF!</v>
      </c>
      <c r="Q241" s="23"/>
      <c r="R241" s="23"/>
      <c r="S241" s="22" t="e">
        <f t="shared" si="20"/>
        <v>#REF!</v>
      </c>
      <c r="T241" s="19" t="e">
        <f>SUMIFS(#REF!,#REF!,美团日报!$C274,#REF!,"O2O")</f>
        <v>#REF!</v>
      </c>
      <c r="U241" s="22" t="e">
        <f t="shared" si="21"/>
        <v>#REF!</v>
      </c>
      <c r="V241" s="19" t="e">
        <f>SUMIFS(#REF!,#REF!,美团日报!$C274,#REF!,"O2O")</f>
        <v>#REF!</v>
      </c>
      <c r="W241" s="24" t="s">
        <v>13</v>
      </c>
    </row>
    <row r="242" ht="14.4" spans="1:23">
      <c r="A242" s="30"/>
      <c r="B242" s="30"/>
      <c r="C242" s="33">
        <v>8790</v>
      </c>
      <c r="D242" s="32" t="s">
        <v>539</v>
      </c>
      <c r="E242" s="18">
        <f>_xlfn.IFNA(VLOOKUP(C:C,线上线下销售!B:D,3,0),0)</f>
        <v>2548.7954</v>
      </c>
      <c r="F242" s="18">
        <f>SUMIFS(线上订单!$E:$E,线上订单!$B:$B,美团日报!$C242)-SUMIFS(线上订单!$E:$E,线上订单!$B:$B,美团日报!$C242,线上订单!$D:$D,"美团")-SUMIFS(线上订单!$E:$E,线上订单!$B:$B,美团日报!$C242,线上订单!$D:$D,"饿了么")</f>
        <v>0</v>
      </c>
      <c r="G242" s="19">
        <f t="shared" si="22"/>
        <v>0</v>
      </c>
      <c r="H242" s="18">
        <f>SUMIFS(线上订单!$F:$F,线上订单!$B:$B,美团日报!$C242)-SUMIFS(线上订单!$F:$F,线上订单!$B:$B,美团日报!$C242,线上订单!$D:$D,"美团")-SUMIFS(线上订单!$F:$F,线上订单!$B:$B,美团日报!$C242,线上订单!$D:$D,"饿了么")</f>
        <v>0</v>
      </c>
      <c r="I242" s="18">
        <f>SUMIFS(线上订单!$F:$F,线上订单!$B:$B,美团日报!$C242)-SUMIFS(线上订单!$F:$F,线上订单!$B:$B,美团日报!$C242,线上订单!$D:$D,"美团")-SUMIFS(线上订单!$F:$F,线上订单!$B:$B,美团日报!$C242,线上订单!$D:$D,"饿了么")</f>
        <v>0</v>
      </c>
      <c r="J242" s="21">
        <f t="shared" si="23"/>
        <v>0</v>
      </c>
      <c r="K242" s="22" t="e">
        <f t="shared" si="18"/>
        <v>#REF!</v>
      </c>
      <c r="L242" s="19" t="e">
        <f>SUMIFS(#REF!,#REF!,美团日报!$C$2,#REF!,"秒达")</f>
        <v>#REF!</v>
      </c>
      <c r="M242" s="23"/>
      <c r="N242" s="23"/>
      <c r="O242" s="22" t="e">
        <f t="shared" si="19"/>
        <v>#REF!</v>
      </c>
      <c r="P242" s="19" t="e">
        <f>SUMIFS(#REF!,#REF!,美团日报!$C275,#REF!,"秒达")</f>
        <v>#REF!</v>
      </c>
      <c r="Q242" s="23"/>
      <c r="R242" s="23"/>
      <c r="S242" s="22" t="e">
        <f t="shared" si="20"/>
        <v>#REF!</v>
      </c>
      <c r="T242" s="19" t="e">
        <f>SUMIFS(#REF!,#REF!,美团日报!$C275,#REF!,"O2O")</f>
        <v>#REF!</v>
      </c>
      <c r="U242" s="22" t="e">
        <f t="shared" si="21"/>
        <v>#REF!</v>
      </c>
      <c r="V242" s="19" t="e">
        <f>SUMIFS(#REF!,#REF!,美团日报!$C275,#REF!,"O2O")</f>
        <v>#REF!</v>
      </c>
      <c r="W242" s="24" t="s">
        <v>13</v>
      </c>
    </row>
    <row r="243" ht="14.4" spans="1:23">
      <c r="A243" s="30"/>
      <c r="B243" s="30"/>
      <c r="C243" s="33">
        <v>8796</v>
      </c>
      <c r="D243" s="32" t="s">
        <v>540</v>
      </c>
      <c r="E243" s="18">
        <f>_xlfn.IFNA(VLOOKUP(C:C,线上线下销售!B:D,3,0),0)</f>
        <v>1029.4834</v>
      </c>
      <c r="F243" s="18">
        <f>SUMIFS(线上订单!$E:$E,线上订单!$B:$B,美团日报!$C243)-SUMIFS(线上订单!$E:$E,线上订单!$B:$B,美团日报!$C243,线上订单!$D:$D,"美团")-SUMIFS(线上订单!$E:$E,线上订单!$B:$B,美团日报!$C243,线上订单!$D:$D,"饿了么")</f>
        <v>0</v>
      </c>
      <c r="G243" s="19">
        <f t="shared" si="22"/>
        <v>0</v>
      </c>
      <c r="H243" s="18">
        <f>SUMIFS(线上订单!$F:$F,线上订单!$B:$B,美团日报!$C243)-SUMIFS(线上订单!$F:$F,线上订单!$B:$B,美团日报!$C243,线上订单!$D:$D,"美团")-SUMIFS(线上订单!$F:$F,线上订单!$B:$B,美团日报!$C243,线上订单!$D:$D,"饿了么")</f>
        <v>0</v>
      </c>
      <c r="I243" s="18">
        <f>SUMIFS(线上订单!$F:$F,线上订单!$B:$B,美团日报!$C243)-SUMIFS(线上订单!$F:$F,线上订单!$B:$B,美团日报!$C243,线上订单!$D:$D,"美团")-SUMIFS(线上订单!$F:$F,线上订单!$B:$B,美团日报!$C243,线上订单!$D:$D,"饿了么")</f>
        <v>0</v>
      </c>
      <c r="J243" s="21">
        <f t="shared" si="23"/>
        <v>0</v>
      </c>
      <c r="K243" s="22" t="e">
        <f t="shared" si="18"/>
        <v>#REF!</v>
      </c>
      <c r="L243" s="19" t="e">
        <f>SUMIFS(#REF!,#REF!,美团日报!$C$2,#REF!,"秒达")</f>
        <v>#REF!</v>
      </c>
      <c r="M243" s="23"/>
      <c r="N243" s="23"/>
      <c r="O243" s="22" t="e">
        <f t="shared" si="19"/>
        <v>#REF!</v>
      </c>
      <c r="P243" s="19" t="e">
        <f>SUMIFS(#REF!,#REF!,美团日报!$C276,#REF!,"秒达")</f>
        <v>#REF!</v>
      </c>
      <c r="Q243" s="23"/>
      <c r="R243" s="23"/>
      <c r="S243" s="22" t="e">
        <f t="shared" si="20"/>
        <v>#REF!</v>
      </c>
      <c r="T243" s="19" t="e">
        <f>SUMIFS(#REF!,#REF!,美团日报!$C276,#REF!,"O2O")</f>
        <v>#REF!</v>
      </c>
      <c r="U243" s="22" t="e">
        <f t="shared" si="21"/>
        <v>#REF!</v>
      </c>
      <c r="V243" s="19" t="e">
        <f>SUMIFS(#REF!,#REF!,美团日报!$C276,#REF!,"O2O")</f>
        <v>#REF!</v>
      </c>
      <c r="W243" s="24" t="s">
        <v>13</v>
      </c>
    </row>
    <row r="244" ht="14.4" spans="1:23">
      <c r="A244" s="30"/>
      <c r="B244" s="30"/>
      <c r="C244" s="33">
        <v>8803</v>
      </c>
      <c r="D244" s="32" t="s">
        <v>541</v>
      </c>
      <c r="E244" s="18">
        <f>_xlfn.IFNA(VLOOKUP(C:C,线上线下销售!B:D,3,0),0)</f>
        <v>1940.8555</v>
      </c>
      <c r="F244" s="18">
        <f>SUMIFS(线上订单!$E:$E,线上订单!$B:$B,美团日报!$C244)-SUMIFS(线上订单!$E:$E,线上订单!$B:$B,美团日报!$C244,线上订单!$D:$D,"美团")-SUMIFS(线上订单!$E:$E,线上订单!$B:$B,美团日报!$C244,线上订单!$D:$D,"饿了么")</f>
        <v>0</v>
      </c>
      <c r="G244" s="19">
        <f t="shared" si="22"/>
        <v>0</v>
      </c>
      <c r="H244" s="18">
        <f>SUMIFS(线上订单!$F:$F,线上订单!$B:$B,美团日报!$C244)-SUMIFS(线上订单!$F:$F,线上订单!$B:$B,美团日报!$C244,线上订单!$D:$D,"美团")-SUMIFS(线上订单!$F:$F,线上订单!$B:$B,美团日报!$C244,线上订单!$D:$D,"饿了么")</f>
        <v>0</v>
      </c>
      <c r="I244" s="18">
        <f>SUMIFS(线上订单!$F:$F,线上订单!$B:$B,美团日报!$C244)-SUMIFS(线上订单!$F:$F,线上订单!$B:$B,美团日报!$C244,线上订单!$D:$D,"美团")-SUMIFS(线上订单!$F:$F,线上订单!$B:$B,美团日报!$C244,线上订单!$D:$D,"饿了么")</f>
        <v>0</v>
      </c>
      <c r="J244" s="21">
        <f t="shared" si="23"/>
        <v>0</v>
      </c>
      <c r="K244" s="22" t="e">
        <f t="shared" si="18"/>
        <v>#REF!</v>
      </c>
      <c r="L244" s="19" t="e">
        <f>SUMIFS(#REF!,#REF!,美团日报!$C$2,#REF!,"秒达")</f>
        <v>#REF!</v>
      </c>
      <c r="M244" s="23"/>
      <c r="N244" s="23"/>
      <c r="O244" s="22" t="e">
        <f t="shared" si="19"/>
        <v>#REF!</v>
      </c>
      <c r="P244" s="19" t="e">
        <f>SUMIFS(#REF!,#REF!,美团日报!$C277,#REF!,"秒达")</f>
        <v>#REF!</v>
      </c>
      <c r="Q244" s="23"/>
      <c r="R244" s="23"/>
      <c r="S244" s="22" t="e">
        <f t="shared" si="20"/>
        <v>#REF!</v>
      </c>
      <c r="T244" s="19" t="e">
        <f>SUMIFS(#REF!,#REF!,美团日报!$C277,#REF!,"O2O")</f>
        <v>#REF!</v>
      </c>
      <c r="U244" s="22" t="e">
        <f t="shared" si="21"/>
        <v>#REF!</v>
      </c>
      <c r="V244" s="19" t="e">
        <f>SUMIFS(#REF!,#REF!,美团日报!$C277,#REF!,"O2O")</f>
        <v>#REF!</v>
      </c>
      <c r="W244" s="24" t="s">
        <v>13</v>
      </c>
    </row>
    <row r="245" ht="14.4" spans="1:23">
      <c r="A245" s="30"/>
      <c r="B245" s="30"/>
      <c r="C245" s="33">
        <v>8810</v>
      </c>
      <c r="D245" s="32" t="s">
        <v>542</v>
      </c>
      <c r="E245" s="18">
        <f>_xlfn.IFNA(VLOOKUP(C:C,线上线下销售!B:D,3,0),0)</f>
        <v>23884.7035</v>
      </c>
      <c r="F245" s="18">
        <f>SUMIFS(线上订单!$E:$E,线上订单!$B:$B,美团日报!$C245)-SUMIFS(线上订单!$E:$E,线上订单!$B:$B,美团日报!$C245,线上订单!$D:$D,"美团")-SUMIFS(线上订单!$E:$E,线上订单!$B:$B,美团日报!$C245,线上订单!$D:$D,"饿了么")</f>
        <v>0</v>
      </c>
      <c r="G245" s="19">
        <f t="shared" si="22"/>
        <v>0</v>
      </c>
      <c r="H245" s="18">
        <f>SUMIFS(线上订单!$F:$F,线上订单!$B:$B,美团日报!$C245)-SUMIFS(线上订单!$F:$F,线上订单!$B:$B,美团日报!$C245,线上订单!$D:$D,"美团")-SUMIFS(线上订单!$F:$F,线上订单!$B:$B,美团日报!$C245,线上订单!$D:$D,"饿了么")</f>
        <v>0</v>
      </c>
      <c r="I245" s="18">
        <f>SUMIFS(线上订单!$F:$F,线上订单!$B:$B,美团日报!$C245)-SUMIFS(线上订单!$F:$F,线上订单!$B:$B,美团日报!$C245,线上订单!$D:$D,"美团")-SUMIFS(线上订单!$F:$F,线上订单!$B:$B,美团日报!$C245,线上订单!$D:$D,"饿了么")</f>
        <v>0</v>
      </c>
      <c r="J245" s="21">
        <f t="shared" si="23"/>
        <v>0</v>
      </c>
      <c r="K245" s="22" t="e">
        <f t="shared" si="18"/>
        <v>#REF!</v>
      </c>
      <c r="L245" s="19" t="e">
        <f>SUMIFS(#REF!,#REF!,美团日报!$C$2,#REF!,"秒达")</f>
        <v>#REF!</v>
      </c>
      <c r="M245" s="23"/>
      <c r="N245" s="23"/>
      <c r="O245" s="22" t="e">
        <f t="shared" si="19"/>
        <v>#REF!</v>
      </c>
      <c r="P245" s="19" t="e">
        <f>SUMIFS(#REF!,#REF!,美团日报!$C278,#REF!,"秒达")</f>
        <v>#REF!</v>
      </c>
      <c r="Q245" s="23"/>
      <c r="R245" s="23"/>
      <c r="S245" s="22" t="e">
        <f t="shared" si="20"/>
        <v>#REF!</v>
      </c>
      <c r="T245" s="19" t="e">
        <f>SUMIFS(#REF!,#REF!,美团日报!$C278,#REF!,"O2O")</f>
        <v>#REF!</v>
      </c>
      <c r="U245" s="22" t="e">
        <f t="shared" si="21"/>
        <v>#REF!</v>
      </c>
      <c r="V245" s="19" t="e">
        <f>SUMIFS(#REF!,#REF!,美团日报!$C278,#REF!,"O2O")</f>
        <v>#REF!</v>
      </c>
      <c r="W245" s="24" t="s">
        <v>13</v>
      </c>
    </row>
    <row r="246" ht="14.4" spans="1:23">
      <c r="A246" s="30"/>
      <c r="B246" s="30"/>
      <c r="C246" s="33">
        <v>8801</v>
      </c>
      <c r="D246" s="32" t="s">
        <v>543</v>
      </c>
      <c r="E246" s="18">
        <f>_xlfn.IFNA(VLOOKUP(C:C,线上线下销售!B:D,3,0),0)</f>
        <v>806.8885</v>
      </c>
      <c r="F246" s="18">
        <f>SUMIFS(线上订单!$E:$E,线上订单!$B:$B,美团日报!$C246)-SUMIFS(线上订单!$E:$E,线上订单!$B:$B,美团日报!$C246,线上订单!$D:$D,"美团")-SUMIFS(线上订单!$E:$E,线上订单!$B:$B,美团日报!$C246,线上订单!$D:$D,"饿了么")</f>
        <v>0</v>
      </c>
      <c r="G246" s="19">
        <f t="shared" si="22"/>
        <v>0</v>
      </c>
      <c r="H246" s="18">
        <f>SUMIFS(线上订单!$F:$F,线上订单!$B:$B,美团日报!$C246)-SUMIFS(线上订单!$F:$F,线上订单!$B:$B,美团日报!$C246,线上订单!$D:$D,"美团")-SUMIFS(线上订单!$F:$F,线上订单!$B:$B,美团日报!$C246,线上订单!$D:$D,"饿了么")</f>
        <v>0</v>
      </c>
      <c r="I246" s="18">
        <f>SUMIFS(线上订单!$F:$F,线上订单!$B:$B,美团日报!$C246)-SUMIFS(线上订单!$F:$F,线上订单!$B:$B,美团日报!$C246,线上订单!$D:$D,"美团")-SUMIFS(线上订单!$F:$F,线上订单!$B:$B,美团日报!$C246,线上订单!$D:$D,"饿了么")</f>
        <v>0</v>
      </c>
      <c r="J246" s="21">
        <f t="shared" si="23"/>
        <v>0</v>
      </c>
      <c r="K246" s="22" t="e">
        <f t="shared" ref="K246:K262" si="24">H246*L246</f>
        <v>#REF!</v>
      </c>
      <c r="L246" s="19" t="e">
        <f>SUMIFS(#REF!,#REF!,美团日报!$C$2,#REF!,"秒达")</f>
        <v>#REF!</v>
      </c>
      <c r="M246" s="23"/>
      <c r="N246" s="23"/>
      <c r="O246" s="22" t="e">
        <f t="shared" ref="O246:O262" si="25">H246*(1-P246)</f>
        <v>#REF!</v>
      </c>
      <c r="P246" s="19" t="e">
        <f>SUMIFS(#REF!,#REF!,美团日报!$C279,#REF!,"秒达")</f>
        <v>#REF!</v>
      </c>
      <c r="Q246" s="23"/>
      <c r="R246" s="23"/>
      <c r="S246" s="22" t="e">
        <f t="shared" ref="S246:S262" si="26">H246*T246</f>
        <v>#REF!</v>
      </c>
      <c r="T246" s="19" t="e">
        <f>SUMIFS(#REF!,#REF!,美团日报!$C279,#REF!,"O2O")</f>
        <v>#REF!</v>
      </c>
      <c r="U246" s="22" t="e">
        <f t="shared" ref="U246:U262" si="27">H246*V246</f>
        <v>#REF!</v>
      </c>
      <c r="V246" s="19" t="e">
        <f>SUMIFS(#REF!,#REF!,美团日报!$C279,#REF!,"O2O")</f>
        <v>#REF!</v>
      </c>
      <c r="W246" s="24" t="s">
        <v>13</v>
      </c>
    </row>
    <row r="247" ht="14.4" spans="1:23">
      <c r="A247" s="30"/>
      <c r="B247" s="30"/>
      <c r="C247" s="33">
        <v>8797</v>
      </c>
      <c r="D247" s="32" t="s">
        <v>544</v>
      </c>
      <c r="E247" s="18">
        <f>_xlfn.IFNA(VLOOKUP(C:C,线上线下销售!B:D,3,0),0)</f>
        <v>840.3365</v>
      </c>
      <c r="F247" s="18">
        <f>SUMIFS(线上订单!$E:$E,线上订单!$B:$B,美团日报!$C247)-SUMIFS(线上订单!$E:$E,线上订单!$B:$B,美团日报!$C247,线上订单!$D:$D,"美团")-SUMIFS(线上订单!$E:$E,线上订单!$B:$B,美团日报!$C247,线上订单!$D:$D,"饿了么")</f>
        <v>0</v>
      </c>
      <c r="G247" s="19">
        <f t="shared" si="22"/>
        <v>0</v>
      </c>
      <c r="H247" s="18">
        <f>SUMIFS(线上订单!$F:$F,线上订单!$B:$B,美团日报!$C247)-SUMIFS(线上订单!$F:$F,线上订单!$B:$B,美团日报!$C247,线上订单!$D:$D,"美团")-SUMIFS(线上订单!$F:$F,线上订单!$B:$B,美团日报!$C247,线上订单!$D:$D,"饿了么")</f>
        <v>0</v>
      </c>
      <c r="I247" s="18">
        <f>SUMIFS(线上订单!$F:$F,线上订单!$B:$B,美团日报!$C247)-SUMIFS(线上订单!$F:$F,线上订单!$B:$B,美团日报!$C247,线上订单!$D:$D,"美团")-SUMIFS(线上订单!$F:$F,线上订单!$B:$B,美团日报!$C247,线上订单!$D:$D,"饿了么")</f>
        <v>0</v>
      </c>
      <c r="J247" s="21">
        <f t="shared" si="23"/>
        <v>0</v>
      </c>
      <c r="K247" s="22" t="e">
        <f t="shared" si="24"/>
        <v>#REF!</v>
      </c>
      <c r="L247" s="19" t="e">
        <f>SUMIFS(#REF!,#REF!,美团日报!$C$2,#REF!,"秒达")</f>
        <v>#REF!</v>
      </c>
      <c r="M247" s="23"/>
      <c r="N247" s="23"/>
      <c r="O247" s="22" t="e">
        <f t="shared" si="25"/>
        <v>#REF!</v>
      </c>
      <c r="P247" s="19" t="e">
        <f>SUMIFS(#REF!,#REF!,美团日报!$C280,#REF!,"秒达")</f>
        <v>#REF!</v>
      </c>
      <c r="Q247" s="23"/>
      <c r="R247" s="23"/>
      <c r="S247" s="22" t="e">
        <f t="shared" si="26"/>
        <v>#REF!</v>
      </c>
      <c r="T247" s="19" t="e">
        <f>SUMIFS(#REF!,#REF!,美团日报!$C280,#REF!,"O2O")</f>
        <v>#REF!</v>
      </c>
      <c r="U247" s="22" t="e">
        <f t="shared" si="27"/>
        <v>#REF!</v>
      </c>
      <c r="V247" s="19" t="e">
        <f>SUMIFS(#REF!,#REF!,美团日报!$C280,#REF!,"O2O")</f>
        <v>#REF!</v>
      </c>
      <c r="W247" s="24" t="s">
        <v>13</v>
      </c>
    </row>
    <row r="248" ht="14.4" spans="1:23">
      <c r="A248" s="30"/>
      <c r="B248" s="30"/>
      <c r="C248" s="33">
        <v>8806</v>
      </c>
      <c r="D248" s="32" t="s">
        <v>545</v>
      </c>
      <c r="E248" s="18">
        <f>_xlfn.IFNA(VLOOKUP(C:C,线上线下销售!B:D,3,0),0)</f>
        <v>969.9726</v>
      </c>
      <c r="F248" s="18">
        <f>SUMIFS(线上订单!$E:$E,线上订单!$B:$B,美团日报!$C248)-SUMIFS(线上订单!$E:$E,线上订单!$B:$B,美团日报!$C248,线上订单!$D:$D,"美团")-SUMIFS(线上订单!$E:$E,线上订单!$B:$B,美团日报!$C248,线上订单!$D:$D,"饿了么")</f>
        <v>0</v>
      </c>
      <c r="G248" s="19">
        <f t="shared" si="22"/>
        <v>0</v>
      </c>
      <c r="H248" s="18">
        <f>SUMIFS(线上订单!$F:$F,线上订单!$B:$B,美团日报!$C248)-SUMIFS(线上订单!$F:$F,线上订单!$B:$B,美团日报!$C248,线上订单!$D:$D,"美团")-SUMIFS(线上订单!$F:$F,线上订单!$B:$B,美团日报!$C248,线上订单!$D:$D,"饿了么")</f>
        <v>0</v>
      </c>
      <c r="I248" s="18">
        <f>SUMIFS(线上订单!$F:$F,线上订单!$B:$B,美团日报!$C248)-SUMIFS(线上订单!$F:$F,线上订单!$B:$B,美团日报!$C248,线上订单!$D:$D,"美团")-SUMIFS(线上订单!$F:$F,线上订单!$B:$B,美团日报!$C248,线上订单!$D:$D,"饿了么")</f>
        <v>0</v>
      </c>
      <c r="J248" s="21">
        <f t="shared" si="23"/>
        <v>0</v>
      </c>
      <c r="K248" s="22" t="e">
        <f t="shared" si="24"/>
        <v>#REF!</v>
      </c>
      <c r="L248" s="19" t="e">
        <f>SUMIFS(#REF!,#REF!,美团日报!$C$2,#REF!,"秒达")</f>
        <v>#REF!</v>
      </c>
      <c r="M248" s="23"/>
      <c r="N248" s="23"/>
      <c r="O248" s="22" t="e">
        <f t="shared" si="25"/>
        <v>#REF!</v>
      </c>
      <c r="P248" s="19" t="e">
        <f>SUMIFS(#REF!,#REF!,美团日报!$C281,#REF!,"秒达")</f>
        <v>#REF!</v>
      </c>
      <c r="Q248" s="23"/>
      <c r="R248" s="23"/>
      <c r="S248" s="22" t="e">
        <f t="shared" si="26"/>
        <v>#REF!</v>
      </c>
      <c r="T248" s="19" t="e">
        <f>SUMIFS(#REF!,#REF!,美团日报!$C281,#REF!,"O2O")</f>
        <v>#REF!</v>
      </c>
      <c r="U248" s="22" t="e">
        <f t="shared" si="27"/>
        <v>#REF!</v>
      </c>
      <c r="V248" s="19" t="e">
        <f>SUMIFS(#REF!,#REF!,美团日报!$C281,#REF!,"O2O")</f>
        <v>#REF!</v>
      </c>
      <c r="W248" s="24" t="s">
        <v>13</v>
      </c>
    </row>
    <row r="249" ht="14.4" spans="1:23">
      <c r="A249" s="30"/>
      <c r="B249" s="30"/>
      <c r="C249" s="33">
        <v>8802</v>
      </c>
      <c r="D249" s="32" t="s">
        <v>546</v>
      </c>
      <c r="E249" s="18">
        <f>_xlfn.IFNA(VLOOKUP(C:C,线上线下销售!B:D,3,0),0)</f>
        <v>1137.8884</v>
      </c>
      <c r="F249" s="18">
        <f>SUMIFS(线上订单!$E:$E,线上订单!$B:$B,美团日报!$C249)-SUMIFS(线上订单!$E:$E,线上订单!$B:$B,美团日报!$C249,线上订单!$D:$D,"美团")-SUMIFS(线上订单!$E:$E,线上订单!$B:$B,美团日报!$C249,线上订单!$D:$D,"饿了么")</f>
        <v>0</v>
      </c>
      <c r="G249" s="19">
        <f t="shared" si="22"/>
        <v>0</v>
      </c>
      <c r="H249" s="18">
        <f>SUMIFS(线上订单!$F:$F,线上订单!$B:$B,美团日报!$C249)-SUMIFS(线上订单!$F:$F,线上订单!$B:$B,美团日报!$C249,线上订单!$D:$D,"美团")-SUMIFS(线上订单!$F:$F,线上订单!$B:$B,美团日报!$C249,线上订单!$D:$D,"饿了么")</f>
        <v>0</v>
      </c>
      <c r="I249" s="18">
        <f>SUMIFS(线上订单!$F:$F,线上订单!$B:$B,美团日报!$C249)-SUMIFS(线上订单!$F:$F,线上订单!$B:$B,美团日报!$C249,线上订单!$D:$D,"美团")-SUMIFS(线上订单!$F:$F,线上订单!$B:$B,美团日报!$C249,线上订单!$D:$D,"饿了么")</f>
        <v>0</v>
      </c>
      <c r="J249" s="21">
        <f t="shared" si="23"/>
        <v>0</v>
      </c>
      <c r="K249" s="22" t="e">
        <f t="shared" si="24"/>
        <v>#REF!</v>
      </c>
      <c r="L249" s="19" t="e">
        <f>SUMIFS(#REF!,#REF!,美团日报!$C$2,#REF!,"秒达")</f>
        <v>#REF!</v>
      </c>
      <c r="M249" s="23"/>
      <c r="N249" s="23"/>
      <c r="O249" s="22" t="e">
        <f t="shared" si="25"/>
        <v>#REF!</v>
      </c>
      <c r="P249" s="19" t="e">
        <f>SUMIFS(#REF!,#REF!,美团日报!$C282,#REF!,"秒达")</f>
        <v>#REF!</v>
      </c>
      <c r="Q249" s="23"/>
      <c r="R249" s="23"/>
      <c r="S249" s="22" t="e">
        <f t="shared" si="26"/>
        <v>#REF!</v>
      </c>
      <c r="T249" s="19" t="e">
        <f>SUMIFS(#REF!,#REF!,美团日报!$C282,#REF!,"O2O")</f>
        <v>#REF!</v>
      </c>
      <c r="U249" s="22" t="e">
        <f t="shared" si="27"/>
        <v>#REF!</v>
      </c>
      <c r="V249" s="19" t="e">
        <f>SUMIFS(#REF!,#REF!,美团日报!$C282,#REF!,"O2O")</f>
        <v>#REF!</v>
      </c>
      <c r="W249" s="24" t="s">
        <v>13</v>
      </c>
    </row>
    <row r="250" ht="14.4" spans="1:23">
      <c r="A250" s="30"/>
      <c r="B250" s="30"/>
      <c r="C250" s="33">
        <v>8799</v>
      </c>
      <c r="D250" s="32" t="s">
        <v>547</v>
      </c>
      <c r="E250" s="18">
        <f>_xlfn.IFNA(VLOOKUP(C:C,线上线下销售!B:D,3,0),0)</f>
        <v>3447.4034</v>
      </c>
      <c r="F250" s="18">
        <f>SUMIFS(线上订单!$E:$E,线上订单!$B:$B,美团日报!$C250)-SUMIFS(线上订单!$E:$E,线上订单!$B:$B,美团日报!$C250,线上订单!$D:$D,"美团")-SUMIFS(线上订单!$E:$E,线上订单!$B:$B,美团日报!$C250,线上订单!$D:$D,"饿了么")</f>
        <v>0</v>
      </c>
      <c r="G250" s="19">
        <f t="shared" si="22"/>
        <v>0</v>
      </c>
      <c r="H250" s="18">
        <f>SUMIFS(线上订单!$F:$F,线上订单!$B:$B,美团日报!$C250)-SUMIFS(线上订单!$F:$F,线上订单!$B:$B,美团日报!$C250,线上订单!$D:$D,"美团")-SUMIFS(线上订单!$F:$F,线上订单!$B:$B,美团日报!$C250,线上订单!$D:$D,"饿了么")</f>
        <v>0</v>
      </c>
      <c r="I250" s="18">
        <f>SUMIFS(线上订单!$F:$F,线上订单!$B:$B,美团日报!$C250)-SUMIFS(线上订单!$F:$F,线上订单!$B:$B,美团日报!$C250,线上订单!$D:$D,"美团")-SUMIFS(线上订单!$F:$F,线上订单!$B:$B,美团日报!$C250,线上订单!$D:$D,"饿了么")</f>
        <v>0</v>
      </c>
      <c r="J250" s="21">
        <f t="shared" si="23"/>
        <v>0</v>
      </c>
      <c r="K250" s="22" t="e">
        <f t="shared" si="24"/>
        <v>#REF!</v>
      </c>
      <c r="L250" s="19" t="e">
        <f>SUMIFS(#REF!,#REF!,美团日报!$C$2,#REF!,"秒达")</f>
        <v>#REF!</v>
      </c>
      <c r="M250" s="23"/>
      <c r="N250" s="23"/>
      <c r="O250" s="22" t="e">
        <f t="shared" si="25"/>
        <v>#REF!</v>
      </c>
      <c r="P250" s="19" t="e">
        <f>SUMIFS(#REF!,#REF!,美团日报!$C283,#REF!,"秒达")</f>
        <v>#REF!</v>
      </c>
      <c r="Q250" s="23"/>
      <c r="R250" s="23"/>
      <c r="S250" s="22" t="e">
        <f t="shared" si="26"/>
        <v>#REF!</v>
      </c>
      <c r="T250" s="19" t="e">
        <f>SUMIFS(#REF!,#REF!,美团日报!$C283,#REF!,"O2O")</f>
        <v>#REF!</v>
      </c>
      <c r="U250" s="22" t="e">
        <f t="shared" si="27"/>
        <v>#REF!</v>
      </c>
      <c r="V250" s="19" t="e">
        <f>SUMIFS(#REF!,#REF!,美团日报!$C283,#REF!,"O2O")</f>
        <v>#REF!</v>
      </c>
      <c r="W250" s="24" t="s">
        <v>13</v>
      </c>
    </row>
    <row r="251" ht="14.4" spans="1:23">
      <c r="A251" s="30"/>
      <c r="B251" s="30"/>
      <c r="C251" s="33">
        <v>8805</v>
      </c>
      <c r="D251" s="32" t="s">
        <v>548</v>
      </c>
      <c r="E251" s="18">
        <f>_xlfn.IFNA(VLOOKUP(C:C,线上线下销售!B:D,3,0),0)</f>
        <v>1336.0695</v>
      </c>
      <c r="F251" s="18">
        <f>SUMIFS(线上订单!$E:$E,线上订单!$B:$B,美团日报!$C251)-SUMIFS(线上订单!$E:$E,线上订单!$B:$B,美团日报!$C251,线上订单!$D:$D,"美团")-SUMIFS(线上订单!$E:$E,线上订单!$B:$B,美团日报!$C251,线上订单!$D:$D,"饿了么")</f>
        <v>0</v>
      </c>
      <c r="G251" s="19">
        <f t="shared" si="22"/>
        <v>0</v>
      </c>
      <c r="H251" s="18">
        <f>SUMIFS(线上订单!$F:$F,线上订单!$B:$B,美团日报!$C251)-SUMIFS(线上订单!$F:$F,线上订单!$B:$B,美团日报!$C251,线上订单!$D:$D,"美团")-SUMIFS(线上订单!$F:$F,线上订单!$B:$B,美团日报!$C251,线上订单!$D:$D,"饿了么")</f>
        <v>0</v>
      </c>
      <c r="I251" s="18">
        <f>SUMIFS(线上订单!$F:$F,线上订单!$B:$B,美团日报!$C251)-SUMIFS(线上订单!$F:$F,线上订单!$B:$B,美团日报!$C251,线上订单!$D:$D,"美团")-SUMIFS(线上订单!$F:$F,线上订单!$B:$B,美团日报!$C251,线上订单!$D:$D,"饿了么")</f>
        <v>0</v>
      </c>
      <c r="J251" s="21">
        <f t="shared" si="23"/>
        <v>0</v>
      </c>
      <c r="K251" s="22" t="e">
        <f t="shared" si="24"/>
        <v>#REF!</v>
      </c>
      <c r="L251" s="19" t="e">
        <f>SUMIFS(#REF!,#REF!,美团日报!$C$2,#REF!,"秒达")</f>
        <v>#REF!</v>
      </c>
      <c r="M251" s="23"/>
      <c r="N251" s="23"/>
      <c r="O251" s="22" t="e">
        <f t="shared" si="25"/>
        <v>#REF!</v>
      </c>
      <c r="P251" s="19" t="e">
        <f>SUMIFS(#REF!,#REF!,美团日报!$C284,#REF!,"秒达")</f>
        <v>#REF!</v>
      </c>
      <c r="Q251" s="23"/>
      <c r="R251" s="23"/>
      <c r="S251" s="22" t="e">
        <f t="shared" si="26"/>
        <v>#REF!</v>
      </c>
      <c r="T251" s="19" t="e">
        <f>SUMIFS(#REF!,#REF!,美团日报!$C284,#REF!,"O2O")</f>
        <v>#REF!</v>
      </c>
      <c r="U251" s="22" t="e">
        <f t="shared" si="27"/>
        <v>#REF!</v>
      </c>
      <c r="V251" s="19" t="e">
        <f>SUMIFS(#REF!,#REF!,美团日报!$C284,#REF!,"O2O")</f>
        <v>#REF!</v>
      </c>
      <c r="W251" s="24" t="s">
        <v>13</v>
      </c>
    </row>
    <row r="252" ht="14.4" spans="1:23">
      <c r="A252" s="30"/>
      <c r="B252" s="30"/>
      <c r="C252" s="33">
        <v>8791</v>
      </c>
      <c r="D252" s="32" t="s">
        <v>549</v>
      </c>
      <c r="E252" s="18">
        <f>_xlfn.IFNA(VLOOKUP(C:C,线上线下销售!B:D,3,0),0)</f>
        <v>4379.2147</v>
      </c>
      <c r="F252" s="18">
        <f>SUMIFS(线上订单!$E:$E,线上订单!$B:$B,美团日报!$C252)-SUMIFS(线上订单!$E:$E,线上订单!$B:$B,美团日报!$C252,线上订单!$D:$D,"美团")-SUMIFS(线上订单!$E:$E,线上订单!$B:$B,美团日报!$C252,线上订单!$D:$D,"饿了么")</f>
        <v>0</v>
      </c>
      <c r="G252" s="19">
        <f t="shared" si="22"/>
        <v>0</v>
      </c>
      <c r="H252" s="18">
        <f>SUMIFS(线上订单!$F:$F,线上订单!$B:$B,美团日报!$C252)-SUMIFS(线上订单!$F:$F,线上订单!$B:$B,美团日报!$C252,线上订单!$D:$D,"美团")-SUMIFS(线上订单!$F:$F,线上订单!$B:$B,美团日报!$C252,线上订单!$D:$D,"饿了么")</f>
        <v>0</v>
      </c>
      <c r="I252" s="18">
        <f>SUMIFS(线上订单!$F:$F,线上订单!$B:$B,美团日报!$C252)-SUMIFS(线上订单!$F:$F,线上订单!$B:$B,美团日报!$C252,线上订单!$D:$D,"美团")-SUMIFS(线上订单!$F:$F,线上订单!$B:$B,美团日报!$C252,线上订单!$D:$D,"饿了么")</f>
        <v>0</v>
      </c>
      <c r="J252" s="21">
        <f t="shared" si="23"/>
        <v>0</v>
      </c>
      <c r="K252" s="22" t="e">
        <f t="shared" si="24"/>
        <v>#REF!</v>
      </c>
      <c r="L252" s="19" t="e">
        <f>SUMIFS(#REF!,#REF!,美团日报!$C$2,#REF!,"秒达")</f>
        <v>#REF!</v>
      </c>
      <c r="M252" s="23"/>
      <c r="N252" s="23"/>
      <c r="O252" s="22" t="e">
        <f t="shared" si="25"/>
        <v>#REF!</v>
      </c>
      <c r="P252" s="19" t="e">
        <f>SUMIFS(#REF!,#REF!,美团日报!$C285,#REF!,"秒达")</f>
        <v>#REF!</v>
      </c>
      <c r="Q252" s="23"/>
      <c r="R252" s="23"/>
      <c r="S252" s="22" t="e">
        <f t="shared" si="26"/>
        <v>#REF!</v>
      </c>
      <c r="T252" s="19" t="e">
        <f>SUMIFS(#REF!,#REF!,美团日报!$C285,#REF!,"O2O")</f>
        <v>#REF!</v>
      </c>
      <c r="U252" s="22" t="e">
        <f t="shared" si="27"/>
        <v>#REF!</v>
      </c>
      <c r="V252" s="19" t="e">
        <f>SUMIFS(#REF!,#REF!,美团日报!$C285,#REF!,"O2O")</f>
        <v>#REF!</v>
      </c>
      <c r="W252" s="24" t="s">
        <v>13</v>
      </c>
    </row>
    <row r="253" ht="14.4" spans="1:23">
      <c r="A253" s="30"/>
      <c r="B253" s="30"/>
      <c r="C253" s="33">
        <v>8807</v>
      </c>
      <c r="D253" s="32" t="s">
        <v>550</v>
      </c>
      <c r="E253" s="18">
        <f>_xlfn.IFNA(VLOOKUP(C:C,线上线下销售!B:D,3,0),0)</f>
        <v>1030.0879</v>
      </c>
      <c r="F253" s="18">
        <f>SUMIFS(线上订单!$E:$E,线上订单!$B:$B,美团日报!$C253)-SUMIFS(线上订单!$E:$E,线上订单!$B:$B,美团日报!$C253,线上订单!$D:$D,"美团")-SUMIFS(线上订单!$E:$E,线上订单!$B:$B,美团日报!$C253,线上订单!$D:$D,"饿了么")</f>
        <v>0</v>
      </c>
      <c r="G253" s="19">
        <f t="shared" si="22"/>
        <v>0</v>
      </c>
      <c r="H253" s="18">
        <f>SUMIFS(线上订单!$F:$F,线上订单!$B:$B,美团日报!$C253)-SUMIFS(线上订单!$F:$F,线上订单!$B:$B,美团日报!$C253,线上订单!$D:$D,"美团")-SUMIFS(线上订单!$F:$F,线上订单!$B:$B,美团日报!$C253,线上订单!$D:$D,"饿了么")</f>
        <v>0</v>
      </c>
      <c r="I253" s="18">
        <f>SUMIFS(线上订单!$F:$F,线上订单!$B:$B,美团日报!$C253)-SUMIFS(线上订单!$F:$F,线上订单!$B:$B,美团日报!$C253,线上订单!$D:$D,"美团")-SUMIFS(线上订单!$F:$F,线上订单!$B:$B,美团日报!$C253,线上订单!$D:$D,"饿了么")</f>
        <v>0</v>
      </c>
      <c r="J253" s="21">
        <f t="shared" si="23"/>
        <v>0</v>
      </c>
      <c r="K253" s="22" t="e">
        <f t="shared" si="24"/>
        <v>#REF!</v>
      </c>
      <c r="L253" s="19" t="e">
        <f>SUMIFS(#REF!,#REF!,美团日报!$C$2,#REF!,"秒达")</f>
        <v>#REF!</v>
      </c>
      <c r="M253" s="23"/>
      <c r="N253" s="23"/>
      <c r="O253" s="22" t="e">
        <f t="shared" si="25"/>
        <v>#REF!</v>
      </c>
      <c r="P253" s="19" t="e">
        <f>SUMIFS(#REF!,#REF!,美团日报!$C286,#REF!,"秒达")</f>
        <v>#REF!</v>
      </c>
      <c r="Q253" s="23"/>
      <c r="R253" s="23"/>
      <c r="S253" s="22" t="e">
        <f t="shared" si="26"/>
        <v>#REF!</v>
      </c>
      <c r="T253" s="19" t="e">
        <f>SUMIFS(#REF!,#REF!,美团日报!$C286,#REF!,"O2O")</f>
        <v>#REF!</v>
      </c>
      <c r="U253" s="22" t="e">
        <f t="shared" si="27"/>
        <v>#REF!</v>
      </c>
      <c r="V253" s="19" t="e">
        <f>SUMIFS(#REF!,#REF!,美团日报!$C286,#REF!,"O2O")</f>
        <v>#REF!</v>
      </c>
      <c r="W253" s="24" t="s">
        <v>13</v>
      </c>
    </row>
    <row r="254" ht="14.4" spans="1:23">
      <c r="A254" s="30"/>
      <c r="B254" s="30"/>
      <c r="C254" s="33">
        <v>8808</v>
      </c>
      <c r="D254" s="32" t="s">
        <v>551</v>
      </c>
      <c r="E254" s="18">
        <f>_xlfn.IFNA(VLOOKUP(C:C,线上线下销售!B:D,3,0),0)</f>
        <v>3983.0242</v>
      </c>
      <c r="F254" s="18">
        <f>SUMIFS(线上订单!$E:$E,线上订单!$B:$B,美团日报!$C254)-SUMIFS(线上订单!$E:$E,线上订单!$B:$B,美团日报!$C254,线上订单!$D:$D,"美团")-SUMIFS(线上订单!$E:$E,线上订单!$B:$B,美团日报!$C254,线上订单!$D:$D,"饿了么")</f>
        <v>0</v>
      </c>
      <c r="G254" s="19">
        <f t="shared" si="22"/>
        <v>0</v>
      </c>
      <c r="H254" s="18">
        <f>SUMIFS(线上订单!$F:$F,线上订单!$B:$B,美团日报!$C254)-SUMIFS(线上订单!$F:$F,线上订单!$B:$B,美团日报!$C254,线上订单!$D:$D,"美团")-SUMIFS(线上订单!$F:$F,线上订单!$B:$B,美团日报!$C254,线上订单!$D:$D,"饿了么")</f>
        <v>0</v>
      </c>
      <c r="I254" s="18">
        <f>SUMIFS(线上订单!$F:$F,线上订单!$B:$B,美团日报!$C254)-SUMIFS(线上订单!$F:$F,线上订单!$B:$B,美团日报!$C254,线上订单!$D:$D,"美团")-SUMIFS(线上订单!$F:$F,线上订单!$B:$B,美团日报!$C254,线上订单!$D:$D,"饿了么")</f>
        <v>0</v>
      </c>
      <c r="J254" s="21">
        <f t="shared" si="23"/>
        <v>0</v>
      </c>
      <c r="K254" s="22" t="e">
        <f t="shared" si="24"/>
        <v>#REF!</v>
      </c>
      <c r="L254" s="19" t="e">
        <f>SUMIFS(#REF!,#REF!,美团日报!$C$2,#REF!,"秒达")</f>
        <v>#REF!</v>
      </c>
      <c r="M254" s="23"/>
      <c r="N254" s="23"/>
      <c r="O254" s="22" t="e">
        <f t="shared" si="25"/>
        <v>#REF!</v>
      </c>
      <c r="P254" s="19" t="e">
        <f>SUMIFS(#REF!,#REF!,美团日报!$C287,#REF!,"秒达")</f>
        <v>#REF!</v>
      </c>
      <c r="Q254" s="23"/>
      <c r="R254" s="23"/>
      <c r="S254" s="22" t="e">
        <f t="shared" si="26"/>
        <v>#REF!</v>
      </c>
      <c r="T254" s="19" t="e">
        <f>SUMIFS(#REF!,#REF!,美团日报!$C287,#REF!,"O2O")</f>
        <v>#REF!</v>
      </c>
      <c r="U254" s="22" t="e">
        <f t="shared" si="27"/>
        <v>#REF!</v>
      </c>
      <c r="V254" s="19" t="e">
        <f>SUMIFS(#REF!,#REF!,美团日报!$C287,#REF!,"O2O")</f>
        <v>#REF!</v>
      </c>
      <c r="W254" s="24" t="s">
        <v>13</v>
      </c>
    </row>
    <row r="255" ht="14.4" spans="1:23">
      <c r="A255" s="30"/>
      <c r="B255" s="30"/>
      <c r="C255" s="33">
        <v>8809</v>
      </c>
      <c r="D255" s="32" t="s">
        <v>552</v>
      </c>
      <c r="E255" s="18">
        <f>_xlfn.IFNA(VLOOKUP(C:C,线上线下销售!B:D,3,0),0)</f>
        <v>5197.3052</v>
      </c>
      <c r="F255" s="18">
        <f>SUMIFS(线上订单!$E:$E,线上订单!$B:$B,美团日报!$C255)-SUMIFS(线上订单!$E:$E,线上订单!$B:$B,美团日报!$C255,线上订单!$D:$D,"美团")-SUMIFS(线上订单!$E:$E,线上订单!$B:$B,美团日报!$C255,线上订单!$D:$D,"饿了么")</f>
        <v>0</v>
      </c>
      <c r="G255" s="19">
        <f t="shared" si="22"/>
        <v>0</v>
      </c>
      <c r="H255" s="18">
        <f>SUMIFS(线上订单!$F:$F,线上订单!$B:$B,美团日报!$C255)-SUMIFS(线上订单!$F:$F,线上订单!$B:$B,美团日报!$C255,线上订单!$D:$D,"美团")-SUMIFS(线上订单!$F:$F,线上订单!$B:$B,美团日报!$C255,线上订单!$D:$D,"饿了么")</f>
        <v>0</v>
      </c>
      <c r="I255" s="18">
        <f>SUMIFS(线上订单!$F:$F,线上订单!$B:$B,美团日报!$C255)-SUMIFS(线上订单!$F:$F,线上订单!$B:$B,美团日报!$C255,线上订单!$D:$D,"美团")-SUMIFS(线上订单!$F:$F,线上订单!$B:$B,美团日报!$C255,线上订单!$D:$D,"饿了么")</f>
        <v>0</v>
      </c>
      <c r="J255" s="21">
        <f t="shared" si="23"/>
        <v>0</v>
      </c>
      <c r="K255" s="22" t="e">
        <f t="shared" si="24"/>
        <v>#REF!</v>
      </c>
      <c r="L255" s="19" t="e">
        <f>SUMIFS(#REF!,#REF!,美团日报!$C$2,#REF!,"秒达")</f>
        <v>#REF!</v>
      </c>
      <c r="M255" s="23"/>
      <c r="N255" s="23"/>
      <c r="O255" s="22" t="e">
        <f t="shared" si="25"/>
        <v>#REF!</v>
      </c>
      <c r="P255" s="19" t="e">
        <f>SUMIFS(#REF!,#REF!,美团日报!$C288,#REF!,"秒达")</f>
        <v>#REF!</v>
      </c>
      <c r="Q255" s="23"/>
      <c r="R255" s="23"/>
      <c r="S255" s="22" t="e">
        <f t="shared" si="26"/>
        <v>#REF!</v>
      </c>
      <c r="T255" s="19" t="e">
        <f>SUMIFS(#REF!,#REF!,美团日报!$C288,#REF!,"O2O")</f>
        <v>#REF!</v>
      </c>
      <c r="U255" s="22" t="e">
        <f t="shared" si="27"/>
        <v>#REF!</v>
      </c>
      <c r="V255" s="19" t="e">
        <f>SUMIFS(#REF!,#REF!,美团日报!$C288,#REF!,"O2O")</f>
        <v>#REF!</v>
      </c>
      <c r="W255" s="24" t="s">
        <v>13</v>
      </c>
    </row>
    <row r="256" ht="14.4" spans="1:23">
      <c r="A256" s="30"/>
      <c r="B256" s="30"/>
      <c r="C256" s="33">
        <v>8794</v>
      </c>
      <c r="D256" s="32" t="s">
        <v>553</v>
      </c>
      <c r="E256" s="18">
        <f>_xlfn.IFNA(VLOOKUP(C:C,线上线下销售!B:D,3,0),0)</f>
        <v>1239.4563</v>
      </c>
      <c r="F256" s="18">
        <f>SUMIFS(线上订单!$E:$E,线上订单!$B:$B,美团日报!$C256)-SUMIFS(线上订单!$E:$E,线上订单!$B:$B,美团日报!$C256,线上订单!$D:$D,"美团")-SUMIFS(线上订单!$E:$E,线上订单!$B:$B,美团日报!$C256,线上订单!$D:$D,"饿了么")</f>
        <v>0</v>
      </c>
      <c r="G256" s="19">
        <f t="shared" si="22"/>
        <v>0</v>
      </c>
      <c r="H256" s="18">
        <f>SUMIFS(线上订单!$F:$F,线上订单!$B:$B,美团日报!$C256)-SUMIFS(线上订单!$F:$F,线上订单!$B:$B,美团日报!$C256,线上订单!$D:$D,"美团")-SUMIFS(线上订单!$F:$F,线上订单!$B:$B,美团日报!$C256,线上订单!$D:$D,"饿了么")</f>
        <v>0</v>
      </c>
      <c r="I256" s="18">
        <f>SUMIFS(线上订单!$F:$F,线上订单!$B:$B,美团日报!$C256)-SUMIFS(线上订单!$F:$F,线上订单!$B:$B,美团日报!$C256,线上订单!$D:$D,"美团")-SUMIFS(线上订单!$F:$F,线上订单!$B:$B,美团日报!$C256,线上订单!$D:$D,"饿了么")</f>
        <v>0</v>
      </c>
      <c r="J256" s="21">
        <f t="shared" si="23"/>
        <v>0</v>
      </c>
      <c r="K256" s="22" t="e">
        <f t="shared" si="24"/>
        <v>#REF!</v>
      </c>
      <c r="L256" s="19" t="e">
        <f>SUMIFS(#REF!,#REF!,美团日报!$C$2,#REF!,"秒达")</f>
        <v>#REF!</v>
      </c>
      <c r="M256" s="23"/>
      <c r="N256" s="23"/>
      <c r="O256" s="22" t="e">
        <f t="shared" si="25"/>
        <v>#REF!</v>
      </c>
      <c r="P256" s="19" t="e">
        <f>SUMIFS(#REF!,#REF!,美团日报!$C289,#REF!,"秒达")</f>
        <v>#REF!</v>
      </c>
      <c r="Q256" s="23"/>
      <c r="R256" s="23"/>
      <c r="S256" s="22" t="e">
        <f t="shared" si="26"/>
        <v>#REF!</v>
      </c>
      <c r="T256" s="19" t="e">
        <f>SUMIFS(#REF!,#REF!,美团日报!$C289,#REF!,"O2O")</f>
        <v>#REF!</v>
      </c>
      <c r="U256" s="22" t="e">
        <f t="shared" si="27"/>
        <v>#REF!</v>
      </c>
      <c r="V256" s="19" t="e">
        <f>SUMIFS(#REF!,#REF!,美团日报!$C289,#REF!,"O2O")</f>
        <v>#REF!</v>
      </c>
      <c r="W256" s="24" t="s">
        <v>13</v>
      </c>
    </row>
    <row r="257" ht="14.4" spans="1:23">
      <c r="A257" s="30"/>
      <c r="B257" s="30"/>
      <c r="C257" s="33">
        <v>8815</v>
      </c>
      <c r="D257" s="32" t="s">
        <v>554</v>
      </c>
      <c r="E257" s="18">
        <f>_xlfn.IFNA(VLOOKUP(C:C,线上线下销售!B:D,3,0),0)</f>
        <v>261.982</v>
      </c>
      <c r="F257" s="18">
        <f>SUMIFS(线上订单!$E:$E,线上订单!$B:$B,美团日报!$C257)-SUMIFS(线上订单!$E:$E,线上订单!$B:$B,美团日报!$C257,线上订单!$D:$D,"美团")-SUMIFS(线上订单!$E:$E,线上订单!$B:$B,美团日报!$C257,线上订单!$D:$D,"饿了么")</f>
        <v>0</v>
      </c>
      <c r="G257" s="19">
        <f t="shared" si="22"/>
        <v>0</v>
      </c>
      <c r="H257" s="18">
        <f>SUMIFS(线上订单!$F:$F,线上订单!$B:$B,美团日报!$C257)-SUMIFS(线上订单!$F:$F,线上订单!$B:$B,美团日报!$C257,线上订单!$D:$D,"美团")-SUMIFS(线上订单!$F:$F,线上订单!$B:$B,美团日报!$C257,线上订单!$D:$D,"饿了么")</f>
        <v>0</v>
      </c>
      <c r="I257" s="18">
        <f>SUMIFS(线上订单!$F:$F,线上订单!$B:$B,美团日报!$C257)-SUMIFS(线上订单!$F:$F,线上订单!$B:$B,美团日报!$C257,线上订单!$D:$D,"美团")-SUMIFS(线上订单!$F:$F,线上订单!$B:$B,美团日报!$C257,线上订单!$D:$D,"饿了么")</f>
        <v>0</v>
      </c>
      <c r="J257" s="21">
        <f t="shared" si="23"/>
        <v>0</v>
      </c>
      <c r="K257" s="22" t="e">
        <f t="shared" si="24"/>
        <v>#REF!</v>
      </c>
      <c r="L257" s="19" t="e">
        <f>SUMIFS(#REF!,#REF!,美团日报!$C$2,#REF!,"秒达")</f>
        <v>#REF!</v>
      </c>
      <c r="M257" s="23"/>
      <c r="N257" s="23"/>
      <c r="O257" s="22" t="e">
        <f t="shared" si="25"/>
        <v>#REF!</v>
      </c>
      <c r="P257" s="19" t="e">
        <f>SUMIFS(#REF!,#REF!,美团日报!$C290,#REF!,"秒达")</f>
        <v>#REF!</v>
      </c>
      <c r="Q257" s="23"/>
      <c r="R257" s="23"/>
      <c r="S257" s="22" t="e">
        <f t="shared" si="26"/>
        <v>#REF!</v>
      </c>
      <c r="T257" s="19" t="e">
        <f>SUMIFS(#REF!,#REF!,美团日报!$C290,#REF!,"O2O")</f>
        <v>#REF!</v>
      </c>
      <c r="U257" s="22" t="e">
        <f t="shared" si="27"/>
        <v>#REF!</v>
      </c>
      <c r="V257" s="19" t="e">
        <f>SUMIFS(#REF!,#REF!,美团日报!$C290,#REF!,"O2O")</f>
        <v>#REF!</v>
      </c>
      <c r="W257" s="24" t="s">
        <v>13</v>
      </c>
    </row>
    <row r="258" ht="14.4" spans="1:23">
      <c r="A258" s="30"/>
      <c r="B258" s="30"/>
      <c r="C258" s="33">
        <v>8816</v>
      </c>
      <c r="D258" s="32" t="s">
        <v>555</v>
      </c>
      <c r="E258" s="18">
        <f>_xlfn.IFNA(VLOOKUP(C:C,线上线下销售!B:D,3,0),0)</f>
        <v>316.7169</v>
      </c>
      <c r="F258" s="18">
        <f>SUMIFS(线上订单!$E:$E,线上订单!$B:$B,美团日报!$C258)-SUMIFS(线上订单!$E:$E,线上订单!$B:$B,美团日报!$C258,线上订单!$D:$D,"美团")-SUMIFS(线上订单!$E:$E,线上订单!$B:$B,美团日报!$C258,线上订单!$D:$D,"饿了么")</f>
        <v>0</v>
      </c>
      <c r="G258" s="19">
        <f t="shared" si="22"/>
        <v>0</v>
      </c>
      <c r="H258" s="18">
        <f>SUMIFS(线上订单!$F:$F,线上订单!$B:$B,美团日报!$C258)-SUMIFS(线上订单!$F:$F,线上订单!$B:$B,美团日报!$C258,线上订单!$D:$D,"美团")-SUMIFS(线上订单!$F:$F,线上订单!$B:$B,美团日报!$C258,线上订单!$D:$D,"饿了么")</f>
        <v>0</v>
      </c>
      <c r="I258" s="18">
        <f>SUMIFS(线上订单!$F:$F,线上订单!$B:$B,美团日报!$C258)-SUMIFS(线上订单!$F:$F,线上订单!$B:$B,美团日报!$C258,线上订单!$D:$D,"美团")-SUMIFS(线上订单!$F:$F,线上订单!$B:$B,美团日报!$C258,线上订单!$D:$D,"饿了么")</f>
        <v>0</v>
      </c>
      <c r="J258" s="21">
        <f t="shared" si="23"/>
        <v>0</v>
      </c>
      <c r="K258" s="22" t="e">
        <f t="shared" si="24"/>
        <v>#REF!</v>
      </c>
      <c r="L258" s="19" t="e">
        <f>SUMIFS(#REF!,#REF!,美团日报!$C$2,#REF!,"秒达")</f>
        <v>#REF!</v>
      </c>
      <c r="M258" s="23"/>
      <c r="N258" s="23"/>
      <c r="O258" s="22" t="e">
        <f t="shared" si="25"/>
        <v>#REF!</v>
      </c>
      <c r="P258" s="19" t="e">
        <f>SUMIFS(#REF!,#REF!,美团日报!$C291,#REF!,"秒达")</f>
        <v>#REF!</v>
      </c>
      <c r="Q258" s="23"/>
      <c r="R258" s="23"/>
      <c r="S258" s="22" t="e">
        <f t="shared" si="26"/>
        <v>#REF!</v>
      </c>
      <c r="T258" s="19" t="e">
        <f>SUMIFS(#REF!,#REF!,美团日报!$C291,#REF!,"O2O")</f>
        <v>#REF!</v>
      </c>
      <c r="U258" s="22" t="e">
        <f t="shared" si="27"/>
        <v>#REF!</v>
      </c>
      <c r="V258" s="19" t="e">
        <f>SUMIFS(#REF!,#REF!,美团日报!$C291,#REF!,"O2O")</f>
        <v>#REF!</v>
      </c>
      <c r="W258" s="24" t="s">
        <v>13</v>
      </c>
    </row>
    <row r="259" ht="14.4" spans="1:23">
      <c r="A259" s="30"/>
      <c r="B259" s="30"/>
      <c r="C259" s="33">
        <v>8814</v>
      </c>
      <c r="D259" s="32" t="s">
        <v>556</v>
      </c>
      <c r="E259" s="18">
        <f>_xlfn.IFNA(VLOOKUP(C:C,线上线下销售!B:D,3,0),0)</f>
        <v>96.3717</v>
      </c>
      <c r="F259" s="18">
        <f>SUMIFS(线上订单!$E:$E,线上订单!$B:$B,美团日报!$C259)-SUMIFS(线上订单!$E:$E,线上订单!$B:$B,美团日报!$C259,线上订单!$D:$D,"美团")-SUMIFS(线上订单!$E:$E,线上订单!$B:$B,美团日报!$C259,线上订单!$D:$D,"饿了么")</f>
        <v>0</v>
      </c>
      <c r="G259" s="19">
        <f>IFERROR(F259/E259,0%)</f>
        <v>0</v>
      </c>
      <c r="H259" s="18">
        <f>SUMIFS(线上订单!$F:$F,线上订单!$B:$B,美团日报!$C259)-SUMIFS(线上订单!$F:$F,线上订单!$B:$B,美团日报!$C259,线上订单!$D:$D,"美团")-SUMIFS(线上订单!$F:$F,线上订单!$B:$B,美团日报!$C259,线上订单!$D:$D,"饿了么")</f>
        <v>0</v>
      </c>
      <c r="I259" s="18">
        <f>SUMIFS(线上订单!$F:$F,线上订单!$B:$B,美团日报!$C259)-SUMIFS(线上订单!$F:$F,线上订单!$B:$B,美团日报!$C259,线上订单!$D:$D,"美团")-SUMIFS(线上订单!$F:$F,线上订单!$B:$B,美团日报!$C259,线上订单!$D:$D,"饿了么")</f>
        <v>0</v>
      </c>
      <c r="J259" s="21">
        <f>IFERROR(F259/I259,0)</f>
        <v>0</v>
      </c>
      <c r="K259" s="22" t="e">
        <f t="shared" si="24"/>
        <v>#REF!</v>
      </c>
      <c r="L259" s="19" t="e">
        <f>SUMIFS(#REF!,#REF!,美团日报!$C$2,#REF!,"秒达")</f>
        <v>#REF!</v>
      </c>
      <c r="M259" s="23"/>
      <c r="N259" s="23"/>
      <c r="O259" s="22" t="e">
        <f t="shared" si="25"/>
        <v>#REF!</v>
      </c>
      <c r="P259" s="19" t="e">
        <f>SUMIFS(#REF!,#REF!,美团日报!$C292,#REF!,"秒达")</f>
        <v>#REF!</v>
      </c>
      <c r="Q259" s="23"/>
      <c r="R259" s="23"/>
      <c r="S259" s="22" t="e">
        <f t="shared" si="26"/>
        <v>#REF!</v>
      </c>
      <c r="T259" s="19" t="e">
        <f>SUMIFS(#REF!,#REF!,美团日报!$C292,#REF!,"O2O")</f>
        <v>#REF!</v>
      </c>
      <c r="U259" s="22" t="e">
        <f t="shared" si="27"/>
        <v>#REF!</v>
      </c>
      <c r="V259" s="19" t="e">
        <f>SUMIFS(#REF!,#REF!,美团日报!$C292,#REF!,"O2O")</f>
        <v>#REF!</v>
      </c>
      <c r="W259" s="24" t="s">
        <v>13</v>
      </c>
    </row>
    <row r="260" ht="14.4" spans="1:23">
      <c r="A260" s="30"/>
      <c r="B260" s="30"/>
      <c r="C260" s="33">
        <v>8811</v>
      </c>
      <c r="D260" s="32" t="s">
        <v>557</v>
      </c>
      <c r="E260" s="18">
        <f>_xlfn.IFNA(VLOOKUP(C:C,线上线下销售!B:D,3,0),0)</f>
        <v>3800.7928</v>
      </c>
      <c r="F260" s="18">
        <f>SUMIFS(线上订单!$E:$E,线上订单!$B:$B,美团日报!$C260)-SUMIFS(线上订单!$E:$E,线上订单!$B:$B,美团日报!$C260,线上订单!$D:$D,"美团")-SUMIFS(线上订单!$E:$E,线上订单!$B:$B,美团日报!$C260,线上订单!$D:$D,"饿了么")</f>
        <v>177.56637168139</v>
      </c>
      <c r="G260" s="19">
        <f>IFERROR(F260/E260,0%)</f>
        <v>0.0467182456463794</v>
      </c>
      <c r="H260" s="18">
        <f>SUMIFS(线上订单!$F:$F,线上订单!$B:$B,美团日报!$C260)-SUMIFS(线上订单!$F:$F,线上订单!$B:$B,美团日报!$C260,线上订单!$D:$D,"美团")-SUMIFS(线上订单!$F:$F,线上订单!$B:$B,美团日报!$C260,线上订单!$D:$D,"饿了么")</f>
        <v>5</v>
      </c>
      <c r="I260" s="18">
        <f>SUMIFS(线上订单!$F:$F,线上订单!$B:$B,美团日报!$C260)-SUMIFS(线上订单!$F:$F,线上订单!$B:$B,美团日报!$C260,线上订单!$D:$D,"美团")-SUMIFS(线上订单!$F:$F,线上订单!$B:$B,美团日报!$C260,线上订单!$D:$D,"饿了么")</f>
        <v>5</v>
      </c>
      <c r="J260" s="21">
        <f>IFERROR(F260/I260,0)</f>
        <v>35.513274336278</v>
      </c>
      <c r="K260" s="22" t="e">
        <f t="shared" si="24"/>
        <v>#REF!</v>
      </c>
      <c r="L260" s="19" t="e">
        <f>SUMIFS(#REF!,#REF!,美团日报!$C$2,#REF!,"秒达")</f>
        <v>#REF!</v>
      </c>
      <c r="M260" s="23"/>
      <c r="N260" s="23"/>
      <c r="O260" s="22" t="e">
        <f t="shared" si="25"/>
        <v>#REF!</v>
      </c>
      <c r="P260" s="19" t="e">
        <f>SUMIFS(#REF!,#REF!,美团日报!$C293,#REF!,"秒达")</f>
        <v>#REF!</v>
      </c>
      <c r="Q260" s="23"/>
      <c r="R260" s="23"/>
      <c r="S260" s="22" t="e">
        <f t="shared" si="26"/>
        <v>#REF!</v>
      </c>
      <c r="T260" s="19" t="e">
        <f>SUMIFS(#REF!,#REF!,美团日报!$C293,#REF!,"O2O")</f>
        <v>#REF!</v>
      </c>
      <c r="U260" s="22" t="e">
        <f t="shared" si="27"/>
        <v>#REF!</v>
      </c>
      <c r="V260" s="19" t="e">
        <f>SUMIFS(#REF!,#REF!,美团日报!$C293,#REF!,"O2O")</f>
        <v>#REF!</v>
      </c>
      <c r="W260" s="24" t="s">
        <v>13</v>
      </c>
    </row>
    <row r="261" ht="14.4" spans="1:23">
      <c r="A261" s="30"/>
      <c r="B261" s="30"/>
      <c r="C261" s="33">
        <v>8813</v>
      </c>
      <c r="D261" s="33" t="s">
        <v>558</v>
      </c>
      <c r="E261" s="18">
        <f>_xlfn.IFNA(VLOOKUP(C:C,线上线下销售!B:D,3,0),0)</f>
        <v>38731.4666</v>
      </c>
      <c r="F261" s="18">
        <f>SUMIFS(线上订单!$E:$E,线上订单!$B:$B,美团日报!$C261)-SUMIFS(线上订单!$E:$E,线上订单!$B:$B,美团日报!$C261,线上订单!$D:$D,"美团")-SUMIFS(线上订单!$E:$E,线上订单!$B:$B,美团日报!$C261,线上订单!$D:$D,"饿了么")</f>
        <v>0</v>
      </c>
      <c r="G261" s="19">
        <f>IFERROR(F261/E261,0%)</f>
        <v>0</v>
      </c>
      <c r="H261" s="18">
        <f>SUMIFS(线上订单!$F:$F,线上订单!$B:$B,美团日报!$C261)-SUMIFS(线上订单!$F:$F,线上订单!$B:$B,美团日报!$C261,线上订单!$D:$D,"美团")-SUMIFS(线上订单!$F:$F,线上订单!$B:$B,美团日报!$C261,线上订单!$D:$D,"饿了么")</f>
        <v>0</v>
      </c>
      <c r="I261" s="18">
        <f>SUMIFS(线上订单!$F:$F,线上订单!$B:$B,美团日报!$C261)-SUMIFS(线上订单!$F:$F,线上订单!$B:$B,美团日报!$C261,线上订单!$D:$D,"美团")-SUMIFS(线上订单!$F:$F,线上订单!$B:$B,美团日报!$C261,线上订单!$D:$D,"饿了么")</f>
        <v>0</v>
      </c>
      <c r="J261" s="21">
        <f>IFERROR(F261/I261,0)</f>
        <v>0</v>
      </c>
      <c r="K261" s="22" t="e">
        <f t="shared" si="24"/>
        <v>#REF!</v>
      </c>
      <c r="L261" s="19" t="e">
        <f>SUMIFS(#REF!,#REF!,美团日报!$C$2,#REF!,"秒达")</f>
        <v>#REF!</v>
      </c>
      <c r="M261" s="23"/>
      <c r="N261" s="23"/>
      <c r="O261" s="22" t="e">
        <f t="shared" si="25"/>
        <v>#REF!</v>
      </c>
      <c r="P261" s="19" t="e">
        <f>SUMIFS(#REF!,#REF!,美团日报!$C294,#REF!,"秒达")</f>
        <v>#REF!</v>
      </c>
      <c r="Q261" s="23"/>
      <c r="R261" s="23"/>
      <c r="S261" s="22" t="e">
        <f t="shared" si="26"/>
        <v>#REF!</v>
      </c>
      <c r="T261" s="19" t="e">
        <f>SUMIFS(#REF!,#REF!,美团日报!$C294,#REF!,"O2O")</f>
        <v>#REF!</v>
      </c>
      <c r="U261" s="22" t="e">
        <f t="shared" si="27"/>
        <v>#REF!</v>
      </c>
      <c r="V261" s="19" t="e">
        <f>SUMIFS(#REF!,#REF!,美团日报!$C294,#REF!,"O2O")</f>
        <v>#REF!</v>
      </c>
      <c r="W261" s="24" t="s">
        <v>13</v>
      </c>
    </row>
    <row r="262" ht="14.4" spans="1:23">
      <c r="A262" s="16" t="s">
        <v>43</v>
      </c>
      <c r="B262" s="16" t="s">
        <v>131</v>
      </c>
      <c r="C262" s="16">
        <v>8706</v>
      </c>
      <c r="D262" s="16" t="s">
        <v>559</v>
      </c>
      <c r="E262" s="18">
        <f>_xlfn.IFNA(VLOOKUP(C:C,线上线下销售!B:D,3,0),0)</f>
        <v>0</v>
      </c>
      <c r="F262" s="18">
        <f>SUMIFS(线上订单!$E:$E,线上订单!$B:$B,美团日报!$C262)-SUMIFS(线上订单!$E:$E,线上订单!$B:$B,美团日报!$C262,线上订单!$D:$D,"美团")-SUMIFS(线上订单!$E:$E,线上订单!$B:$B,美团日报!$C262,线上订单!$D:$D,"饿了么")</f>
        <v>0</v>
      </c>
      <c r="G262" s="19">
        <f>IFERROR(F262/E262,0%)</f>
        <v>0</v>
      </c>
      <c r="H262" s="18">
        <f>SUMIFS(线上订单!$F:$F,线上订单!$B:$B,美团日报!$C262)-SUMIFS(线上订单!$F:$F,线上订单!$B:$B,美团日报!$C262,线上订单!$D:$D,"美团")-SUMIFS(线上订单!$F:$F,线上订单!$B:$B,美团日报!$C262,线上订单!$D:$D,"饿了么")</f>
        <v>0</v>
      </c>
      <c r="I262" s="18">
        <f>SUMIFS(线上订单!$F:$F,线上订单!$B:$B,美团日报!$C262)-SUMIFS(线上订单!$F:$F,线上订单!$B:$B,美团日报!$C262,线上订单!$D:$D,"美团")-SUMIFS(线上订单!$F:$F,线上订单!$B:$B,美团日报!$C262,线上订单!$D:$D,"饿了么")</f>
        <v>0</v>
      </c>
      <c r="J262" s="21">
        <f>IFERROR(F262/I262,0)</f>
        <v>0</v>
      </c>
      <c r="K262" s="22" t="e">
        <f t="shared" si="24"/>
        <v>#REF!</v>
      </c>
      <c r="L262" s="19" t="e">
        <f>SUMIFS(#REF!,#REF!,美团日报!$C$2,#REF!,"秒达")</f>
        <v>#REF!</v>
      </c>
      <c r="M262" s="23"/>
      <c r="N262" s="23"/>
      <c r="O262" s="22" t="e">
        <f t="shared" si="25"/>
        <v>#REF!</v>
      </c>
      <c r="P262" s="19" t="e">
        <f>SUMIFS(#REF!,#REF!,美团日报!$C262,#REF!,"秒达")</f>
        <v>#REF!</v>
      </c>
      <c r="Q262" s="23"/>
      <c r="R262" s="23"/>
      <c r="S262" s="22" t="e">
        <f t="shared" si="26"/>
        <v>#REF!</v>
      </c>
      <c r="T262" s="19" t="e">
        <f>SUMIFS(#REF!,#REF!,美团日报!$C262,#REF!,"O2O")</f>
        <v>#REF!</v>
      </c>
      <c r="U262" s="22" t="e">
        <f t="shared" si="27"/>
        <v>#REF!</v>
      </c>
      <c r="V262" s="19" t="e">
        <f>SUMIFS(#REF!,#REF!,美团日报!$C262,#REF!,"O2O")</f>
        <v>#REF!</v>
      </c>
      <c r="W262" s="24" t="s">
        <v>13</v>
      </c>
    </row>
    <row r="263" s="13" customFormat="1" ht="18" spans="1:23">
      <c r="A263" s="34" t="s">
        <v>578</v>
      </c>
      <c r="B263" s="35"/>
      <c r="C263" s="36"/>
      <c r="D263" s="37"/>
      <c r="E263" s="38">
        <f>SUM(E2:E262)</f>
        <v>1781819.6355</v>
      </c>
      <c r="F263" s="38">
        <f>SUM(F2:F262)</f>
        <v>43384.9573297053</v>
      </c>
      <c r="G263" s="39">
        <f>F263/E263</f>
        <v>0.0243486806775092</v>
      </c>
      <c r="H263" s="40">
        <f>SUM(H2:H262)</f>
        <v>974</v>
      </c>
      <c r="I263" s="40">
        <f>SUM(I2:I262)</f>
        <v>974</v>
      </c>
      <c r="J263" s="41">
        <f>F263/I263</f>
        <v>44.5430773405599</v>
      </c>
      <c r="K263" s="42" t="e">
        <f>SUM(K2:K219)</f>
        <v>#REF!</v>
      </c>
      <c r="L263" s="40" t="e">
        <f>AVERAGE(L2:L262)</f>
        <v>#REF!</v>
      </c>
      <c r="M263" s="40"/>
      <c r="N263" s="40"/>
      <c r="O263" s="42" t="e">
        <f>SUM(O2:O262)</f>
        <v>#REF!</v>
      </c>
      <c r="P263" s="40"/>
      <c r="Q263" s="40"/>
      <c r="R263" s="40"/>
      <c r="S263" s="42" t="e">
        <f>SUM(S2:S219)</f>
        <v>#REF!</v>
      </c>
      <c r="T263" s="40"/>
      <c r="U263" s="40" t="e">
        <f>SUM(U2:U219)</f>
        <v>#REF!</v>
      </c>
      <c r="V263" s="43"/>
      <c r="W263" s="43"/>
    </row>
  </sheetData>
  <autoFilter ref="A1:W263"/>
  <mergeCells count="1">
    <mergeCell ref="A263:D263"/>
  </mergeCells>
  <conditionalFormatting sqref="D1">
    <cfRule type="duplicateValues" dxfId="0" priority="108"/>
    <cfRule type="duplicateValues" dxfId="0" priority="109"/>
    <cfRule type="duplicateValues" dxfId="0" priority="110"/>
    <cfRule type="duplicateValues" dxfId="1" priority="111"/>
    <cfRule type="duplicateValues" dxfId="0" priority="112"/>
    <cfRule type="duplicateValues" dxfId="0" priority="113"/>
    <cfRule type="duplicateValues" dxfId="0" priority="114"/>
  </conditionalFormatting>
  <conditionalFormatting sqref="W1 C1">
    <cfRule type="duplicateValues" dxfId="0" priority="561"/>
    <cfRule type="duplicateValues" dxfId="0" priority="562"/>
  </conditionalFormatting>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sheetPr>
  <dimension ref="A1:E244"/>
  <sheetViews>
    <sheetView tabSelected="1" topLeftCell="A203" workbookViewId="0">
      <selection activeCell="F2" sqref="F2"/>
    </sheetView>
  </sheetViews>
  <sheetFormatPr defaultColWidth="9" defaultRowHeight="12.4" outlineLevelCol="4"/>
  <cols>
    <col min="1" max="1" width="9.5" customWidth="1"/>
    <col min="2" max="2" width="15.6339285714286" style="6" customWidth="1"/>
    <col min="3" max="3" width="35" customWidth="1"/>
    <col min="4" max="4" width="12.8839285714286" style="7" customWidth="1"/>
    <col min="5" max="5" width="16.4464285714286"/>
    <col min="244" max="244" width="8.5" customWidth="1"/>
    <col min="245" max="245" width="12.1339285714286" customWidth="1"/>
    <col min="246" max="246" width="31" customWidth="1"/>
    <col min="247" max="247" width="11.5" customWidth="1"/>
    <col min="500" max="500" width="8.5" customWidth="1"/>
    <col min="501" max="501" width="12.1339285714286" customWidth="1"/>
    <col min="502" max="502" width="31" customWidth="1"/>
    <col min="503" max="503" width="11.5" customWidth="1"/>
    <col min="756" max="756" width="8.5" customWidth="1"/>
    <col min="757" max="757" width="12.1339285714286" customWidth="1"/>
    <col min="758" max="758" width="31" customWidth="1"/>
    <col min="759" max="759" width="11.5" customWidth="1"/>
    <col min="1012" max="1012" width="8.5" customWidth="1"/>
    <col min="1013" max="1013" width="12.1339285714286" customWidth="1"/>
    <col min="1014" max="1014" width="31" customWidth="1"/>
    <col min="1015" max="1015" width="11.5" customWidth="1"/>
    <col min="1268" max="1268" width="8.5" customWidth="1"/>
    <col min="1269" max="1269" width="12.1339285714286" customWidth="1"/>
    <col min="1270" max="1270" width="31" customWidth="1"/>
    <col min="1271" max="1271" width="11.5" customWidth="1"/>
    <col min="1524" max="1524" width="8.5" customWidth="1"/>
    <col min="1525" max="1525" width="12.1339285714286" customWidth="1"/>
    <col min="1526" max="1526" width="31" customWidth="1"/>
    <col min="1527" max="1527" width="11.5" customWidth="1"/>
    <col min="1780" max="1780" width="8.5" customWidth="1"/>
    <col min="1781" max="1781" width="12.1339285714286" customWidth="1"/>
    <col min="1782" max="1782" width="31" customWidth="1"/>
    <col min="1783" max="1783" width="11.5" customWidth="1"/>
    <col min="2036" max="2036" width="8.5" customWidth="1"/>
    <col min="2037" max="2037" width="12.1339285714286" customWidth="1"/>
    <col min="2038" max="2038" width="31" customWidth="1"/>
    <col min="2039" max="2039" width="11.5" customWidth="1"/>
    <col min="2292" max="2292" width="8.5" customWidth="1"/>
    <col min="2293" max="2293" width="12.1339285714286" customWidth="1"/>
    <col min="2294" max="2294" width="31" customWidth="1"/>
    <col min="2295" max="2295" width="11.5" customWidth="1"/>
    <col min="2548" max="2548" width="8.5" customWidth="1"/>
    <col min="2549" max="2549" width="12.1339285714286" customWidth="1"/>
    <col min="2550" max="2550" width="31" customWidth="1"/>
    <col min="2551" max="2551" width="11.5" customWidth="1"/>
    <col min="2804" max="2804" width="8.5" customWidth="1"/>
    <col min="2805" max="2805" width="12.1339285714286" customWidth="1"/>
    <col min="2806" max="2806" width="31" customWidth="1"/>
    <col min="2807" max="2807" width="11.5" customWidth="1"/>
    <col min="3060" max="3060" width="8.5" customWidth="1"/>
    <col min="3061" max="3061" width="12.1339285714286" customWidth="1"/>
    <col min="3062" max="3062" width="31" customWidth="1"/>
    <col min="3063" max="3063" width="11.5" customWidth="1"/>
    <col min="3316" max="3316" width="8.5" customWidth="1"/>
    <col min="3317" max="3317" width="12.1339285714286" customWidth="1"/>
    <col min="3318" max="3318" width="31" customWidth="1"/>
    <col min="3319" max="3319" width="11.5" customWidth="1"/>
    <col min="3572" max="3572" width="8.5" customWidth="1"/>
    <col min="3573" max="3573" width="12.1339285714286" customWidth="1"/>
    <col min="3574" max="3574" width="31" customWidth="1"/>
    <col min="3575" max="3575" width="11.5" customWidth="1"/>
    <col min="3828" max="3828" width="8.5" customWidth="1"/>
    <col min="3829" max="3829" width="12.1339285714286" customWidth="1"/>
    <col min="3830" max="3830" width="31" customWidth="1"/>
    <col min="3831" max="3831" width="11.5" customWidth="1"/>
    <col min="4084" max="4084" width="8.5" customWidth="1"/>
    <col min="4085" max="4085" width="12.1339285714286" customWidth="1"/>
    <col min="4086" max="4086" width="31" customWidth="1"/>
    <col min="4087" max="4087" width="11.5" customWidth="1"/>
    <col min="4340" max="4340" width="8.5" customWidth="1"/>
    <col min="4341" max="4341" width="12.1339285714286" customWidth="1"/>
    <col min="4342" max="4342" width="31" customWidth="1"/>
    <col min="4343" max="4343" width="11.5" customWidth="1"/>
    <col min="4596" max="4596" width="8.5" customWidth="1"/>
    <col min="4597" max="4597" width="12.1339285714286" customWidth="1"/>
    <col min="4598" max="4598" width="31" customWidth="1"/>
    <col min="4599" max="4599" width="11.5" customWidth="1"/>
    <col min="4852" max="4852" width="8.5" customWidth="1"/>
    <col min="4853" max="4853" width="12.1339285714286" customWidth="1"/>
    <col min="4854" max="4854" width="31" customWidth="1"/>
    <col min="4855" max="4855" width="11.5" customWidth="1"/>
    <col min="5108" max="5108" width="8.5" customWidth="1"/>
    <col min="5109" max="5109" width="12.1339285714286" customWidth="1"/>
    <col min="5110" max="5110" width="31" customWidth="1"/>
    <col min="5111" max="5111" width="11.5" customWidth="1"/>
    <col min="5364" max="5364" width="8.5" customWidth="1"/>
    <col min="5365" max="5365" width="12.1339285714286" customWidth="1"/>
    <col min="5366" max="5366" width="31" customWidth="1"/>
    <col min="5367" max="5367" width="11.5" customWidth="1"/>
    <col min="5620" max="5620" width="8.5" customWidth="1"/>
    <col min="5621" max="5621" width="12.1339285714286" customWidth="1"/>
    <col min="5622" max="5622" width="31" customWidth="1"/>
    <col min="5623" max="5623" width="11.5" customWidth="1"/>
    <col min="5876" max="5876" width="8.5" customWidth="1"/>
    <col min="5877" max="5877" width="12.1339285714286" customWidth="1"/>
    <col min="5878" max="5878" width="31" customWidth="1"/>
    <col min="5879" max="5879" width="11.5" customWidth="1"/>
    <col min="6132" max="6132" width="8.5" customWidth="1"/>
    <col min="6133" max="6133" width="12.1339285714286" customWidth="1"/>
    <col min="6134" max="6134" width="31" customWidth="1"/>
    <col min="6135" max="6135" width="11.5" customWidth="1"/>
    <col min="6388" max="6388" width="8.5" customWidth="1"/>
    <col min="6389" max="6389" width="12.1339285714286" customWidth="1"/>
    <col min="6390" max="6390" width="31" customWidth="1"/>
    <col min="6391" max="6391" width="11.5" customWidth="1"/>
    <col min="6644" max="6644" width="8.5" customWidth="1"/>
    <col min="6645" max="6645" width="12.1339285714286" customWidth="1"/>
    <col min="6646" max="6646" width="31" customWidth="1"/>
    <col min="6647" max="6647" width="11.5" customWidth="1"/>
    <col min="6900" max="6900" width="8.5" customWidth="1"/>
    <col min="6901" max="6901" width="12.1339285714286" customWidth="1"/>
    <col min="6902" max="6902" width="31" customWidth="1"/>
    <col min="6903" max="6903" width="11.5" customWidth="1"/>
    <col min="7156" max="7156" width="8.5" customWidth="1"/>
    <col min="7157" max="7157" width="12.1339285714286" customWidth="1"/>
    <col min="7158" max="7158" width="31" customWidth="1"/>
    <col min="7159" max="7159" width="11.5" customWidth="1"/>
    <col min="7412" max="7412" width="8.5" customWidth="1"/>
    <col min="7413" max="7413" width="12.1339285714286" customWidth="1"/>
    <col min="7414" max="7414" width="31" customWidth="1"/>
    <col min="7415" max="7415" width="11.5" customWidth="1"/>
    <col min="7668" max="7668" width="8.5" customWidth="1"/>
    <col min="7669" max="7669" width="12.1339285714286" customWidth="1"/>
    <col min="7670" max="7670" width="31" customWidth="1"/>
    <col min="7671" max="7671" width="11.5" customWidth="1"/>
    <col min="7924" max="7924" width="8.5" customWidth="1"/>
    <col min="7925" max="7925" width="12.1339285714286" customWidth="1"/>
    <col min="7926" max="7926" width="31" customWidth="1"/>
    <col min="7927" max="7927" width="11.5" customWidth="1"/>
    <col min="8180" max="8180" width="8.5" customWidth="1"/>
    <col min="8181" max="8181" width="12.1339285714286" customWidth="1"/>
    <col min="8182" max="8182" width="31" customWidth="1"/>
    <col min="8183" max="8183" width="11.5" customWidth="1"/>
    <col min="8436" max="8436" width="8.5" customWidth="1"/>
    <col min="8437" max="8437" width="12.1339285714286" customWidth="1"/>
    <col min="8438" max="8438" width="31" customWidth="1"/>
    <col min="8439" max="8439" width="11.5" customWidth="1"/>
    <col min="8692" max="8692" width="8.5" customWidth="1"/>
    <col min="8693" max="8693" width="12.1339285714286" customWidth="1"/>
    <col min="8694" max="8694" width="31" customWidth="1"/>
    <col min="8695" max="8695" width="11.5" customWidth="1"/>
    <col min="8948" max="8948" width="8.5" customWidth="1"/>
    <col min="8949" max="8949" width="12.1339285714286" customWidth="1"/>
    <col min="8950" max="8950" width="31" customWidth="1"/>
    <col min="8951" max="8951" width="11.5" customWidth="1"/>
    <col min="9204" max="9204" width="8.5" customWidth="1"/>
    <col min="9205" max="9205" width="12.1339285714286" customWidth="1"/>
    <col min="9206" max="9206" width="31" customWidth="1"/>
    <col min="9207" max="9207" width="11.5" customWidth="1"/>
    <col min="9460" max="9460" width="8.5" customWidth="1"/>
    <col min="9461" max="9461" width="12.1339285714286" customWidth="1"/>
    <col min="9462" max="9462" width="31" customWidth="1"/>
    <col min="9463" max="9463" width="11.5" customWidth="1"/>
    <col min="9716" max="9716" width="8.5" customWidth="1"/>
    <col min="9717" max="9717" width="12.1339285714286" customWidth="1"/>
    <col min="9718" max="9718" width="31" customWidth="1"/>
    <col min="9719" max="9719" width="11.5" customWidth="1"/>
    <col min="9972" max="9972" width="8.5" customWidth="1"/>
    <col min="9973" max="9973" width="12.1339285714286" customWidth="1"/>
    <col min="9974" max="9974" width="31" customWidth="1"/>
    <col min="9975" max="9975" width="11.5" customWidth="1"/>
    <col min="10228" max="10228" width="8.5" customWidth="1"/>
    <col min="10229" max="10229" width="12.1339285714286" customWidth="1"/>
    <col min="10230" max="10230" width="31" customWidth="1"/>
    <col min="10231" max="10231" width="11.5" customWidth="1"/>
    <col min="10484" max="10484" width="8.5" customWidth="1"/>
    <col min="10485" max="10485" width="12.1339285714286" customWidth="1"/>
    <col min="10486" max="10486" width="31" customWidth="1"/>
    <col min="10487" max="10487" width="11.5" customWidth="1"/>
    <col min="10740" max="10740" width="8.5" customWidth="1"/>
    <col min="10741" max="10741" width="12.1339285714286" customWidth="1"/>
    <col min="10742" max="10742" width="31" customWidth="1"/>
    <col min="10743" max="10743" width="11.5" customWidth="1"/>
    <col min="10996" max="10996" width="8.5" customWidth="1"/>
    <col min="10997" max="10997" width="12.1339285714286" customWidth="1"/>
    <col min="10998" max="10998" width="31" customWidth="1"/>
    <col min="10999" max="10999" width="11.5" customWidth="1"/>
    <col min="11252" max="11252" width="8.5" customWidth="1"/>
    <col min="11253" max="11253" width="12.1339285714286" customWidth="1"/>
    <col min="11254" max="11254" width="31" customWidth="1"/>
    <col min="11255" max="11255" width="11.5" customWidth="1"/>
    <col min="11508" max="11508" width="8.5" customWidth="1"/>
    <col min="11509" max="11509" width="12.1339285714286" customWidth="1"/>
    <col min="11510" max="11510" width="31" customWidth="1"/>
    <col min="11511" max="11511" width="11.5" customWidth="1"/>
    <col min="11764" max="11764" width="8.5" customWidth="1"/>
    <col min="11765" max="11765" width="12.1339285714286" customWidth="1"/>
    <col min="11766" max="11766" width="31" customWidth="1"/>
    <col min="11767" max="11767" width="11.5" customWidth="1"/>
    <col min="12020" max="12020" width="8.5" customWidth="1"/>
    <col min="12021" max="12021" width="12.1339285714286" customWidth="1"/>
    <col min="12022" max="12022" width="31" customWidth="1"/>
    <col min="12023" max="12023" width="11.5" customWidth="1"/>
    <col min="12276" max="12276" width="8.5" customWidth="1"/>
    <col min="12277" max="12277" width="12.1339285714286" customWidth="1"/>
    <col min="12278" max="12278" width="31" customWidth="1"/>
    <col min="12279" max="12279" width="11.5" customWidth="1"/>
    <col min="12532" max="12532" width="8.5" customWidth="1"/>
    <col min="12533" max="12533" width="12.1339285714286" customWidth="1"/>
    <col min="12534" max="12534" width="31" customWidth="1"/>
    <col min="12535" max="12535" width="11.5" customWidth="1"/>
    <col min="12788" max="12788" width="8.5" customWidth="1"/>
    <col min="12789" max="12789" width="12.1339285714286" customWidth="1"/>
    <col min="12790" max="12790" width="31" customWidth="1"/>
    <col min="12791" max="12791" width="11.5" customWidth="1"/>
    <col min="13044" max="13044" width="8.5" customWidth="1"/>
    <col min="13045" max="13045" width="12.1339285714286" customWidth="1"/>
    <col min="13046" max="13046" width="31" customWidth="1"/>
    <col min="13047" max="13047" width="11.5" customWidth="1"/>
    <col min="13300" max="13300" width="8.5" customWidth="1"/>
    <col min="13301" max="13301" width="12.1339285714286" customWidth="1"/>
    <col min="13302" max="13302" width="31" customWidth="1"/>
    <col min="13303" max="13303" width="11.5" customWidth="1"/>
    <col min="13556" max="13556" width="8.5" customWidth="1"/>
    <col min="13557" max="13557" width="12.1339285714286" customWidth="1"/>
    <col min="13558" max="13558" width="31" customWidth="1"/>
    <col min="13559" max="13559" width="11.5" customWidth="1"/>
    <col min="13812" max="13812" width="8.5" customWidth="1"/>
    <col min="13813" max="13813" width="12.1339285714286" customWidth="1"/>
    <col min="13814" max="13814" width="31" customWidth="1"/>
    <col min="13815" max="13815" width="11.5" customWidth="1"/>
    <col min="14068" max="14068" width="8.5" customWidth="1"/>
    <col min="14069" max="14069" width="12.1339285714286" customWidth="1"/>
    <col min="14070" max="14070" width="31" customWidth="1"/>
    <col min="14071" max="14071" width="11.5" customWidth="1"/>
    <col min="14324" max="14324" width="8.5" customWidth="1"/>
    <col min="14325" max="14325" width="12.1339285714286" customWidth="1"/>
    <col min="14326" max="14326" width="31" customWidth="1"/>
    <col min="14327" max="14327" width="11.5" customWidth="1"/>
    <col min="14580" max="14580" width="8.5" customWidth="1"/>
    <col min="14581" max="14581" width="12.1339285714286" customWidth="1"/>
    <col min="14582" max="14582" width="31" customWidth="1"/>
    <col min="14583" max="14583" width="11.5" customWidth="1"/>
    <col min="14836" max="14836" width="8.5" customWidth="1"/>
    <col min="14837" max="14837" width="12.1339285714286" customWidth="1"/>
    <col min="14838" max="14838" width="31" customWidth="1"/>
    <col min="14839" max="14839" width="11.5" customWidth="1"/>
    <col min="15092" max="15092" width="8.5" customWidth="1"/>
    <col min="15093" max="15093" width="12.1339285714286" customWidth="1"/>
    <col min="15094" max="15094" width="31" customWidth="1"/>
    <col min="15095" max="15095" width="11.5" customWidth="1"/>
    <col min="15348" max="15348" width="8.5" customWidth="1"/>
    <col min="15349" max="15349" width="12.1339285714286" customWidth="1"/>
    <col min="15350" max="15350" width="31" customWidth="1"/>
    <col min="15351" max="15351" width="11.5" customWidth="1"/>
    <col min="15604" max="15604" width="8.5" customWidth="1"/>
    <col min="15605" max="15605" width="12.1339285714286" customWidth="1"/>
    <col min="15606" max="15606" width="31" customWidth="1"/>
    <col min="15607" max="15607" width="11.5" customWidth="1"/>
    <col min="15860" max="15860" width="8.5" customWidth="1"/>
    <col min="15861" max="15861" width="12.1339285714286" customWidth="1"/>
    <col min="15862" max="15862" width="31" customWidth="1"/>
    <col min="15863" max="15863" width="11.5" customWidth="1"/>
    <col min="16116" max="16116" width="8.5" customWidth="1"/>
    <col min="16117" max="16117" width="12.1339285714286" customWidth="1"/>
    <col min="16118" max="16118" width="31" customWidth="1"/>
    <col min="16119" max="16119" width="11.5" customWidth="1"/>
  </cols>
  <sheetData>
    <row r="1" customFormat="1" ht="14" spans="1:5">
      <c r="A1" s="8" t="s">
        <v>581</v>
      </c>
      <c r="B1" s="8" t="s">
        <v>582</v>
      </c>
      <c r="C1" s="8" t="s">
        <v>583</v>
      </c>
      <c r="D1" s="9" t="s">
        <v>584</v>
      </c>
      <c r="E1" s="9" t="s">
        <v>585</v>
      </c>
    </row>
    <row r="2" customFormat="1" spans="1:5">
      <c r="A2" s="10">
        <v>20220301</v>
      </c>
      <c r="B2" s="4">
        <v>8663</v>
      </c>
      <c r="C2" s="3" t="s">
        <v>586</v>
      </c>
      <c r="D2" s="5">
        <v>0</v>
      </c>
      <c r="E2" s="11">
        <f>_xlfn.IFNA(INDEX(门店汇总!$D:$D,MATCH($B:$B,门店汇总!$D:$D,0)),"没有该门店")</f>
        <v>8663</v>
      </c>
    </row>
    <row r="3" customFormat="1" spans="1:5">
      <c r="A3" s="10">
        <v>20220301</v>
      </c>
      <c r="B3" s="4">
        <v>8617</v>
      </c>
      <c r="C3" s="3" t="s">
        <v>587</v>
      </c>
      <c r="D3" s="5">
        <v>7394.9216</v>
      </c>
      <c r="E3" s="11">
        <f>_xlfn.IFNA(INDEX(门店汇总!$D:$D,MATCH($B:$B,门店汇总!$D:$D,0)),"没有该门店")</f>
        <v>8617</v>
      </c>
    </row>
    <row r="4" customFormat="1" spans="1:5">
      <c r="A4" s="10">
        <v>20220301</v>
      </c>
      <c r="B4" s="4">
        <v>8637</v>
      </c>
      <c r="C4" s="3" t="s">
        <v>588</v>
      </c>
      <c r="D4" s="5">
        <v>8921.8529</v>
      </c>
      <c r="E4" s="11">
        <f>_xlfn.IFNA(INDEX(门店汇总!$D:$D,MATCH($B:$B,门店汇总!$D:$D,0)),"没有该门店")</f>
        <v>8637</v>
      </c>
    </row>
    <row r="5" customFormat="1" spans="1:5">
      <c r="A5" s="10">
        <v>20220301</v>
      </c>
      <c r="B5" s="4">
        <v>8615</v>
      </c>
      <c r="C5" s="3" t="s">
        <v>589</v>
      </c>
      <c r="D5" s="5">
        <v>6964.3807</v>
      </c>
      <c r="E5" s="11">
        <f>_xlfn.IFNA(INDEX(门店汇总!$D:$D,MATCH($B:$B,门店汇总!$D:$D,0)),"没有该门店")</f>
        <v>8615</v>
      </c>
    </row>
    <row r="6" customFormat="1" spans="1:5">
      <c r="A6" s="10">
        <v>20220301</v>
      </c>
      <c r="B6" s="4">
        <v>8670</v>
      </c>
      <c r="C6" s="3" t="s">
        <v>590</v>
      </c>
      <c r="D6" s="5">
        <v>0</v>
      </c>
      <c r="E6" s="11">
        <f>_xlfn.IFNA(INDEX(门店汇总!$D:$D,MATCH($B:$B,门店汇总!$D:$D,0)),"没有该门店")</f>
        <v>8670</v>
      </c>
    </row>
    <row r="7" customFormat="1" spans="1:5">
      <c r="A7" s="10">
        <v>20220301</v>
      </c>
      <c r="B7" s="4">
        <v>8791</v>
      </c>
      <c r="C7" s="3" t="s">
        <v>549</v>
      </c>
      <c r="D7" s="5">
        <v>4379.2147</v>
      </c>
      <c r="E7" s="11">
        <f>_xlfn.IFNA(INDEX(门店汇总!$D:$D,MATCH($B:$B,门店汇总!$D:$D,0)),"没有该门店")</f>
        <v>8791</v>
      </c>
    </row>
    <row r="8" customFormat="1" spans="1:5">
      <c r="A8" s="10">
        <v>20220301</v>
      </c>
      <c r="B8" s="4">
        <v>8700</v>
      </c>
      <c r="C8" s="3" t="s">
        <v>591</v>
      </c>
      <c r="D8" s="5">
        <v>7394.6707</v>
      </c>
      <c r="E8" s="11">
        <f>_xlfn.IFNA(INDEX(门店汇总!$D:$D,MATCH($B:$B,门店汇总!$D:$D,0)),"没有该门店")</f>
        <v>8700</v>
      </c>
    </row>
    <row r="9" customFormat="1" spans="1:5">
      <c r="A9" s="10">
        <v>20220301</v>
      </c>
      <c r="B9" s="4">
        <v>1741</v>
      </c>
      <c r="C9" s="3" t="s">
        <v>592</v>
      </c>
      <c r="D9" s="5">
        <v>10039.5513</v>
      </c>
      <c r="E9" s="11">
        <f>_xlfn.IFNA(INDEX(门店汇总!$D:$D,MATCH($B:$B,门店汇总!$D:$D,0)),"没有该门店")</f>
        <v>1741</v>
      </c>
    </row>
    <row r="10" customFormat="1" spans="1:5">
      <c r="A10" s="10">
        <v>20220301</v>
      </c>
      <c r="B10" s="4">
        <v>8683</v>
      </c>
      <c r="C10" s="3" t="s">
        <v>593</v>
      </c>
      <c r="D10" s="5">
        <v>0</v>
      </c>
      <c r="E10" s="11">
        <f>_xlfn.IFNA(INDEX(门店汇总!$D:$D,MATCH($B:$B,门店汇总!$D:$D,0)),"没有该门店")</f>
        <v>8683</v>
      </c>
    </row>
    <row r="11" customFormat="1" spans="1:5">
      <c r="A11" s="10">
        <v>20220301</v>
      </c>
      <c r="B11" s="4">
        <v>1445</v>
      </c>
      <c r="C11" s="3" t="s">
        <v>594</v>
      </c>
      <c r="D11" s="5">
        <v>6229.7127</v>
      </c>
      <c r="E11" s="11">
        <f>_xlfn.IFNA(INDEX(门店汇总!$D:$D,MATCH($B:$B,门店汇总!$D:$D,0)),"没有该门店")</f>
        <v>1445</v>
      </c>
    </row>
    <row r="12" customFormat="1" spans="1:5">
      <c r="A12" s="10">
        <v>20220301</v>
      </c>
      <c r="B12" s="4">
        <v>8647</v>
      </c>
      <c r="C12" s="3" t="s">
        <v>595</v>
      </c>
      <c r="D12" s="5">
        <v>5690.7758</v>
      </c>
      <c r="E12" s="11">
        <f>_xlfn.IFNA(INDEX(门店汇总!$D:$D,MATCH($B:$B,门店汇总!$D:$D,0)),"没有该门店")</f>
        <v>8647</v>
      </c>
    </row>
    <row r="13" customFormat="1" spans="1:5">
      <c r="A13" s="10">
        <v>20220301</v>
      </c>
      <c r="B13" s="4">
        <v>1386</v>
      </c>
      <c r="C13" s="3" t="s">
        <v>596</v>
      </c>
      <c r="D13" s="5">
        <v>4051.8608</v>
      </c>
      <c r="E13" s="11">
        <f>_xlfn.IFNA(INDEX(门店汇总!$D:$D,MATCH($B:$B,门店汇总!$D:$D,0)),"没有该门店")</f>
        <v>1386</v>
      </c>
    </row>
    <row r="14" customFormat="1" spans="1:5">
      <c r="A14" s="10">
        <v>20220301</v>
      </c>
      <c r="B14" s="4">
        <v>8807</v>
      </c>
      <c r="C14" s="3" t="s">
        <v>550</v>
      </c>
      <c r="D14" s="5">
        <v>1030.0879</v>
      </c>
      <c r="E14" s="11">
        <f>_xlfn.IFNA(INDEX(门店汇总!$D:$D,MATCH($B:$B,门店汇总!$D:$D,0)),"没有该门店")</f>
        <v>8807</v>
      </c>
    </row>
    <row r="15" customFormat="1" spans="1:5">
      <c r="A15" s="10">
        <v>20220301</v>
      </c>
      <c r="B15" s="4">
        <v>8808</v>
      </c>
      <c r="C15" s="3" t="s">
        <v>551</v>
      </c>
      <c r="D15" s="5">
        <v>3983.0242</v>
      </c>
      <c r="E15" s="11">
        <f>_xlfn.IFNA(INDEX(门店汇总!$D:$D,MATCH($B:$B,门店汇总!$D:$D,0)),"没有该门店")</f>
        <v>8808</v>
      </c>
    </row>
    <row r="16" customFormat="1" spans="1:5">
      <c r="A16" s="10">
        <v>20220301</v>
      </c>
      <c r="B16" s="4">
        <v>8805</v>
      </c>
      <c r="C16" s="3" t="s">
        <v>548</v>
      </c>
      <c r="D16" s="5">
        <v>1336.0695</v>
      </c>
      <c r="E16" s="11">
        <f>_xlfn.IFNA(INDEX(门店汇总!$D:$D,MATCH($B:$B,门店汇总!$D:$D,0)),"没有该门店")</f>
        <v>8805</v>
      </c>
    </row>
    <row r="17" customFormat="1" spans="1:5">
      <c r="A17" s="10">
        <v>20220301</v>
      </c>
      <c r="B17" s="4">
        <v>8809</v>
      </c>
      <c r="C17" s="3" t="s">
        <v>552</v>
      </c>
      <c r="D17" s="5">
        <v>5197.3052</v>
      </c>
      <c r="E17" s="11">
        <f>_xlfn.IFNA(INDEX(门店汇总!$D:$D,MATCH($B:$B,门店汇总!$D:$D,0)),"没有该门店")</f>
        <v>8809</v>
      </c>
    </row>
    <row r="18" customFormat="1" spans="1:5">
      <c r="A18" s="10">
        <v>20220301</v>
      </c>
      <c r="B18" s="4">
        <v>8794</v>
      </c>
      <c r="C18" s="3" t="s">
        <v>553</v>
      </c>
      <c r="D18" s="5">
        <v>1239.4563</v>
      </c>
      <c r="E18" s="11">
        <f>_xlfn.IFNA(INDEX(门店汇总!$D:$D,MATCH($B:$B,门店汇总!$D:$D,0)),"没有该门店")</f>
        <v>8794</v>
      </c>
    </row>
    <row r="19" customFormat="1" spans="1:5">
      <c r="A19" s="10">
        <v>20220301</v>
      </c>
      <c r="B19" s="4">
        <v>1496</v>
      </c>
      <c r="C19" s="3" t="s">
        <v>597</v>
      </c>
      <c r="D19" s="5">
        <v>2554.8199</v>
      </c>
      <c r="E19" s="11">
        <f>_xlfn.IFNA(INDEX(门店汇总!$D:$D,MATCH($B:$B,门店汇总!$D:$D,0)),"没有该门店")</f>
        <v>1496</v>
      </c>
    </row>
    <row r="20" customFormat="1" spans="1:5">
      <c r="A20" s="10">
        <v>20220301</v>
      </c>
      <c r="B20" s="4">
        <v>8671</v>
      </c>
      <c r="C20" s="3" t="s">
        <v>598</v>
      </c>
      <c r="D20" s="5">
        <v>8623.7971</v>
      </c>
      <c r="E20" s="11">
        <f>_xlfn.IFNA(INDEX(门店汇总!$D:$D,MATCH($B:$B,门店汇总!$D:$D,0)),"没有该门店")</f>
        <v>8671</v>
      </c>
    </row>
    <row r="21" customFormat="1" spans="1:5">
      <c r="A21" s="10">
        <v>20220301</v>
      </c>
      <c r="B21" s="4">
        <v>1102</v>
      </c>
      <c r="C21" s="3" t="s">
        <v>599</v>
      </c>
      <c r="D21" s="5">
        <v>5788.5174</v>
      </c>
      <c r="E21" s="11">
        <f>_xlfn.IFNA(INDEX(门店汇总!$D:$D,MATCH($B:$B,门店汇总!$D:$D,0)),"没有该门店")</f>
        <v>1102</v>
      </c>
    </row>
    <row r="22" customFormat="1" spans="1:5">
      <c r="A22" s="10">
        <v>20220301</v>
      </c>
      <c r="B22" s="4">
        <v>8732</v>
      </c>
      <c r="C22" s="3" t="s">
        <v>600</v>
      </c>
      <c r="D22" s="5">
        <v>9888.7962</v>
      </c>
      <c r="E22" s="11">
        <f>_xlfn.IFNA(INDEX(门店汇总!$D:$D,MATCH($B:$B,门店汇总!$D:$D,0)),"没有该门店")</f>
        <v>8732</v>
      </c>
    </row>
    <row r="23" customFormat="1" spans="1:5">
      <c r="A23" s="10">
        <v>20220301</v>
      </c>
      <c r="B23" s="4">
        <v>8600</v>
      </c>
      <c r="C23" s="3" t="s">
        <v>601</v>
      </c>
      <c r="D23" s="5">
        <v>11494.6114</v>
      </c>
      <c r="E23" s="11">
        <f>_xlfn.IFNA(INDEX(门店汇总!$D:$D,MATCH($B:$B,门店汇总!$D:$D,0)),"没有该门店")</f>
        <v>8600</v>
      </c>
    </row>
    <row r="24" customFormat="1" spans="1:5">
      <c r="A24" s="10">
        <v>20220301</v>
      </c>
      <c r="B24" s="4">
        <v>8691</v>
      </c>
      <c r="C24" s="3" t="s">
        <v>602</v>
      </c>
      <c r="D24" s="5">
        <v>7912.9107</v>
      </c>
      <c r="E24" s="11">
        <f>_xlfn.IFNA(INDEX(门店汇总!$D:$D,MATCH($B:$B,门店汇总!$D:$D,0)),"没有该门店")</f>
        <v>8691</v>
      </c>
    </row>
    <row r="25" customFormat="1" spans="1:5">
      <c r="A25" s="10">
        <v>20220301</v>
      </c>
      <c r="B25" s="4">
        <v>8697</v>
      </c>
      <c r="C25" s="3" t="s">
        <v>603</v>
      </c>
      <c r="D25" s="5">
        <v>7516.7383</v>
      </c>
      <c r="E25" s="11">
        <f>_xlfn.IFNA(INDEX(门店汇总!$D:$D,MATCH($B:$B,门店汇总!$D:$D,0)),"没有该门店")</f>
        <v>8697</v>
      </c>
    </row>
    <row r="26" customFormat="1" spans="1:5">
      <c r="A26" s="10">
        <v>20220301</v>
      </c>
      <c r="B26" s="4">
        <v>8614</v>
      </c>
      <c r="C26" s="3" t="s">
        <v>604</v>
      </c>
      <c r="D26" s="5">
        <v>8560.2456</v>
      </c>
      <c r="E26" s="11">
        <f>_xlfn.IFNA(INDEX(门店汇总!$D:$D,MATCH($B:$B,门店汇总!$D:$D,0)),"没有该门店")</f>
        <v>8614</v>
      </c>
    </row>
    <row r="27" customFormat="1" spans="1:5">
      <c r="A27" s="10">
        <v>20220301</v>
      </c>
      <c r="B27" s="4">
        <v>8709</v>
      </c>
      <c r="C27" s="3" t="s">
        <v>605</v>
      </c>
      <c r="D27" s="5">
        <v>7086.9007</v>
      </c>
      <c r="E27" s="11">
        <f>_xlfn.IFNA(INDEX(门店汇总!$D:$D,MATCH($B:$B,门店汇总!$D:$D,0)),"没有该门店")</f>
        <v>8709</v>
      </c>
    </row>
    <row r="28" customFormat="1" spans="1:5">
      <c r="A28" s="10">
        <v>20220301</v>
      </c>
      <c r="B28" s="4">
        <v>8652</v>
      </c>
      <c r="C28" s="3" t="s">
        <v>606</v>
      </c>
      <c r="D28" s="5">
        <v>0</v>
      </c>
      <c r="E28" s="11">
        <f>_xlfn.IFNA(INDEX(门店汇总!$D:$D,MATCH($B:$B,门店汇总!$D:$D,0)),"没有该门店")</f>
        <v>8652</v>
      </c>
    </row>
    <row r="29" customFormat="1" spans="1:5">
      <c r="A29" s="10">
        <v>20220301</v>
      </c>
      <c r="B29" s="4">
        <v>8736</v>
      </c>
      <c r="C29" s="3" t="s">
        <v>607</v>
      </c>
      <c r="D29" s="5">
        <v>13865.2743</v>
      </c>
      <c r="E29" s="11">
        <f>_xlfn.IFNA(INDEX(门店汇总!$D:$D,MATCH($B:$B,门店汇总!$D:$D,0)),"没有该门店")</f>
        <v>8736</v>
      </c>
    </row>
    <row r="30" customFormat="1" spans="1:5">
      <c r="A30" s="10">
        <v>20220301</v>
      </c>
      <c r="B30" s="4">
        <v>1578</v>
      </c>
      <c r="C30" s="3" t="s">
        <v>608</v>
      </c>
      <c r="D30" s="5">
        <v>2173.402</v>
      </c>
      <c r="E30" s="11">
        <f>_xlfn.IFNA(INDEX(门店汇总!$D:$D,MATCH($B:$B,门店汇总!$D:$D,0)),"没有该门店")</f>
        <v>1578</v>
      </c>
    </row>
    <row r="31" customFormat="1" spans="1:5">
      <c r="A31" s="10">
        <v>20220301</v>
      </c>
      <c r="B31" s="4">
        <v>8695</v>
      </c>
      <c r="C31" s="3" t="s">
        <v>609</v>
      </c>
      <c r="D31" s="5">
        <v>7163.393</v>
      </c>
      <c r="E31" s="11">
        <f>_xlfn.IFNA(INDEX(门店汇总!$D:$D,MATCH($B:$B,门店汇总!$D:$D,0)),"没有该门店")</f>
        <v>8695</v>
      </c>
    </row>
    <row r="32" customFormat="1" spans="1:5">
      <c r="A32" s="10">
        <v>20220301</v>
      </c>
      <c r="B32" s="4">
        <v>8630</v>
      </c>
      <c r="C32" s="3" t="s">
        <v>610</v>
      </c>
      <c r="D32" s="5">
        <v>6367.5363</v>
      </c>
      <c r="E32" s="11">
        <f>_xlfn.IFNA(INDEX(门店汇总!$D:$D,MATCH($B:$B,门店汇总!$D:$D,0)),"没有该门店")</f>
        <v>8630</v>
      </c>
    </row>
    <row r="33" customFormat="1" spans="1:5">
      <c r="A33" s="10">
        <v>20220301</v>
      </c>
      <c r="B33" s="4">
        <v>8655</v>
      </c>
      <c r="C33" s="3" t="s">
        <v>611</v>
      </c>
      <c r="D33" s="5">
        <v>10609.3829</v>
      </c>
      <c r="E33" s="11">
        <f>_xlfn.IFNA(INDEX(门店汇总!$D:$D,MATCH($B:$B,门店汇总!$D:$D,0)),"没有该门店")</f>
        <v>8655</v>
      </c>
    </row>
    <row r="34" customFormat="1" spans="1:5">
      <c r="A34" s="10">
        <v>20220301</v>
      </c>
      <c r="B34" s="4">
        <v>8773</v>
      </c>
      <c r="C34" s="3" t="s">
        <v>612</v>
      </c>
      <c r="D34" s="5">
        <v>6674.0584</v>
      </c>
      <c r="E34" s="11">
        <f>_xlfn.IFNA(INDEX(门店汇总!$D:$D,MATCH($B:$B,门店汇总!$D:$D,0)),"没有该门店")</f>
        <v>8773</v>
      </c>
    </row>
    <row r="35" customFormat="1" spans="1:5">
      <c r="A35" s="10">
        <v>20220301</v>
      </c>
      <c r="B35" s="4">
        <v>1664</v>
      </c>
      <c r="C35" s="3" t="s">
        <v>613</v>
      </c>
      <c r="D35" s="5">
        <v>10781.4649</v>
      </c>
      <c r="E35" s="11">
        <f>_xlfn.IFNA(INDEX(门店汇总!$D:$D,MATCH($B:$B,门店汇总!$D:$D,0)),"没有该门店")</f>
        <v>1664</v>
      </c>
    </row>
    <row r="36" customFormat="1" spans="1:5">
      <c r="A36" s="10">
        <v>20220301</v>
      </c>
      <c r="B36" s="4">
        <v>8772</v>
      </c>
      <c r="C36" s="3" t="s">
        <v>614</v>
      </c>
      <c r="D36" s="5">
        <v>4597.4832</v>
      </c>
      <c r="E36" s="11">
        <f>_xlfn.IFNA(INDEX(门店汇总!$D:$D,MATCH($B:$B,门店汇总!$D:$D,0)),"没有该门店")</f>
        <v>8772</v>
      </c>
    </row>
    <row r="37" customFormat="1" spans="1:5">
      <c r="A37" s="10">
        <v>20220301</v>
      </c>
      <c r="B37" s="4">
        <v>1299</v>
      </c>
      <c r="C37" s="3" t="s">
        <v>615</v>
      </c>
      <c r="D37" s="5">
        <v>6651.875</v>
      </c>
      <c r="E37" s="11">
        <f>_xlfn.IFNA(INDEX(门店汇总!$D:$D,MATCH($B:$B,门店汇总!$D:$D,0)),"没有该门店")</f>
        <v>1299</v>
      </c>
    </row>
    <row r="38" customFormat="1" spans="1:5">
      <c r="A38" s="10">
        <v>20220301</v>
      </c>
      <c r="B38" s="4">
        <v>8681</v>
      </c>
      <c r="C38" s="3" t="s">
        <v>616</v>
      </c>
      <c r="D38" s="5">
        <v>10859.0732</v>
      </c>
      <c r="E38" s="11">
        <f>_xlfn.IFNA(INDEX(门店汇总!$D:$D,MATCH($B:$B,门店汇总!$D:$D,0)),"没有该门店")</f>
        <v>8681</v>
      </c>
    </row>
    <row r="39" customFormat="1" spans="1:5">
      <c r="A39" s="10">
        <v>20220301</v>
      </c>
      <c r="B39" s="4">
        <v>8744</v>
      </c>
      <c r="C39" s="3" t="s">
        <v>617</v>
      </c>
      <c r="D39" s="5">
        <v>5621.8587</v>
      </c>
      <c r="E39" s="11">
        <f>_xlfn.IFNA(INDEX(门店汇总!$D:$D,MATCH($B:$B,门店汇总!$D:$D,0)),"没有该门店")</f>
        <v>8744</v>
      </c>
    </row>
    <row r="40" customFormat="1" spans="1:5">
      <c r="A40" s="10">
        <v>20220301</v>
      </c>
      <c r="B40" s="4">
        <v>8644</v>
      </c>
      <c r="C40" s="3" t="s">
        <v>618</v>
      </c>
      <c r="D40" s="5">
        <v>5018.9736</v>
      </c>
      <c r="E40" s="11">
        <f>_xlfn.IFNA(INDEX(门店汇总!$D:$D,MATCH($B:$B,门店汇总!$D:$D,0)),"没有该门店")</f>
        <v>8644</v>
      </c>
    </row>
    <row r="41" customFormat="1" spans="1:5">
      <c r="A41" s="10">
        <v>20220301</v>
      </c>
      <c r="B41" s="4">
        <v>8728</v>
      </c>
      <c r="C41" s="3" t="s">
        <v>619</v>
      </c>
      <c r="D41" s="5">
        <v>0</v>
      </c>
      <c r="E41" s="11">
        <f>_xlfn.IFNA(INDEX(门店汇总!$D:$D,MATCH($B:$B,门店汇总!$D:$D,0)),"没有该门店")</f>
        <v>8728</v>
      </c>
    </row>
    <row r="42" customFormat="1" spans="1:5">
      <c r="A42" s="10">
        <v>20220301</v>
      </c>
      <c r="B42" s="4">
        <v>8612</v>
      </c>
      <c r="C42" s="3" t="s">
        <v>620</v>
      </c>
      <c r="D42" s="5">
        <v>4427.5418</v>
      </c>
      <c r="E42" s="11">
        <f>_xlfn.IFNA(INDEX(门店汇总!$D:$D,MATCH($B:$B,门店汇总!$D:$D,0)),"没有该门店")</f>
        <v>8612</v>
      </c>
    </row>
    <row r="43" customFormat="1" spans="1:5">
      <c r="A43" s="10">
        <v>20220301</v>
      </c>
      <c r="B43" s="4">
        <v>8609</v>
      </c>
      <c r="C43" s="3" t="s">
        <v>621</v>
      </c>
      <c r="D43" s="5">
        <v>5644.3092</v>
      </c>
      <c r="E43" s="11">
        <f>_xlfn.IFNA(INDEX(门店汇总!$D:$D,MATCH($B:$B,门店汇总!$D:$D,0)),"没有该门店")</f>
        <v>8609</v>
      </c>
    </row>
    <row r="44" customFormat="1" spans="1:5">
      <c r="A44" s="10">
        <v>20220301</v>
      </c>
      <c r="B44" s="4">
        <v>8628</v>
      </c>
      <c r="C44" s="3" t="s">
        <v>622</v>
      </c>
      <c r="D44" s="5">
        <v>11368.4489</v>
      </c>
      <c r="E44" s="11">
        <f>_xlfn.IFNA(INDEX(门店汇总!$D:$D,MATCH($B:$B,门店汇总!$D:$D,0)),"没有该门店")</f>
        <v>8628</v>
      </c>
    </row>
    <row r="45" customFormat="1" spans="1:5">
      <c r="A45" s="10">
        <v>20220301</v>
      </c>
      <c r="B45" s="4">
        <v>8661</v>
      </c>
      <c r="C45" s="3" t="s">
        <v>623</v>
      </c>
      <c r="D45" s="5">
        <v>10607.3592</v>
      </c>
      <c r="E45" s="11">
        <f>_xlfn.IFNA(INDEX(门店汇总!$D:$D,MATCH($B:$B,门店汇总!$D:$D,0)),"没有该门店")</f>
        <v>8661</v>
      </c>
    </row>
    <row r="46" customFormat="1" spans="1:5">
      <c r="A46" s="10">
        <v>20220301</v>
      </c>
      <c r="B46" s="4">
        <v>1693</v>
      </c>
      <c r="C46" s="3" t="s">
        <v>624</v>
      </c>
      <c r="D46" s="5">
        <v>1622.7013</v>
      </c>
      <c r="E46" s="11">
        <f>_xlfn.IFNA(INDEX(门店汇总!$D:$D,MATCH($B:$B,门店汇总!$D:$D,0)),"没有该门店")</f>
        <v>1693</v>
      </c>
    </row>
    <row r="47" customFormat="1" spans="1:5">
      <c r="A47" s="10">
        <v>20220301</v>
      </c>
      <c r="B47" s="4">
        <v>1461</v>
      </c>
      <c r="C47" s="3" t="s">
        <v>625</v>
      </c>
      <c r="D47" s="5">
        <v>6043.9715</v>
      </c>
      <c r="E47" s="11">
        <f>_xlfn.IFNA(INDEX(门店汇总!$D:$D,MATCH($B:$B,门店汇总!$D:$D,0)),"没有该门店")</f>
        <v>1461</v>
      </c>
    </row>
    <row r="48" customFormat="1" spans="1:5">
      <c r="A48" s="10">
        <v>20220301</v>
      </c>
      <c r="B48" s="4">
        <v>1826</v>
      </c>
      <c r="C48" s="3" t="s">
        <v>626</v>
      </c>
      <c r="D48" s="5">
        <v>1504.2081</v>
      </c>
      <c r="E48" s="11">
        <f>_xlfn.IFNA(INDEX(门店汇总!$D:$D,MATCH($B:$B,门店汇总!$D:$D,0)),"没有该门店")</f>
        <v>1826</v>
      </c>
    </row>
    <row r="49" customFormat="1" spans="1:5">
      <c r="A49" s="10">
        <v>20220301</v>
      </c>
      <c r="B49" s="4">
        <v>1293</v>
      </c>
      <c r="C49" s="3" t="s">
        <v>627</v>
      </c>
      <c r="D49" s="5">
        <v>3240.6656</v>
      </c>
      <c r="E49" s="11">
        <f>_xlfn.IFNA(INDEX(门店汇总!$D:$D,MATCH($B:$B,门店汇总!$D:$D,0)),"没有该门店")</f>
        <v>1293</v>
      </c>
    </row>
    <row r="50" customFormat="1" spans="1:5">
      <c r="A50" s="10">
        <v>20220301</v>
      </c>
      <c r="B50" s="4">
        <v>1672</v>
      </c>
      <c r="C50" s="3" t="s">
        <v>628</v>
      </c>
      <c r="D50" s="5">
        <v>3637.5168</v>
      </c>
      <c r="E50" s="11">
        <f>_xlfn.IFNA(INDEX(门店汇总!$D:$D,MATCH($B:$B,门店汇总!$D:$D,0)),"没有该门店")</f>
        <v>1672</v>
      </c>
    </row>
    <row r="51" customFormat="1" spans="1:5">
      <c r="A51" s="10">
        <v>20220301</v>
      </c>
      <c r="B51" s="4">
        <v>1686</v>
      </c>
      <c r="C51" s="3" t="s">
        <v>629</v>
      </c>
      <c r="D51" s="5">
        <v>8765.6691</v>
      </c>
      <c r="E51" s="11">
        <f>_xlfn.IFNA(INDEX(门店汇总!$D:$D,MATCH($B:$B,门店汇总!$D:$D,0)),"没有该门店")</f>
        <v>1686</v>
      </c>
    </row>
    <row r="52" customFormat="1" spans="1:5">
      <c r="A52" s="10">
        <v>20220301</v>
      </c>
      <c r="B52" s="4">
        <v>1867</v>
      </c>
      <c r="C52" s="3" t="s">
        <v>630</v>
      </c>
      <c r="D52" s="5">
        <v>5169.2332</v>
      </c>
      <c r="E52" s="11">
        <f>_xlfn.IFNA(INDEX(门店汇总!$D:$D,MATCH($B:$B,门店汇总!$D:$D,0)),"没有该门店")</f>
        <v>1867</v>
      </c>
    </row>
    <row r="53" customFormat="1" spans="1:5">
      <c r="A53" s="10">
        <v>20220301</v>
      </c>
      <c r="B53" s="4">
        <v>2120</v>
      </c>
      <c r="C53" s="3" t="s">
        <v>631</v>
      </c>
      <c r="D53" s="5">
        <v>3960.8435</v>
      </c>
      <c r="E53" s="11">
        <f>_xlfn.IFNA(INDEX(门店汇总!$D:$D,MATCH($B:$B,门店汇总!$D:$D,0)),"没有该门店")</f>
        <v>2120</v>
      </c>
    </row>
    <row r="54" customFormat="1" spans="1:5">
      <c r="A54" s="10">
        <v>20220301</v>
      </c>
      <c r="B54" s="4">
        <v>2213</v>
      </c>
      <c r="C54" s="3" t="s">
        <v>632</v>
      </c>
      <c r="D54" s="5">
        <v>6238.8782</v>
      </c>
      <c r="E54" s="11">
        <f>_xlfn.IFNA(INDEX(门店汇总!$D:$D,MATCH($B:$B,门店汇总!$D:$D,0)),"没有该门店")</f>
        <v>2213</v>
      </c>
    </row>
    <row r="55" customFormat="1" spans="1:5">
      <c r="A55" s="10">
        <v>20220301</v>
      </c>
      <c r="B55" s="4">
        <v>1075</v>
      </c>
      <c r="C55" s="3" t="s">
        <v>633</v>
      </c>
      <c r="D55" s="5">
        <v>3341.3106</v>
      </c>
      <c r="E55" s="11">
        <f>_xlfn.IFNA(INDEX(门店汇总!$D:$D,MATCH($B:$B,门店汇总!$D:$D,0)),"没有该门店")</f>
        <v>1075</v>
      </c>
    </row>
    <row r="56" customFormat="1" spans="1:5">
      <c r="A56" s="10">
        <v>20220301</v>
      </c>
      <c r="B56" s="4">
        <v>1070</v>
      </c>
      <c r="C56" s="3" t="s">
        <v>634</v>
      </c>
      <c r="D56" s="5">
        <v>7517.4047</v>
      </c>
      <c r="E56" s="11">
        <f>_xlfn.IFNA(INDEX(门店汇总!$D:$D,MATCH($B:$B,门店汇总!$D:$D,0)),"没有该门店")</f>
        <v>1070</v>
      </c>
    </row>
    <row r="57" customFormat="1" spans="1:5">
      <c r="A57" s="10">
        <v>20220301</v>
      </c>
      <c r="B57" s="4">
        <v>2244</v>
      </c>
      <c r="C57" s="3" t="s">
        <v>635</v>
      </c>
      <c r="D57" s="5">
        <v>13853.7463</v>
      </c>
      <c r="E57" s="11">
        <f>_xlfn.IFNA(INDEX(门店汇总!$D:$D,MATCH($B:$B,门店汇总!$D:$D,0)),"没有该门店")</f>
        <v>2244</v>
      </c>
    </row>
    <row r="58" customFormat="1" spans="1:5">
      <c r="A58" s="10">
        <v>20220301</v>
      </c>
      <c r="B58" s="4">
        <v>1460</v>
      </c>
      <c r="C58" s="3" t="s">
        <v>636</v>
      </c>
      <c r="D58" s="5">
        <v>3442.3028</v>
      </c>
      <c r="E58" s="11">
        <f>_xlfn.IFNA(INDEX(门店汇总!$D:$D,MATCH($B:$B,门店汇总!$D:$D,0)),"没有该门店")</f>
        <v>1460</v>
      </c>
    </row>
    <row r="59" customFormat="1" spans="1:5">
      <c r="A59" s="10">
        <v>20220301</v>
      </c>
      <c r="B59" s="4">
        <v>1651</v>
      </c>
      <c r="C59" s="3" t="s">
        <v>637</v>
      </c>
      <c r="D59" s="5">
        <v>3889.6729</v>
      </c>
      <c r="E59" s="11">
        <f>_xlfn.IFNA(INDEX(门店汇总!$D:$D,MATCH($B:$B,门店汇总!$D:$D,0)),"没有该门店")</f>
        <v>1651</v>
      </c>
    </row>
    <row r="60" customFormat="1" spans="1:5">
      <c r="A60" s="10">
        <v>20220301</v>
      </c>
      <c r="B60" s="4">
        <v>8789</v>
      </c>
      <c r="C60" s="3" t="s">
        <v>534</v>
      </c>
      <c r="D60" s="5">
        <v>4155.7465</v>
      </c>
      <c r="E60" s="11">
        <f>_xlfn.IFNA(INDEX(门店汇总!$D:$D,MATCH($B:$B,门店汇总!$D:$D,0)),"没有该门店")</f>
        <v>8789</v>
      </c>
    </row>
    <row r="61" customFormat="1" spans="1:5">
      <c r="A61" s="10">
        <v>20220301</v>
      </c>
      <c r="B61" s="4">
        <v>8813</v>
      </c>
      <c r="C61" s="3" t="s">
        <v>558</v>
      </c>
      <c r="D61" s="5">
        <v>38731.4666</v>
      </c>
      <c r="E61" s="11">
        <f>_xlfn.IFNA(INDEX(门店汇总!$D:$D,MATCH($B:$B,门店汇总!$D:$D,0)),"没有该门店")</f>
        <v>8813</v>
      </c>
    </row>
    <row r="62" customFormat="1" spans="1:5">
      <c r="A62" s="10">
        <v>20220301</v>
      </c>
      <c r="B62" s="4">
        <v>8781</v>
      </c>
      <c r="C62" s="3" t="s">
        <v>638</v>
      </c>
      <c r="D62" s="5">
        <v>64906.9152</v>
      </c>
      <c r="E62" s="11">
        <f>_xlfn.IFNA(INDEX(门店汇总!$D:$D,MATCH($B:$B,门店汇总!$D:$D,0)),"没有该门店")</f>
        <v>8781</v>
      </c>
    </row>
    <row r="63" customFormat="1" spans="1:5">
      <c r="A63" s="10">
        <v>20220301</v>
      </c>
      <c r="B63" s="4">
        <v>8767</v>
      </c>
      <c r="C63" s="3" t="s">
        <v>639</v>
      </c>
      <c r="D63" s="5">
        <v>51490.8945</v>
      </c>
      <c r="E63" s="11">
        <f>_xlfn.IFNA(INDEX(门店汇总!$D:$D,MATCH($B:$B,门店汇总!$D:$D,0)),"没有该门店")</f>
        <v>8767</v>
      </c>
    </row>
    <row r="64" customFormat="1" spans="1:5">
      <c r="A64" s="10">
        <v>20220301</v>
      </c>
      <c r="B64" s="4">
        <v>8758</v>
      </c>
      <c r="C64" s="3" t="s">
        <v>640</v>
      </c>
      <c r="D64" s="5">
        <v>855.3635</v>
      </c>
      <c r="E64" s="11">
        <f>_xlfn.IFNA(INDEX(门店汇总!$D:$D,MATCH($B:$B,门店汇总!$D:$D,0)),"没有该门店")</f>
        <v>8758</v>
      </c>
    </row>
    <row r="65" customFormat="1" spans="1:5">
      <c r="A65" s="10">
        <v>20220301</v>
      </c>
      <c r="B65" s="4">
        <v>2278</v>
      </c>
      <c r="C65" s="3" t="s">
        <v>641</v>
      </c>
      <c r="D65" s="5">
        <v>9721.1621</v>
      </c>
      <c r="E65" s="11">
        <f>_xlfn.IFNA(INDEX(门店汇总!$D:$D,MATCH($B:$B,门店汇总!$D:$D,0)),"没有该门店")</f>
        <v>2278</v>
      </c>
    </row>
    <row r="66" customFormat="1" spans="1:5">
      <c r="A66" s="10">
        <v>20220301</v>
      </c>
      <c r="B66" s="4">
        <v>1688</v>
      </c>
      <c r="C66" s="3" t="s">
        <v>642</v>
      </c>
      <c r="D66" s="5">
        <v>6319.0287</v>
      </c>
      <c r="E66" s="11">
        <f>_xlfn.IFNA(INDEX(门店汇总!$D:$D,MATCH($B:$B,门店汇总!$D:$D,0)),"没有该门店")</f>
        <v>1688</v>
      </c>
    </row>
    <row r="67" customFormat="1" spans="1:5">
      <c r="A67" s="10">
        <v>20220301</v>
      </c>
      <c r="B67" s="4">
        <v>1687</v>
      </c>
      <c r="C67" s="3" t="s">
        <v>643</v>
      </c>
      <c r="D67" s="5">
        <v>3252.1825</v>
      </c>
      <c r="E67" s="11">
        <f>_xlfn.IFNA(INDEX(门店汇总!$D:$D,MATCH($B:$B,门店汇总!$D:$D,0)),"没有该门店")</f>
        <v>1687</v>
      </c>
    </row>
    <row r="68" customFormat="1" spans="1:5">
      <c r="A68" s="10">
        <v>20220301</v>
      </c>
      <c r="B68" s="4">
        <v>8761</v>
      </c>
      <c r="C68" s="3" t="s">
        <v>644</v>
      </c>
      <c r="D68" s="5">
        <v>2974.729</v>
      </c>
      <c r="E68" s="11">
        <f>_xlfn.IFNA(INDEX(门店汇总!$D:$D,MATCH($B:$B,门店汇总!$D:$D,0)),"没有该门店")</f>
        <v>8761</v>
      </c>
    </row>
    <row r="69" customFormat="1" spans="1:5">
      <c r="A69" s="10">
        <v>20220301</v>
      </c>
      <c r="B69" s="4">
        <v>8777</v>
      </c>
      <c r="C69" s="3" t="s">
        <v>645</v>
      </c>
      <c r="D69" s="5">
        <v>314.0535</v>
      </c>
      <c r="E69" s="11">
        <f>_xlfn.IFNA(INDEX(门店汇总!$D:$D,MATCH($B:$B,门店汇总!$D:$D,0)),"没有该门店")</f>
        <v>8777</v>
      </c>
    </row>
    <row r="70" customFormat="1" spans="1:5">
      <c r="A70" s="10">
        <v>20220301</v>
      </c>
      <c r="B70" s="4">
        <v>1709</v>
      </c>
      <c r="C70" s="3" t="s">
        <v>646</v>
      </c>
      <c r="D70" s="5">
        <v>1187.8323</v>
      </c>
      <c r="E70" s="11">
        <f>_xlfn.IFNA(INDEX(门店汇总!$D:$D,MATCH($B:$B,门店汇总!$D:$D,0)),"没有该门店")</f>
        <v>1709</v>
      </c>
    </row>
    <row r="71" customFormat="1" spans="1:5">
      <c r="A71" s="10">
        <v>20220301</v>
      </c>
      <c r="B71" s="4">
        <v>1708</v>
      </c>
      <c r="C71" s="3" t="s">
        <v>647</v>
      </c>
      <c r="D71" s="5">
        <v>1825.7516</v>
      </c>
      <c r="E71" s="11">
        <f>_xlfn.IFNA(INDEX(门店汇总!$D:$D,MATCH($B:$B,门店汇总!$D:$D,0)),"没有该门店")</f>
        <v>1708</v>
      </c>
    </row>
    <row r="72" customFormat="1" spans="1:5">
      <c r="A72" s="10">
        <v>20220301</v>
      </c>
      <c r="B72" s="4">
        <v>1048</v>
      </c>
      <c r="C72" s="3" t="s">
        <v>648</v>
      </c>
      <c r="D72" s="5">
        <v>3878.4938</v>
      </c>
      <c r="E72" s="11">
        <f>_xlfn.IFNA(INDEX(门店汇总!$D:$D,MATCH($B:$B,门店汇总!$D:$D,0)),"没有该门店")</f>
        <v>1048</v>
      </c>
    </row>
    <row r="73" customFormat="1" spans="1:5">
      <c r="A73" s="10">
        <v>20220301</v>
      </c>
      <c r="B73" s="4">
        <v>1656</v>
      </c>
      <c r="C73" s="3" t="s">
        <v>649</v>
      </c>
      <c r="D73" s="5">
        <v>0</v>
      </c>
      <c r="E73" s="11">
        <f>_xlfn.IFNA(INDEX(门店汇总!$D:$D,MATCH($B:$B,门店汇总!$D:$D,0)),"没有该门店")</f>
        <v>1656</v>
      </c>
    </row>
    <row r="74" customFormat="1" spans="1:5">
      <c r="A74" s="10">
        <v>20220301</v>
      </c>
      <c r="B74" s="4">
        <v>1362</v>
      </c>
      <c r="C74" s="3" t="s">
        <v>650</v>
      </c>
      <c r="D74" s="5">
        <v>42322.7696</v>
      </c>
      <c r="E74" s="11">
        <f>_xlfn.IFNA(INDEX(门店汇总!$D:$D,MATCH($B:$B,门店汇总!$D:$D,0)),"没有该门店")</f>
        <v>1362</v>
      </c>
    </row>
    <row r="75" customFormat="1" spans="1:5">
      <c r="A75" s="10">
        <v>20220301</v>
      </c>
      <c r="B75" s="4">
        <v>1446</v>
      </c>
      <c r="C75" s="3" t="s">
        <v>651</v>
      </c>
      <c r="D75" s="5">
        <v>8599.4312</v>
      </c>
      <c r="E75" s="11">
        <f>_xlfn.IFNA(INDEX(门店汇总!$D:$D,MATCH($B:$B,门店汇总!$D:$D,0)),"没有该门店")</f>
        <v>1446</v>
      </c>
    </row>
    <row r="76" customFormat="1" spans="1:5">
      <c r="A76" s="10">
        <v>20220301</v>
      </c>
      <c r="B76" s="4">
        <v>8753</v>
      </c>
      <c r="C76" s="3" t="s">
        <v>652</v>
      </c>
      <c r="D76" s="5">
        <v>5915.681</v>
      </c>
      <c r="E76" s="11">
        <f>_xlfn.IFNA(INDEX(门店汇总!$D:$D,MATCH($B:$B,门店汇总!$D:$D,0)),"没有该门店")</f>
        <v>8753</v>
      </c>
    </row>
    <row r="77" customFormat="1" spans="1:5">
      <c r="A77" s="10">
        <v>20220301</v>
      </c>
      <c r="B77" s="4">
        <v>1640</v>
      </c>
      <c r="C77" s="3" t="s">
        <v>653</v>
      </c>
      <c r="D77" s="5">
        <v>1167.3953</v>
      </c>
      <c r="E77" s="11">
        <f>_xlfn.IFNA(INDEX(门店汇总!$D:$D,MATCH($B:$B,门店汇总!$D:$D,0)),"没有该门店")</f>
        <v>1640</v>
      </c>
    </row>
    <row r="78" customFormat="1" spans="1:5">
      <c r="A78" s="10">
        <v>20220301</v>
      </c>
      <c r="B78" s="4">
        <v>1641</v>
      </c>
      <c r="C78" s="3" t="s">
        <v>654</v>
      </c>
      <c r="D78" s="5">
        <v>0</v>
      </c>
      <c r="E78" s="11">
        <f>_xlfn.IFNA(INDEX(门店汇总!$D:$D,MATCH($B:$B,门店汇总!$D:$D,0)),"没有该门店")</f>
        <v>1641</v>
      </c>
    </row>
    <row r="79" customFormat="1" spans="1:5">
      <c r="A79" s="10">
        <v>20220301</v>
      </c>
      <c r="B79" s="4">
        <v>1642</v>
      </c>
      <c r="C79" s="3" t="s">
        <v>655</v>
      </c>
      <c r="D79" s="5">
        <v>0</v>
      </c>
      <c r="E79" s="11">
        <f>_xlfn.IFNA(INDEX(门店汇总!$D:$D,MATCH($B:$B,门店汇总!$D:$D,0)),"没有该门店")</f>
        <v>1642</v>
      </c>
    </row>
    <row r="80" customFormat="1" spans="1:5">
      <c r="A80" s="10">
        <v>20220301</v>
      </c>
      <c r="B80" s="4">
        <v>1752</v>
      </c>
      <c r="C80" s="3" t="s">
        <v>656</v>
      </c>
      <c r="D80" s="5">
        <v>2205.8491</v>
      </c>
      <c r="E80" s="11">
        <f>_xlfn.IFNA(INDEX(门店汇总!$D:$D,MATCH($B:$B,门店汇总!$D:$D,0)),"没有该门店")</f>
        <v>1752</v>
      </c>
    </row>
    <row r="81" customFormat="1" spans="1:5">
      <c r="A81" s="10">
        <v>20220301</v>
      </c>
      <c r="B81" s="4">
        <v>2130</v>
      </c>
      <c r="C81" s="3" t="s">
        <v>657</v>
      </c>
      <c r="D81" s="5">
        <v>3749.9287</v>
      </c>
      <c r="E81" s="11">
        <f>_xlfn.IFNA(INDEX(门店汇总!$D:$D,MATCH($B:$B,门店汇总!$D:$D,0)),"没有该门店")</f>
        <v>2130</v>
      </c>
    </row>
    <row r="82" customFormat="1" spans="1:5">
      <c r="A82" s="10">
        <v>20220301</v>
      </c>
      <c r="B82" s="4">
        <v>1376</v>
      </c>
      <c r="C82" s="3" t="s">
        <v>658</v>
      </c>
      <c r="D82" s="5">
        <v>4458.686</v>
      </c>
      <c r="E82" s="11">
        <f>_xlfn.IFNA(INDEX(门店汇总!$D:$D,MATCH($B:$B,门店汇总!$D:$D,0)),"没有该门店")</f>
        <v>1376</v>
      </c>
    </row>
    <row r="83" customFormat="1" spans="1:5">
      <c r="A83" s="10">
        <v>20220301</v>
      </c>
      <c r="B83" s="4">
        <v>1281</v>
      </c>
      <c r="C83" s="3" t="s">
        <v>659</v>
      </c>
      <c r="D83" s="5">
        <v>1958.7437</v>
      </c>
      <c r="E83" s="11">
        <f>_xlfn.IFNA(INDEX(门店汇总!$D:$D,MATCH($B:$B,门店汇总!$D:$D,0)),"没有该门店")</f>
        <v>1281</v>
      </c>
    </row>
    <row r="84" customFormat="1" spans="1:5">
      <c r="A84" s="10">
        <v>20220301</v>
      </c>
      <c r="B84" s="4">
        <v>1644</v>
      </c>
      <c r="C84" s="3" t="s">
        <v>660</v>
      </c>
      <c r="D84" s="5">
        <v>9261.9673</v>
      </c>
      <c r="E84" s="11">
        <f>_xlfn.IFNA(INDEX(门店汇总!$D:$D,MATCH($B:$B,门店汇总!$D:$D,0)),"没有该门店")</f>
        <v>1644</v>
      </c>
    </row>
    <row r="85" customFormat="1" spans="1:5">
      <c r="A85" s="10">
        <v>20220301</v>
      </c>
      <c r="B85" s="4">
        <v>2149</v>
      </c>
      <c r="C85" s="3" t="s">
        <v>661</v>
      </c>
      <c r="D85" s="5">
        <v>6856.9406</v>
      </c>
      <c r="E85" s="11">
        <f>_xlfn.IFNA(INDEX(门店汇总!$D:$D,MATCH($B:$B,门店汇总!$D:$D,0)),"没有该门店")</f>
        <v>2149</v>
      </c>
    </row>
    <row r="86" customFormat="1" spans="1:5">
      <c r="A86" s="10">
        <v>20220301</v>
      </c>
      <c r="B86" s="4">
        <v>2150</v>
      </c>
      <c r="C86" s="3" t="s">
        <v>662</v>
      </c>
      <c r="D86" s="5">
        <v>6986.1254</v>
      </c>
      <c r="E86" s="11">
        <f>_xlfn.IFNA(INDEX(门店汇总!$D:$D,MATCH($B:$B,门店汇总!$D:$D,0)),"没有该门店")</f>
        <v>2150</v>
      </c>
    </row>
    <row r="87" customFormat="1" spans="1:5">
      <c r="A87" s="10">
        <v>20220301</v>
      </c>
      <c r="B87" s="4">
        <v>8816</v>
      </c>
      <c r="C87" s="3" t="s">
        <v>555</v>
      </c>
      <c r="D87" s="5">
        <v>316.7169</v>
      </c>
      <c r="E87" s="11">
        <f>_xlfn.IFNA(INDEX(门店汇总!$D:$D,MATCH($B:$B,门店汇总!$D:$D,0)),"没有该门店")</f>
        <v>8816</v>
      </c>
    </row>
    <row r="88" customFormat="1" spans="1:5">
      <c r="A88" s="10">
        <v>20220301</v>
      </c>
      <c r="B88" s="4">
        <v>8814</v>
      </c>
      <c r="C88" s="3" t="s">
        <v>556</v>
      </c>
      <c r="D88" s="5">
        <v>96.3717</v>
      </c>
      <c r="E88" s="11">
        <f>_xlfn.IFNA(INDEX(门店汇总!$D:$D,MATCH($B:$B,门店汇总!$D:$D,0)),"没有该门店")</f>
        <v>8814</v>
      </c>
    </row>
    <row r="89" customFormat="1" spans="1:5">
      <c r="A89" s="10">
        <v>20220301</v>
      </c>
      <c r="B89" s="4">
        <v>8799</v>
      </c>
      <c r="C89" s="3" t="s">
        <v>547</v>
      </c>
      <c r="D89" s="5">
        <v>3447.4034</v>
      </c>
      <c r="E89" s="11">
        <f>_xlfn.IFNA(INDEX(门店汇总!$D:$D,MATCH($B:$B,门店汇总!$D:$D,0)),"没有该门店")</f>
        <v>8799</v>
      </c>
    </row>
    <row r="90" customFormat="1" spans="1:5">
      <c r="A90" s="10">
        <v>20220301</v>
      </c>
      <c r="B90" s="4">
        <v>8815</v>
      </c>
      <c r="C90" s="3" t="s">
        <v>554</v>
      </c>
      <c r="D90" s="5">
        <v>261.982</v>
      </c>
      <c r="E90" s="11">
        <f>_xlfn.IFNA(INDEX(门店汇总!$D:$D,MATCH($B:$B,门店汇总!$D:$D,0)),"没有该门店")</f>
        <v>8815</v>
      </c>
    </row>
    <row r="91" customFormat="1" spans="1:5">
      <c r="A91" s="10">
        <v>20220301</v>
      </c>
      <c r="B91" s="4">
        <v>1088</v>
      </c>
      <c r="C91" s="3" t="s">
        <v>663</v>
      </c>
      <c r="D91" s="5">
        <v>1218.1296</v>
      </c>
      <c r="E91" s="11">
        <f>_xlfn.IFNA(INDEX(门店汇总!$D:$D,MATCH($B:$B,门店汇总!$D:$D,0)),"没有该门店")</f>
        <v>1088</v>
      </c>
    </row>
    <row r="92" customFormat="1" spans="1:5">
      <c r="A92" s="10">
        <v>20220301</v>
      </c>
      <c r="B92" s="4">
        <v>1280</v>
      </c>
      <c r="C92" s="3" t="s">
        <v>664</v>
      </c>
      <c r="D92" s="5">
        <v>7693.9039</v>
      </c>
      <c r="E92" s="11">
        <f>_xlfn.IFNA(INDEX(门店汇总!$D:$D,MATCH($B:$B,门店汇总!$D:$D,0)),"没有该门店")</f>
        <v>1280</v>
      </c>
    </row>
    <row r="93" customFormat="1" spans="1:5">
      <c r="A93" s="10">
        <v>20220301</v>
      </c>
      <c r="B93" s="4">
        <v>1868</v>
      </c>
      <c r="C93" s="3" t="s">
        <v>665</v>
      </c>
      <c r="D93" s="5">
        <v>1778.9884</v>
      </c>
      <c r="E93" s="11">
        <f>_xlfn.IFNA(INDEX(门店汇总!$D:$D,MATCH($B:$B,门店汇总!$D:$D,0)),"没有该门店")</f>
        <v>1868</v>
      </c>
    </row>
    <row r="94" customFormat="1" spans="1:5">
      <c r="A94" s="10">
        <v>20220301</v>
      </c>
      <c r="B94" s="4">
        <v>1529</v>
      </c>
      <c r="C94" s="3" t="s">
        <v>666</v>
      </c>
      <c r="D94" s="5">
        <v>19411.4845</v>
      </c>
      <c r="E94" s="11">
        <f>_xlfn.IFNA(INDEX(门店汇总!$D:$D,MATCH($B:$B,门店汇总!$D:$D,0)),"没有该门店")</f>
        <v>1529</v>
      </c>
    </row>
    <row r="95" customFormat="1" spans="1:5">
      <c r="A95" s="10">
        <v>20220301</v>
      </c>
      <c r="B95" s="4">
        <v>8780</v>
      </c>
      <c r="C95" s="3" t="s">
        <v>667</v>
      </c>
      <c r="D95" s="5">
        <v>7416.5769</v>
      </c>
      <c r="E95" s="11">
        <f>_xlfn.IFNA(INDEX(门店汇总!$D:$D,MATCH($B:$B,门店汇总!$D:$D,0)),"没有该门店")</f>
        <v>8780</v>
      </c>
    </row>
    <row r="96" customFormat="1" spans="1:5">
      <c r="A96" s="10">
        <v>20220301</v>
      </c>
      <c r="B96" s="4">
        <v>8760</v>
      </c>
      <c r="C96" s="3" t="s">
        <v>668</v>
      </c>
      <c r="D96" s="5">
        <v>11283.0733</v>
      </c>
      <c r="E96" s="11">
        <f>_xlfn.IFNA(INDEX(门店汇总!$D:$D,MATCH($B:$B,门店汇总!$D:$D,0)),"没有该门店")</f>
        <v>8760</v>
      </c>
    </row>
    <row r="97" customFormat="1" spans="1:5">
      <c r="A97" s="10">
        <v>20220301</v>
      </c>
      <c r="B97" s="4">
        <v>1728</v>
      </c>
      <c r="C97" s="3" t="s">
        <v>669</v>
      </c>
      <c r="D97" s="5">
        <v>34718.0688</v>
      </c>
      <c r="E97" s="11">
        <f>_xlfn.IFNA(INDEX(门店汇总!$D:$D,MATCH($B:$B,门店汇总!$D:$D,0)),"没有该门店")</f>
        <v>1728</v>
      </c>
    </row>
    <row r="98" customFormat="1" spans="1:5">
      <c r="A98" s="10">
        <v>20220301</v>
      </c>
      <c r="B98" s="4">
        <v>8810</v>
      </c>
      <c r="C98" s="3" t="s">
        <v>542</v>
      </c>
      <c r="D98" s="5">
        <v>23884.7035</v>
      </c>
      <c r="E98" s="11">
        <f>_xlfn.IFNA(INDEX(门店汇总!$D:$D,MATCH($B:$B,门店汇总!$D:$D,0)),"没有该门店")</f>
        <v>8810</v>
      </c>
    </row>
    <row r="99" customFormat="1" spans="1:5">
      <c r="A99" s="10">
        <v>20220301</v>
      </c>
      <c r="B99" s="4">
        <v>1814</v>
      </c>
      <c r="C99" s="3" t="s">
        <v>670</v>
      </c>
      <c r="D99" s="5">
        <v>713.7654</v>
      </c>
      <c r="E99" s="11">
        <f>_xlfn.IFNA(INDEX(门店汇总!$D:$D,MATCH($B:$B,门店汇总!$D:$D,0)),"没有该门店")</f>
        <v>1814</v>
      </c>
    </row>
    <row r="100" customFormat="1" spans="1:5">
      <c r="A100" s="10">
        <v>20220301</v>
      </c>
      <c r="B100" s="4">
        <v>1590</v>
      </c>
      <c r="C100" s="3" t="s">
        <v>671</v>
      </c>
      <c r="D100" s="5">
        <v>30902.6089</v>
      </c>
      <c r="E100" s="11">
        <f>_xlfn.IFNA(INDEX(门店汇总!$D:$D,MATCH($B:$B,门店汇总!$D:$D,0)),"没有该门店")</f>
        <v>1590</v>
      </c>
    </row>
    <row r="101" customFormat="1" spans="1:5">
      <c r="A101" s="10">
        <v>20220301</v>
      </c>
      <c r="B101" s="4">
        <v>1295</v>
      </c>
      <c r="C101" s="3" t="s">
        <v>672</v>
      </c>
      <c r="D101" s="5">
        <v>2043.8197</v>
      </c>
      <c r="E101" s="11">
        <f>_xlfn.IFNA(INDEX(门店汇总!$D:$D,MATCH($B:$B,门店汇总!$D:$D,0)),"没有该门店")</f>
        <v>1295</v>
      </c>
    </row>
    <row r="102" customFormat="1" spans="1:5">
      <c r="A102" s="10">
        <v>20220301</v>
      </c>
      <c r="B102" s="4">
        <v>1146</v>
      </c>
      <c r="C102" s="3" t="s">
        <v>673</v>
      </c>
      <c r="D102" s="5">
        <v>4663.6757</v>
      </c>
      <c r="E102" s="11">
        <f>_xlfn.IFNA(INDEX(门店汇总!$D:$D,MATCH($B:$B,门店汇总!$D:$D,0)),"没有该门店")</f>
        <v>1146</v>
      </c>
    </row>
    <row r="103" customFormat="1" spans="1:5">
      <c r="A103" s="10">
        <v>20220301</v>
      </c>
      <c r="B103" s="4">
        <v>2223</v>
      </c>
      <c r="C103" s="3" t="s">
        <v>674</v>
      </c>
      <c r="D103" s="5">
        <v>2775.4281</v>
      </c>
      <c r="E103" s="11">
        <f>_xlfn.IFNA(INDEX(门店汇总!$D:$D,MATCH($B:$B,门店汇总!$D:$D,0)),"没有该门店")</f>
        <v>2223</v>
      </c>
    </row>
    <row r="104" customFormat="1" spans="1:5">
      <c r="A104" s="10">
        <v>20220301</v>
      </c>
      <c r="B104" s="4">
        <v>1677</v>
      </c>
      <c r="C104" s="3" t="s">
        <v>675</v>
      </c>
      <c r="D104" s="5">
        <v>6826.9306</v>
      </c>
      <c r="E104" s="11">
        <f>_xlfn.IFNA(INDEX(门店汇总!$D:$D,MATCH($B:$B,门店汇总!$D:$D,0)),"没有该门店")</f>
        <v>1677</v>
      </c>
    </row>
    <row r="105" customFormat="1" spans="1:5">
      <c r="A105" s="10">
        <v>20220301</v>
      </c>
      <c r="B105" s="4">
        <v>1646</v>
      </c>
      <c r="C105" s="3" t="s">
        <v>676</v>
      </c>
      <c r="D105" s="5">
        <v>4876.462</v>
      </c>
      <c r="E105" s="11">
        <f>_xlfn.IFNA(INDEX(门店汇总!$D:$D,MATCH($B:$B,门店汇总!$D:$D,0)),"没有该门店")</f>
        <v>1646</v>
      </c>
    </row>
    <row r="106" customFormat="1" spans="1:5">
      <c r="A106" s="10">
        <v>20220301</v>
      </c>
      <c r="B106" s="4">
        <v>1730</v>
      </c>
      <c r="C106" s="3" t="s">
        <v>677</v>
      </c>
      <c r="D106" s="5">
        <v>3484.2904</v>
      </c>
      <c r="E106" s="11">
        <f>_xlfn.IFNA(INDEX(门店汇总!$D:$D,MATCH($B:$B,门店汇总!$D:$D,0)),"没有该门店")</f>
        <v>1730</v>
      </c>
    </row>
    <row r="107" customFormat="1" spans="1:5">
      <c r="A107" s="10">
        <v>20220301</v>
      </c>
      <c r="B107" s="4">
        <v>2241</v>
      </c>
      <c r="C107" s="3" t="s">
        <v>678</v>
      </c>
      <c r="D107" s="5">
        <v>0</v>
      </c>
      <c r="E107" s="11">
        <f>_xlfn.IFNA(INDEX(门店汇总!$D:$D,MATCH($B:$B,门店汇总!$D:$D,0)),"没有该门店")</f>
        <v>2241</v>
      </c>
    </row>
    <row r="108" customFormat="1" spans="1:5">
      <c r="A108" s="10">
        <v>20220301</v>
      </c>
      <c r="B108" s="4">
        <v>8720</v>
      </c>
      <c r="C108" s="3" t="s">
        <v>679</v>
      </c>
      <c r="D108" s="5">
        <v>9138.2401</v>
      </c>
      <c r="E108" s="11">
        <f>_xlfn.IFNA(INDEX(门店汇总!$D:$D,MATCH($B:$B,门店汇总!$D:$D,0)),"没有该门店")</f>
        <v>8720</v>
      </c>
    </row>
    <row r="109" customFormat="1" spans="1:5">
      <c r="A109" s="10">
        <v>20220301</v>
      </c>
      <c r="B109" s="4">
        <v>1837</v>
      </c>
      <c r="C109" s="3" t="s">
        <v>680</v>
      </c>
      <c r="D109" s="5">
        <v>10350.2519</v>
      </c>
      <c r="E109" s="11">
        <f>_xlfn.IFNA(INDEX(门店汇总!$D:$D,MATCH($B:$B,门店汇总!$D:$D,0)),"没有该门店")</f>
        <v>1837</v>
      </c>
    </row>
    <row r="110" customFormat="1" spans="1:5">
      <c r="A110" s="10">
        <v>20220301</v>
      </c>
      <c r="B110" s="4">
        <v>1233</v>
      </c>
      <c r="C110" s="3" t="s">
        <v>681</v>
      </c>
      <c r="D110" s="5">
        <v>20650.5702</v>
      </c>
      <c r="E110" s="11">
        <f>_xlfn.IFNA(INDEX(门店汇总!$D:$D,MATCH($B:$B,门店汇总!$D:$D,0)),"没有该门店")</f>
        <v>1233</v>
      </c>
    </row>
    <row r="111" customFormat="1" spans="1:5">
      <c r="A111" s="10">
        <v>20220301</v>
      </c>
      <c r="B111" s="4">
        <v>1698</v>
      </c>
      <c r="C111" s="3" t="s">
        <v>682</v>
      </c>
      <c r="D111" s="5">
        <v>6187.1737</v>
      </c>
      <c r="E111" s="11">
        <f>_xlfn.IFNA(INDEX(门店汇总!$D:$D,MATCH($B:$B,门店汇总!$D:$D,0)),"没有该门店")</f>
        <v>1698</v>
      </c>
    </row>
    <row r="112" customFormat="1" spans="1:5">
      <c r="A112" s="10">
        <v>20220301</v>
      </c>
      <c r="B112" s="4">
        <v>1540</v>
      </c>
      <c r="C112" s="3" t="s">
        <v>683</v>
      </c>
      <c r="D112" s="5">
        <v>28849.2624</v>
      </c>
      <c r="E112" s="11">
        <f>_xlfn.IFNA(INDEX(门店汇总!$D:$D,MATCH($B:$B,门店汇总!$D:$D,0)),"没有该门店")</f>
        <v>1540</v>
      </c>
    </row>
    <row r="113" customFormat="1" spans="1:5">
      <c r="A113" s="10">
        <v>20220301</v>
      </c>
      <c r="B113" s="4">
        <v>1380</v>
      </c>
      <c r="C113" s="3" t="s">
        <v>684</v>
      </c>
      <c r="D113" s="5">
        <v>8888.8084</v>
      </c>
      <c r="E113" s="11">
        <f>_xlfn.IFNA(INDEX(门店汇总!$D:$D,MATCH($B:$B,门店汇总!$D:$D,0)),"没有该门店")</f>
        <v>1380</v>
      </c>
    </row>
    <row r="114" customFormat="1" spans="1:5">
      <c r="A114" s="10">
        <v>20220301</v>
      </c>
      <c r="B114" s="4">
        <v>8759</v>
      </c>
      <c r="C114" s="3" t="s">
        <v>685</v>
      </c>
      <c r="D114" s="5">
        <v>120.7078</v>
      </c>
      <c r="E114" s="11">
        <f>_xlfn.IFNA(INDEX(门店汇总!$D:$D,MATCH($B:$B,门店汇总!$D:$D,0)),"没有该门店")</f>
        <v>8759</v>
      </c>
    </row>
    <row r="115" customFormat="1" spans="1:5">
      <c r="A115" s="10">
        <v>20220301</v>
      </c>
      <c r="B115" s="4">
        <v>1726</v>
      </c>
      <c r="C115" s="3" t="s">
        <v>686</v>
      </c>
      <c r="D115" s="5">
        <v>3262.8704</v>
      </c>
      <c r="E115" s="11">
        <f>_xlfn.IFNA(INDEX(门店汇总!$D:$D,MATCH($B:$B,门店汇总!$D:$D,0)),"没有该门店")</f>
        <v>1726</v>
      </c>
    </row>
    <row r="116" customFormat="1" spans="1:5">
      <c r="A116" s="10">
        <v>20220301</v>
      </c>
      <c r="B116" s="4">
        <v>1282</v>
      </c>
      <c r="C116" s="3" t="s">
        <v>687</v>
      </c>
      <c r="D116" s="5">
        <v>2624.6613</v>
      </c>
      <c r="E116" s="11">
        <f>_xlfn.IFNA(INDEX(门店汇总!$D:$D,MATCH($B:$B,门店汇总!$D:$D,0)),"没有该门店")</f>
        <v>1282</v>
      </c>
    </row>
    <row r="117" customFormat="1" spans="1:5">
      <c r="A117" s="10">
        <v>20220301</v>
      </c>
      <c r="B117" s="4">
        <v>1585</v>
      </c>
      <c r="C117" s="3" t="s">
        <v>688</v>
      </c>
      <c r="D117" s="5">
        <v>4477.3014</v>
      </c>
      <c r="E117" s="11">
        <f>_xlfn.IFNA(INDEX(门店汇总!$D:$D,MATCH($B:$B,门店汇总!$D:$D,0)),"没有该门店")</f>
        <v>1585</v>
      </c>
    </row>
    <row r="118" customFormat="1" spans="1:5">
      <c r="A118" s="10">
        <v>20220301</v>
      </c>
      <c r="B118" s="4">
        <v>2215</v>
      </c>
      <c r="C118" s="3" t="s">
        <v>689</v>
      </c>
      <c r="D118" s="5">
        <v>4388.977</v>
      </c>
      <c r="E118" s="11">
        <f>_xlfn.IFNA(INDEX(门店汇总!$D:$D,MATCH($B:$B,门店汇总!$D:$D,0)),"没有该门店")</f>
        <v>2215</v>
      </c>
    </row>
    <row r="119" customFormat="1" spans="1:5">
      <c r="A119" s="10">
        <v>20220301</v>
      </c>
      <c r="B119" s="4">
        <v>1294</v>
      </c>
      <c r="C119" s="3" t="s">
        <v>690</v>
      </c>
      <c r="D119" s="5">
        <v>5423.0795</v>
      </c>
      <c r="E119" s="11">
        <f>_xlfn.IFNA(INDEX(门店汇总!$D:$D,MATCH($B:$B,门店汇总!$D:$D,0)),"没有该门店")</f>
        <v>1294</v>
      </c>
    </row>
    <row r="120" customFormat="1" spans="1:5">
      <c r="A120" s="10">
        <v>20220301</v>
      </c>
      <c r="B120" s="4">
        <v>1513</v>
      </c>
      <c r="C120" s="3" t="s">
        <v>691</v>
      </c>
      <c r="D120" s="5">
        <v>8802.3996</v>
      </c>
      <c r="E120" s="11">
        <f>_xlfn.IFNA(INDEX(门店汇总!$D:$D,MATCH($B:$B,门店汇总!$D:$D,0)),"没有该门店")</f>
        <v>1513</v>
      </c>
    </row>
    <row r="121" customFormat="1" spans="1:5">
      <c r="A121" s="10">
        <v>20220301</v>
      </c>
      <c r="B121" s="4">
        <v>1732</v>
      </c>
      <c r="C121" s="3" t="s">
        <v>692</v>
      </c>
      <c r="D121" s="5">
        <v>222.6283</v>
      </c>
      <c r="E121" s="11">
        <f>_xlfn.IFNA(INDEX(门店汇总!$D:$D,MATCH($B:$B,门店汇总!$D:$D,0)),"没有该门店")</f>
        <v>1732</v>
      </c>
    </row>
    <row r="122" customFormat="1" spans="1:5">
      <c r="A122" s="10">
        <v>20220301</v>
      </c>
      <c r="B122" s="4">
        <v>1055</v>
      </c>
      <c r="C122" s="3" t="s">
        <v>693</v>
      </c>
      <c r="D122" s="5">
        <v>6813.1809</v>
      </c>
      <c r="E122" s="11">
        <f>_xlfn.IFNA(INDEX(门店汇总!$D:$D,MATCH($B:$B,门店汇总!$D:$D,0)),"没有该门店")</f>
        <v>1055</v>
      </c>
    </row>
    <row r="123" customFormat="1" spans="1:5">
      <c r="A123" s="10">
        <v>20220301</v>
      </c>
      <c r="B123" s="4">
        <v>1049</v>
      </c>
      <c r="C123" s="3" t="s">
        <v>694</v>
      </c>
      <c r="D123" s="5">
        <v>1062.5343</v>
      </c>
      <c r="E123" s="11">
        <f>_xlfn.IFNA(INDEX(门店汇总!$D:$D,MATCH($B:$B,门店汇总!$D:$D,0)),"没有该门店")</f>
        <v>1049</v>
      </c>
    </row>
    <row r="124" customFormat="1" spans="1:5">
      <c r="A124" s="10">
        <v>20220301</v>
      </c>
      <c r="B124" s="4">
        <v>1607</v>
      </c>
      <c r="C124" s="3" t="s">
        <v>695</v>
      </c>
      <c r="D124" s="5">
        <v>2566.3553</v>
      </c>
      <c r="E124" s="11">
        <f>_xlfn.IFNA(INDEX(门店汇总!$D:$D,MATCH($B:$B,门店汇总!$D:$D,0)),"没有该门店")</f>
        <v>1607</v>
      </c>
    </row>
    <row r="125" customFormat="1" spans="1:5">
      <c r="A125" s="10">
        <v>20220301</v>
      </c>
      <c r="B125" s="4">
        <v>1608</v>
      </c>
      <c r="C125" s="3" t="s">
        <v>696</v>
      </c>
      <c r="D125" s="5">
        <v>4191.665</v>
      </c>
      <c r="E125" s="11">
        <f>_xlfn.IFNA(INDEX(门店汇总!$D:$D,MATCH($B:$B,门店汇总!$D:$D,0)),"没有该门店")</f>
        <v>1608</v>
      </c>
    </row>
    <row r="126" customFormat="1" spans="1:5">
      <c r="A126" s="10">
        <v>20220301</v>
      </c>
      <c r="B126" s="4">
        <v>1620</v>
      </c>
      <c r="C126" s="3" t="s">
        <v>697</v>
      </c>
      <c r="D126" s="5">
        <v>5662.4727</v>
      </c>
      <c r="E126" s="11">
        <f>_xlfn.IFNA(INDEX(门店汇总!$D:$D,MATCH($B:$B,门店汇总!$D:$D,0)),"没有该门店")</f>
        <v>1620</v>
      </c>
    </row>
    <row r="127" customFormat="1" spans="1:5">
      <c r="A127" s="10">
        <v>20220301</v>
      </c>
      <c r="B127" s="4">
        <v>1082</v>
      </c>
      <c r="C127" s="3" t="s">
        <v>698</v>
      </c>
      <c r="D127" s="5">
        <v>7959.1389</v>
      </c>
      <c r="E127" s="11">
        <f>_xlfn.IFNA(INDEX(门店汇总!$D:$D,MATCH($B:$B,门店汇总!$D:$D,0)),"没有该门店")</f>
        <v>1082</v>
      </c>
    </row>
    <row r="128" customFormat="1" spans="1:5">
      <c r="A128" s="10">
        <v>20220301</v>
      </c>
      <c r="B128" s="4">
        <v>8722</v>
      </c>
      <c r="C128" s="3" t="s">
        <v>699</v>
      </c>
      <c r="D128" s="5">
        <v>10388.1367</v>
      </c>
      <c r="E128" s="11">
        <f>_xlfn.IFNA(INDEX(门店汇总!$D:$D,MATCH($B:$B,门店汇总!$D:$D,0)),"没有该门店")</f>
        <v>8722</v>
      </c>
    </row>
    <row r="129" customFormat="1" spans="1:5">
      <c r="A129" s="10">
        <v>20220301</v>
      </c>
      <c r="B129" s="4">
        <v>8692</v>
      </c>
      <c r="C129" s="3" t="s">
        <v>700</v>
      </c>
      <c r="D129" s="5">
        <v>11005.8161</v>
      </c>
      <c r="E129" s="11">
        <f>_xlfn.IFNA(INDEX(门店汇总!$D:$D,MATCH($B:$B,门店汇总!$D:$D,0)),"没有该门店")</f>
        <v>8692</v>
      </c>
    </row>
    <row r="130" customFormat="1" spans="1:5">
      <c r="A130" s="10">
        <v>20220301</v>
      </c>
      <c r="B130" s="4">
        <v>8674</v>
      </c>
      <c r="C130" s="3" t="s">
        <v>701</v>
      </c>
      <c r="D130" s="5">
        <v>4618.6337</v>
      </c>
      <c r="E130" s="11">
        <f>_xlfn.IFNA(INDEX(门店汇总!$D:$D,MATCH($B:$B,门店汇总!$D:$D,0)),"没有该门店")</f>
        <v>8674</v>
      </c>
    </row>
    <row r="131" customFormat="1" spans="1:5">
      <c r="A131" s="10">
        <v>20220301</v>
      </c>
      <c r="B131" s="4">
        <v>8748</v>
      </c>
      <c r="C131" s="3" t="s">
        <v>702</v>
      </c>
      <c r="D131" s="5">
        <v>7281.8675</v>
      </c>
      <c r="E131" s="11">
        <f>_xlfn.IFNA(INDEX(门店汇总!$D:$D,MATCH($B:$B,门店汇总!$D:$D,0)),"没有该门店")</f>
        <v>8748</v>
      </c>
    </row>
    <row r="132" customFormat="1" spans="1:5">
      <c r="A132" s="10">
        <v>20220301</v>
      </c>
      <c r="B132" s="4">
        <v>8607</v>
      </c>
      <c r="C132" s="3" t="s">
        <v>703</v>
      </c>
      <c r="D132" s="5">
        <v>8816.8897</v>
      </c>
      <c r="E132" s="11">
        <f>_xlfn.IFNA(INDEX(门店汇总!$D:$D,MATCH($B:$B,门店汇总!$D:$D,0)),"没有该门店")</f>
        <v>8607</v>
      </c>
    </row>
    <row r="133" customFormat="1" spans="1:5">
      <c r="A133" s="10">
        <v>20220301</v>
      </c>
      <c r="B133" s="4">
        <v>8790</v>
      </c>
      <c r="C133" s="3" t="s">
        <v>539</v>
      </c>
      <c r="D133" s="5">
        <v>2548.7954</v>
      </c>
      <c r="E133" s="11">
        <f>_xlfn.IFNA(INDEX(门店汇总!$D:$D,MATCH($B:$B,门店汇总!$D:$D,0)),"没有该门店")</f>
        <v>8790</v>
      </c>
    </row>
    <row r="134" customFormat="1" spans="1:5">
      <c r="A134" s="10">
        <v>20220301</v>
      </c>
      <c r="B134" s="4">
        <v>8776</v>
      </c>
      <c r="C134" s="3" t="s">
        <v>704</v>
      </c>
      <c r="D134" s="5">
        <v>533.071</v>
      </c>
      <c r="E134" s="11">
        <f>_xlfn.IFNA(INDEX(门店汇总!$D:$D,MATCH($B:$B,门店汇总!$D:$D,0)),"没有该门店")</f>
        <v>8776</v>
      </c>
    </row>
    <row r="135" customFormat="1" spans="1:5">
      <c r="A135" s="10">
        <v>20220301</v>
      </c>
      <c r="B135" s="4">
        <v>8764</v>
      </c>
      <c r="C135" s="3" t="s">
        <v>705</v>
      </c>
      <c r="D135" s="5">
        <v>12454.5095</v>
      </c>
      <c r="E135" s="11">
        <f>_xlfn.IFNA(INDEX(门店汇总!$D:$D,MATCH($B:$B,门店汇总!$D:$D,0)),"没有该门店")</f>
        <v>8764</v>
      </c>
    </row>
    <row r="136" customFormat="1" spans="1:5">
      <c r="A136" s="10">
        <v>20220301</v>
      </c>
      <c r="B136" s="4">
        <v>8654</v>
      </c>
      <c r="C136" s="3" t="s">
        <v>706</v>
      </c>
      <c r="D136" s="5">
        <v>7688.6698</v>
      </c>
      <c r="E136" s="11">
        <f>_xlfn.IFNA(INDEX(门店汇总!$D:$D,MATCH($B:$B,门店汇总!$D:$D,0)),"没有该门店")</f>
        <v>8654</v>
      </c>
    </row>
    <row r="137" customFormat="1" spans="1:5">
      <c r="A137" s="10">
        <v>20220301</v>
      </c>
      <c r="B137" s="4">
        <v>8778</v>
      </c>
      <c r="C137" s="3" t="s">
        <v>707</v>
      </c>
      <c r="D137" s="5">
        <v>5334.5526</v>
      </c>
      <c r="E137" s="11">
        <f>_xlfn.IFNA(INDEX(门店汇总!$D:$D,MATCH($B:$B,门店汇总!$D:$D,0)),"没有该门店")</f>
        <v>8778</v>
      </c>
    </row>
    <row r="138" customFormat="1" spans="1:5">
      <c r="A138" s="10">
        <v>20220301</v>
      </c>
      <c r="B138" s="4">
        <v>8725</v>
      </c>
      <c r="C138" s="3" t="s">
        <v>708</v>
      </c>
      <c r="D138" s="5">
        <v>4422.7003</v>
      </c>
      <c r="E138" s="11">
        <f>_xlfn.IFNA(INDEX(门店汇总!$D:$D,MATCH($B:$B,门店汇总!$D:$D,0)),"没有该门店")</f>
        <v>8725</v>
      </c>
    </row>
    <row r="139" customFormat="1" spans="1:5">
      <c r="A139" s="10">
        <v>20220301</v>
      </c>
      <c r="B139" s="4">
        <v>8796</v>
      </c>
      <c r="C139" s="3" t="s">
        <v>540</v>
      </c>
      <c r="D139" s="5">
        <v>1029.4834</v>
      </c>
      <c r="E139" s="11">
        <f>_xlfn.IFNA(INDEX(门店汇总!$D:$D,MATCH($B:$B,门店汇总!$D:$D,0)),"没有该门店")</f>
        <v>8796</v>
      </c>
    </row>
    <row r="140" customFormat="1" spans="1:5">
      <c r="A140" s="10">
        <v>20220301</v>
      </c>
      <c r="B140" s="4">
        <v>8801</v>
      </c>
      <c r="C140" s="3" t="s">
        <v>543</v>
      </c>
      <c r="D140" s="5">
        <v>806.8885</v>
      </c>
      <c r="E140" s="11">
        <f>_xlfn.IFNA(INDEX(门店汇总!$D:$D,MATCH($B:$B,门店汇总!$D:$D,0)),"没有该门店")</f>
        <v>8801</v>
      </c>
    </row>
    <row r="141" customFormat="1" spans="1:5">
      <c r="A141" s="10">
        <v>20220301</v>
      </c>
      <c r="B141" s="4">
        <v>8802</v>
      </c>
      <c r="C141" s="3" t="s">
        <v>546</v>
      </c>
      <c r="D141" s="5">
        <v>1137.8884</v>
      </c>
      <c r="E141" s="11">
        <f>_xlfn.IFNA(INDEX(门店汇总!$D:$D,MATCH($B:$B,门店汇总!$D:$D,0)),"没有该门店")</f>
        <v>8802</v>
      </c>
    </row>
    <row r="142" customFormat="1" spans="1:5">
      <c r="A142" s="10">
        <v>20220301</v>
      </c>
      <c r="B142" s="4">
        <v>8803</v>
      </c>
      <c r="C142" s="3" t="s">
        <v>541</v>
      </c>
      <c r="D142" s="5">
        <v>1940.8555</v>
      </c>
      <c r="E142" s="11">
        <f>_xlfn.IFNA(INDEX(门店汇总!$D:$D,MATCH($B:$B,门店汇总!$D:$D,0)),"没有该门店")</f>
        <v>8803</v>
      </c>
    </row>
    <row r="143" customFormat="1" spans="1:5">
      <c r="A143" s="10">
        <v>20220301</v>
      </c>
      <c r="B143" s="4">
        <v>8684</v>
      </c>
      <c r="C143" s="3" t="s">
        <v>709</v>
      </c>
      <c r="D143" s="5">
        <v>8032.1862</v>
      </c>
      <c r="E143" s="11">
        <f>_xlfn.IFNA(INDEX(门店汇总!$D:$D,MATCH($B:$B,门店汇总!$D:$D,0)),"没有该门店")</f>
        <v>8684</v>
      </c>
    </row>
    <row r="144" customFormat="1" spans="1:5">
      <c r="A144" s="10">
        <v>20220301</v>
      </c>
      <c r="B144" s="4">
        <v>8668</v>
      </c>
      <c r="C144" s="3" t="s">
        <v>710</v>
      </c>
      <c r="D144" s="5">
        <v>4905.8484</v>
      </c>
      <c r="E144" s="11">
        <f>_xlfn.IFNA(INDEX(门店汇总!$D:$D,MATCH($B:$B,门店汇总!$D:$D,0)),"没有该门店")</f>
        <v>8668</v>
      </c>
    </row>
    <row r="145" spans="1:5">
      <c r="A145" s="10">
        <v>20220301</v>
      </c>
      <c r="B145" s="4">
        <v>8658</v>
      </c>
      <c r="C145" s="3" t="s">
        <v>711</v>
      </c>
      <c r="D145" s="5">
        <v>8410.1373</v>
      </c>
      <c r="E145" s="11">
        <f>_xlfn.IFNA(INDEX(门店汇总!$D:$D,MATCH($B:$B,门店汇总!$D:$D,0)),"没有该门店")</f>
        <v>8658</v>
      </c>
    </row>
    <row r="146" spans="1:5">
      <c r="A146" s="10">
        <v>20220301</v>
      </c>
      <c r="B146" s="4">
        <v>8608</v>
      </c>
      <c r="C146" s="3" t="s">
        <v>712</v>
      </c>
      <c r="D146" s="5">
        <v>12874.7361</v>
      </c>
      <c r="E146" s="11">
        <f>_xlfn.IFNA(INDEX(门店汇总!$D:$D,MATCH($B:$B,门店汇总!$D:$D,0)),"没有该门店")</f>
        <v>8608</v>
      </c>
    </row>
    <row r="147" spans="1:5">
      <c r="A147" s="10">
        <v>20220301</v>
      </c>
      <c r="B147" s="4">
        <v>8719</v>
      </c>
      <c r="C147" s="3" t="s">
        <v>713</v>
      </c>
      <c r="D147" s="5">
        <v>4779.7659</v>
      </c>
      <c r="E147" s="11">
        <f>_xlfn.IFNA(INDEX(门店汇总!$D:$D,MATCH($B:$B,门店汇总!$D:$D,0)),"没有该门店")</f>
        <v>8719</v>
      </c>
    </row>
    <row r="148" spans="1:5">
      <c r="A148" s="10">
        <v>20220301</v>
      </c>
      <c r="B148" s="4">
        <v>8714</v>
      </c>
      <c r="C148" s="3" t="s">
        <v>714</v>
      </c>
      <c r="D148" s="5">
        <v>16540.2644</v>
      </c>
      <c r="E148" s="11">
        <f>_xlfn.IFNA(INDEX(门店汇总!$D:$D,MATCH($B:$B,门店汇总!$D:$D,0)),"没有该门店")</f>
        <v>8714</v>
      </c>
    </row>
    <row r="149" spans="1:5">
      <c r="A149" s="10">
        <v>20220301</v>
      </c>
      <c r="B149" s="4">
        <v>1880</v>
      </c>
      <c r="C149" s="3" t="s">
        <v>715</v>
      </c>
      <c r="D149" s="5">
        <v>5766.639</v>
      </c>
      <c r="E149" s="11">
        <f>_xlfn.IFNA(INDEX(门店汇总!$D:$D,MATCH($B:$B,门店汇总!$D:$D,0)),"没有该门店")</f>
        <v>1880</v>
      </c>
    </row>
    <row r="150" spans="1:5">
      <c r="A150" s="10">
        <v>20220301</v>
      </c>
      <c r="B150" s="4">
        <v>8705</v>
      </c>
      <c r="C150" s="3" t="s">
        <v>716</v>
      </c>
      <c r="D150" s="5">
        <v>11492.1719</v>
      </c>
      <c r="E150" s="11">
        <f>_xlfn.IFNA(INDEX(门店汇总!$D:$D,MATCH($B:$B,门店汇总!$D:$D,0)),"没有该门店")</f>
        <v>8705</v>
      </c>
    </row>
    <row r="151" spans="1:5">
      <c r="A151" s="10">
        <v>20220301</v>
      </c>
      <c r="B151" s="4">
        <v>8762</v>
      </c>
      <c r="C151" s="3" t="s">
        <v>717</v>
      </c>
      <c r="D151" s="5">
        <v>3111.6859</v>
      </c>
      <c r="E151" s="11">
        <f>_xlfn.IFNA(INDEX(门店汇总!$D:$D,MATCH($B:$B,门店汇总!$D:$D,0)),"没有该门店")</f>
        <v>8762</v>
      </c>
    </row>
    <row r="152" spans="1:5">
      <c r="A152" s="10">
        <v>20220301</v>
      </c>
      <c r="B152" s="4">
        <v>8604</v>
      </c>
      <c r="C152" s="3" t="s">
        <v>718</v>
      </c>
      <c r="D152" s="5">
        <v>7815.4465</v>
      </c>
      <c r="E152" s="11">
        <f>_xlfn.IFNA(INDEX(门店汇总!$D:$D,MATCH($B:$B,门店汇总!$D:$D,0)),"没有该门店")</f>
        <v>8604</v>
      </c>
    </row>
    <row r="153" spans="1:5">
      <c r="A153" s="10">
        <v>20220301</v>
      </c>
      <c r="B153" s="4">
        <v>8704</v>
      </c>
      <c r="C153" s="3" t="s">
        <v>719</v>
      </c>
      <c r="D153" s="5">
        <v>6066.3782</v>
      </c>
      <c r="E153" s="11">
        <f>_xlfn.IFNA(INDEX(门店汇总!$D:$D,MATCH($B:$B,门店汇总!$D:$D,0)),"没有该门店")</f>
        <v>8704</v>
      </c>
    </row>
    <row r="154" spans="1:5">
      <c r="A154" s="10">
        <v>20220301</v>
      </c>
      <c r="B154" s="4">
        <v>8620</v>
      </c>
      <c r="C154" s="3" t="s">
        <v>720</v>
      </c>
      <c r="D154" s="5">
        <v>0</v>
      </c>
      <c r="E154" s="11">
        <f>_xlfn.IFNA(INDEX(门店汇总!$D:$D,MATCH($B:$B,门店汇总!$D:$D,0)),"没有该门店")</f>
        <v>8620</v>
      </c>
    </row>
    <row r="155" spans="1:5">
      <c r="A155" s="10">
        <v>20220301</v>
      </c>
      <c r="B155" s="4">
        <v>8735</v>
      </c>
      <c r="C155" s="3" t="s">
        <v>721</v>
      </c>
      <c r="D155" s="5">
        <v>5171.4056</v>
      </c>
      <c r="E155" s="11">
        <f>_xlfn.IFNA(INDEX(门店汇总!$D:$D,MATCH($B:$B,门店汇总!$D:$D,0)),"没有该门店")</f>
        <v>8735</v>
      </c>
    </row>
    <row r="156" spans="1:5">
      <c r="A156" s="10">
        <v>20220301</v>
      </c>
      <c r="B156" s="4">
        <v>8724</v>
      </c>
      <c r="C156" s="3" t="s">
        <v>722</v>
      </c>
      <c r="D156" s="5">
        <v>8032.605</v>
      </c>
      <c r="E156" s="11">
        <f>_xlfn.IFNA(INDEX(门店汇总!$D:$D,MATCH($B:$B,门店汇总!$D:$D,0)),"没有该门店")</f>
        <v>8724</v>
      </c>
    </row>
    <row r="157" spans="1:5">
      <c r="A157" s="10">
        <v>20220301</v>
      </c>
      <c r="B157" s="4">
        <v>8623</v>
      </c>
      <c r="C157" s="3" t="s">
        <v>723</v>
      </c>
      <c r="D157" s="5">
        <v>6866.9293</v>
      </c>
      <c r="E157" s="11">
        <f>_xlfn.IFNA(INDEX(门店汇总!$D:$D,MATCH($B:$B,门店汇总!$D:$D,0)),"没有该门店")</f>
        <v>8623</v>
      </c>
    </row>
    <row r="158" spans="1:5">
      <c r="A158" s="10">
        <v>20220301</v>
      </c>
      <c r="B158" s="4">
        <v>8621</v>
      </c>
      <c r="C158" s="3" t="s">
        <v>724</v>
      </c>
      <c r="D158" s="5">
        <v>5489.37</v>
      </c>
      <c r="E158" s="11">
        <f>_xlfn.IFNA(INDEX(门店汇总!$D:$D,MATCH($B:$B,门店汇总!$D:$D,0)),"没有该门店")</f>
        <v>8621</v>
      </c>
    </row>
    <row r="159" spans="1:5">
      <c r="A159" s="10">
        <v>20220301</v>
      </c>
      <c r="B159" s="4">
        <v>1584</v>
      </c>
      <c r="C159" s="3" t="s">
        <v>725</v>
      </c>
      <c r="D159" s="5">
        <v>9183.5087</v>
      </c>
      <c r="E159" s="11">
        <f>_xlfn.IFNA(INDEX(门店汇总!$D:$D,MATCH($B:$B,门店汇总!$D:$D,0)),"没有该门店")</f>
        <v>1584</v>
      </c>
    </row>
    <row r="160" spans="1:5">
      <c r="A160" s="10">
        <v>20220301</v>
      </c>
      <c r="B160" s="4">
        <v>8743</v>
      </c>
      <c r="C160" s="3" t="s">
        <v>726</v>
      </c>
      <c r="D160" s="5">
        <v>51.4158</v>
      </c>
      <c r="E160" s="11">
        <f>_xlfn.IFNA(INDEX(门店汇总!$D:$D,MATCH($B:$B,门店汇总!$D:$D,0)),"没有该门店")</f>
        <v>8743</v>
      </c>
    </row>
    <row r="161" spans="1:5">
      <c r="A161" s="10">
        <v>20220301</v>
      </c>
      <c r="B161" s="4">
        <v>8741</v>
      </c>
      <c r="C161" s="3" t="s">
        <v>727</v>
      </c>
      <c r="D161" s="5">
        <v>10850.6639</v>
      </c>
      <c r="E161" s="11">
        <f>_xlfn.IFNA(INDEX(门店汇总!$D:$D,MATCH($B:$B,门店汇总!$D:$D,0)),"没有该门店")</f>
        <v>8741</v>
      </c>
    </row>
    <row r="162" spans="1:5">
      <c r="A162" s="10">
        <v>20220301</v>
      </c>
      <c r="B162" s="4">
        <v>8717</v>
      </c>
      <c r="C162" s="3" t="s">
        <v>728</v>
      </c>
      <c r="D162" s="5">
        <v>8215.2866</v>
      </c>
      <c r="E162" s="11">
        <f>_xlfn.IFNA(INDEX(门店汇总!$D:$D,MATCH($B:$B,门店汇总!$D:$D,0)),"没有该门店")</f>
        <v>8717</v>
      </c>
    </row>
    <row r="163" spans="1:5">
      <c r="A163" s="10">
        <v>20220301</v>
      </c>
      <c r="B163" s="4">
        <v>8622</v>
      </c>
      <c r="C163" s="3" t="s">
        <v>729</v>
      </c>
      <c r="D163" s="5">
        <v>10514.0517</v>
      </c>
      <c r="E163" s="11">
        <f>_xlfn.IFNA(INDEX(门店汇总!$D:$D,MATCH($B:$B,门店汇总!$D:$D,0)),"没有该门店")</f>
        <v>8622</v>
      </c>
    </row>
    <row r="164" spans="1:5">
      <c r="A164" s="10">
        <v>20220301</v>
      </c>
      <c r="B164" s="4">
        <v>8659</v>
      </c>
      <c r="C164" s="3" t="s">
        <v>730</v>
      </c>
      <c r="D164" s="5">
        <v>5515.2495</v>
      </c>
      <c r="E164" s="11">
        <f>_xlfn.IFNA(INDEX(门店汇总!$D:$D,MATCH($B:$B,门店汇总!$D:$D,0)),"没有该门店")</f>
        <v>8659</v>
      </c>
    </row>
    <row r="165" spans="1:5">
      <c r="A165" s="10">
        <v>20220301</v>
      </c>
      <c r="B165" s="4">
        <v>8747</v>
      </c>
      <c r="C165" s="3" t="s">
        <v>731</v>
      </c>
      <c r="D165" s="5">
        <v>12010.6812</v>
      </c>
      <c r="E165" s="11">
        <f>_xlfn.IFNA(INDEX(门店汇总!$D:$D,MATCH($B:$B,门店汇总!$D:$D,0)),"没有该门店")</f>
        <v>8747</v>
      </c>
    </row>
    <row r="166" spans="1:5">
      <c r="A166" s="10">
        <v>20220301</v>
      </c>
      <c r="B166" s="4">
        <v>8754</v>
      </c>
      <c r="C166" s="3" t="s">
        <v>732</v>
      </c>
      <c r="D166" s="5">
        <v>8707.4412</v>
      </c>
      <c r="E166" s="11">
        <f>_xlfn.IFNA(INDEX(门店汇总!$D:$D,MATCH($B:$B,门店汇总!$D:$D,0)),"没有该门店")</f>
        <v>8754</v>
      </c>
    </row>
    <row r="167" spans="1:5">
      <c r="A167" s="10">
        <v>20220301</v>
      </c>
      <c r="B167" s="4">
        <v>2207</v>
      </c>
      <c r="C167" s="3" t="s">
        <v>733</v>
      </c>
      <c r="D167" s="5">
        <v>4252.3534</v>
      </c>
      <c r="E167" s="11">
        <f>_xlfn.IFNA(INDEX(门店汇总!$D:$D,MATCH($B:$B,门店汇总!$D:$D,0)),"没有该门店")</f>
        <v>2207</v>
      </c>
    </row>
    <row r="168" spans="1:5">
      <c r="A168" s="10">
        <v>20220301</v>
      </c>
      <c r="B168" s="4">
        <v>8625</v>
      </c>
      <c r="C168" s="3" t="s">
        <v>734</v>
      </c>
      <c r="D168" s="5">
        <v>7384.6683</v>
      </c>
      <c r="E168" s="11">
        <f>_xlfn.IFNA(INDEX(门店汇总!$D:$D,MATCH($B:$B,门店汇总!$D:$D,0)),"没有该门店")</f>
        <v>8625</v>
      </c>
    </row>
    <row r="169" spans="1:5">
      <c r="A169" s="10">
        <v>20220301</v>
      </c>
      <c r="B169" s="4">
        <v>8677</v>
      </c>
      <c r="C169" s="3" t="s">
        <v>735</v>
      </c>
      <c r="D169" s="5">
        <v>7157.3854</v>
      </c>
      <c r="E169" s="11">
        <f>_xlfn.IFNA(INDEX(门店汇总!$D:$D,MATCH($B:$B,门店汇总!$D:$D,0)),"没有该门店")</f>
        <v>8677</v>
      </c>
    </row>
    <row r="170" spans="1:5">
      <c r="A170" s="10">
        <v>20220301</v>
      </c>
      <c r="B170" s="4">
        <v>8693</v>
      </c>
      <c r="C170" s="3" t="s">
        <v>736</v>
      </c>
      <c r="D170" s="5">
        <v>4141.2441</v>
      </c>
      <c r="E170" s="11">
        <f>_xlfn.IFNA(INDEX(门店汇总!$D:$D,MATCH($B:$B,门店汇总!$D:$D,0)),"没有该门店")</f>
        <v>8693</v>
      </c>
    </row>
    <row r="171" spans="1:5">
      <c r="A171" s="10">
        <v>20220301</v>
      </c>
      <c r="B171" s="4">
        <v>8710</v>
      </c>
      <c r="C171" s="3" t="s">
        <v>737</v>
      </c>
      <c r="D171" s="5">
        <v>5498.149</v>
      </c>
      <c r="E171" s="11">
        <f>_xlfn.IFNA(INDEX(门店汇总!$D:$D,MATCH($B:$B,门店汇总!$D:$D,0)),"没有该门店")</f>
        <v>8710</v>
      </c>
    </row>
    <row r="172" spans="1:5">
      <c r="A172" s="10">
        <v>20220301</v>
      </c>
      <c r="B172" s="4">
        <v>8686</v>
      </c>
      <c r="C172" s="3" t="s">
        <v>738</v>
      </c>
      <c r="D172" s="5">
        <v>4748.7726</v>
      </c>
      <c r="E172" s="11">
        <f>_xlfn.IFNA(INDEX(门店汇总!$D:$D,MATCH($B:$B,门店汇总!$D:$D,0)),"没有该门店")</f>
        <v>8686</v>
      </c>
    </row>
    <row r="173" spans="1:5">
      <c r="A173" s="10">
        <v>20220301</v>
      </c>
      <c r="B173" s="4">
        <v>8685</v>
      </c>
      <c r="C173" s="3" t="s">
        <v>739</v>
      </c>
      <c r="D173" s="5">
        <v>8375.6268</v>
      </c>
      <c r="E173" s="11">
        <f>_xlfn.IFNA(INDEX(门店汇总!$D:$D,MATCH($B:$B,门店汇总!$D:$D,0)),"没有该门店")</f>
        <v>8685</v>
      </c>
    </row>
    <row r="174" spans="1:5">
      <c r="A174" s="10">
        <v>20220301</v>
      </c>
      <c r="B174" s="4">
        <v>1594</v>
      </c>
      <c r="C174" s="3" t="s">
        <v>740</v>
      </c>
      <c r="D174" s="5">
        <v>17569.3745</v>
      </c>
      <c r="E174" s="11">
        <f>_xlfn.IFNA(INDEX(门店汇总!$D:$D,MATCH($B:$B,门店汇总!$D:$D,0)),"没有该门店")</f>
        <v>1594</v>
      </c>
    </row>
    <row r="175" spans="1:5">
      <c r="A175" s="10">
        <v>20220301</v>
      </c>
      <c r="B175" s="4">
        <v>8798</v>
      </c>
      <c r="C175" s="3" t="s">
        <v>536</v>
      </c>
      <c r="D175" s="5">
        <v>4611.6069</v>
      </c>
      <c r="E175" s="11">
        <f>_xlfn.IFNA(INDEX(门店汇总!$D:$D,MATCH($B:$B,门店汇总!$D:$D,0)),"没有该门店")</f>
        <v>8798</v>
      </c>
    </row>
    <row r="176" spans="1:5">
      <c r="A176" s="10">
        <v>20220301</v>
      </c>
      <c r="B176" s="4">
        <v>8800</v>
      </c>
      <c r="C176" s="3" t="s">
        <v>538</v>
      </c>
      <c r="D176" s="5">
        <v>4055.4092</v>
      </c>
      <c r="E176" s="11">
        <f>_xlfn.IFNA(INDEX(门店汇总!$D:$D,MATCH($B:$B,门店汇总!$D:$D,0)),"没有该门店")</f>
        <v>8800</v>
      </c>
    </row>
    <row r="177" spans="1:5">
      <c r="A177" s="10">
        <v>20220301</v>
      </c>
      <c r="B177" s="4">
        <v>8806</v>
      </c>
      <c r="C177" s="3" t="s">
        <v>545</v>
      </c>
      <c r="D177" s="5">
        <v>969.9726</v>
      </c>
      <c r="E177" s="11">
        <f>_xlfn.IFNA(INDEX(门店汇总!$D:$D,MATCH($B:$B,门店汇总!$D:$D,0)),"没有该门店")</f>
        <v>8806</v>
      </c>
    </row>
    <row r="178" spans="1:5">
      <c r="A178" s="10">
        <v>20220301</v>
      </c>
      <c r="B178" s="4">
        <v>8755</v>
      </c>
      <c r="C178" s="3" t="s">
        <v>741</v>
      </c>
      <c r="D178" s="5">
        <v>17865.9022</v>
      </c>
      <c r="E178" s="11">
        <f>_xlfn.IFNA(INDEX(门店汇总!$D:$D,MATCH($B:$B,门店汇总!$D:$D,0)),"没有该门店")</f>
        <v>8755</v>
      </c>
    </row>
    <row r="179" spans="1:5">
      <c r="A179" s="10">
        <v>20220301</v>
      </c>
      <c r="B179" s="4">
        <v>1441</v>
      </c>
      <c r="C179" s="3" t="s">
        <v>742</v>
      </c>
      <c r="D179" s="5">
        <v>0</v>
      </c>
      <c r="E179" s="11">
        <f>_xlfn.IFNA(INDEX(门店汇总!$D:$D,MATCH($B:$B,门店汇总!$D:$D,0)),"没有该门店")</f>
        <v>1441</v>
      </c>
    </row>
    <row r="180" spans="1:5">
      <c r="A180" s="10">
        <v>20220301</v>
      </c>
      <c r="B180" s="4">
        <v>8731</v>
      </c>
      <c r="C180" s="3" t="s">
        <v>743</v>
      </c>
      <c r="D180" s="5">
        <v>7623.9562</v>
      </c>
      <c r="E180" s="11">
        <f>_xlfn.IFNA(INDEX(门店汇总!$D:$D,MATCH($B:$B,门店汇总!$D:$D,0)),"没有该门店")</f>
        <v>8731</v>
      </c>
    </row>
    <row r="181" spans="1:5">
      <c r="A181" s="10">
        <v>20220301</v>
      </c>
      <c r="B181" s="4">
        <v>8740</v>
      </c>
      <c r="C181" s="3" t="s">
        <v>744</v>
      </c>
      <c r="D181" s="5">
        <v>8226.2309</v>
      </c>
      <c r="E181" s="11">
        <f>_xlfn.IFNA(INDEX(门店汇总!$D:$D,MATCH($B:$B,门店汇总!$D:$D,0)),"没有该门店")</f>
        <v>8740</v>
      </c>
    </row>
    <row r="182" spans="1:5">
      <c r="A182" s="10">
        <v>20220301</v>
      </c>
      <c r="B182" s="4">
        <v>8633</v>
      </c>
      <c r="C182" s="3" t="s">
        <v>745</v>
      </c>
      <c r="D182" s="5">
        <v>7633.1084</v>
      </c>
      <c r="E182" s="11">
        <f>_xlfn.IFNA(INDEX(门店汇总!$D:$D,MATCH($B:$B,门店汇总!$D:$D,0)),"没有该门店")</f>
        <v>8633</v>
      </c>
    </row>
    <row r="183" spans="1:5">
      <c r="A183" s="10">
        <v>20220301</v>
      </c>
      <c r="B183" s="4">
        <v>8606</v>
      </c>
      <c r="C183" s="3" t="s">
        <v>746</v>
      </c>
      <c r="D183" s="5">
        <v>10089.4799</v>
      </c>
      <c r="E183" s="11">
        <f>_xlfn.IFNA(INDEX(门店汇总!$D:$D,MATCH($B:$B,门店汇总!$D:$D,0)),"没有该门店")</f>
        <v>8606</v>
      </c>
    </row>
    <row r="184" spans="1:5">
      <c r="A184" s="10">
        <v>20220301</v>
      </c>
      <c r="B184" s="4">
        <v>8811</v>
      </c>
      <c r="C184" s="3" t="s">
        <v>557</v>
      </c>
      <c r="D184" s="5">
        <v>3800.7928</v>
      </c>
      <c r="E184" s="11">
        <f>_xlfn.IFNA(INDEX(门店汇总!$D:$D,MATCH($B:$B,门店汇总!$D:$D,0)),"没有该门店")</f>
        <v>8811</v>
      </c>
    </row>
    <row r="185" spans="1:5">
      <c r="A185" s="10">
        <v>20220301</v>
      </c>
      <c r="B185" s="4">
        <v>8632</v>
      </c>
      <c r="C185" s="3" t="s">
        <v>747</v>
      </c>
      <c r="D185" s="5">
        <v>8313.4658</v>
      </c>
      <c r="E185" s="11">
        <f>_xlfn.IFNA(INDEX(门店汇总!$D:$D,MATCH($B:$B,门店汇总!$D:$D,0)),"没有该门店")</f>
        <v>8632</v>
      </c>
    </row>
    <row r="186" spans="1:5">
      <c r="A186" s="10">
        <v>20220301</v>
      </c>
      <c r="B186" s="4">
        <v>8711</v>
      </c>
      <c r="C186" s="3" t="s">
        <v>748</v>
      </c>
      <c r="D186" s="5">
        <v>7312.6012</v>
      </c>
      <c r="E186" s="11">
        <f>_xlfn.IFNA(INDEX(门店汇总!$D:$D,MATCH($B:$B,门店汇总!$D:$D,0)),"没有该门店")</f>
        <v>8711</v>
      </c>
    </row>
    <row r="187" spans="1:5">
      <c r="A187" s="10">
        <v>20220301</v>
      </c>
      <c r="B187" s="4">
        <v>8730</v>
      </c>
      <c r="C187" s="3" t="s">
        <v>749</v>
      </c>
      <c r="D187" s="5">
        <v>12851.1993</v>
      </c>
      <c r="E187" s="11">
        <f>_xlfn.IFNA(INDEX(门店汇总!$D:$D,MATCH($B:$B,门店汇总!$D:$D,0)),"没有该门店")</f>
        <v>8730</v>
      </c>
    </row>
    <row r="188" spans="1:5">
      <c r="A188" s="10">
        <v>20220301</v>
      </c>
      <c r="B188" s="4">
        <v>1543</v>
      </c>
      <c r="C188" s="3" t="s">
        <v>750</v>
      </c>
      <c r="D188" s="5">
        <v>5973.562</v>
      </c>
      <c r="E188" s="11">
        <f>_xlfn.IFNA(INDEX(门店汇总!$D:$D,MATCH($B:$B,门店汇总!$D:$D,0)),"没有该门店")</f>
        <v>1543</v>
      </c>
    </row>
    <row r="189" spans="1:5">
      <c r="A189" s="10">
        <v>20220301</v>
      </c>
      <c r="B189" s="4">
        <v>8698</v>
      </c>
      <c r="C189" s="3" t="s">
        <v>751</v>
      </c>
      <c r="D189" s="5">
        <v>9708.2172</v>
      </c>
      <c r="E189" s="11">
        <f>_xlfn.IFNA(INDEX(门店汇总!$D:$D,MATCH($B:$B,门店汇总!$D:$D,0)),"没有该门店")</f>
        <v>8698</v>
      </c>
    </row>
    <row r="190" spans="1:5">
      <c r="A190" s="10">
        <v>20220301</v>
      </c>
      <c r="B190" s="4">
        <v>8613</v>
      </c>
      <c r="C190" s="3" t="s">
        <v>752</v>
      </c>
      <c r="D190" s="5">
        <v>3915.4358</v>
      </c>
      <c r="E190" s="11">
        <f>_xlfn.IFNA(INDEX(门店汇总!$D:$D,MATCH($B:$B,门店汇总!$D:$D,0)),"没有该门店")</f>
        <v>8613</v>
      </c>
    </row>
    <row r="191" spans="1:5">
      <c r="A191" s="10">
        <v>20220301</v>
      </c>
      <c r="B191" s="4">
        <v>1550</v>
      </c>
      <c r="C191" s="3" t="s">
        <v>753</v>
      </c>
      <c r="D191" s="5">
        <v>6057.4418</v>
      </c>
      <c r="E191" s="11">
        <f>_xlfn.IFNA(INDEX(门店汇总!$D:$D,MATCH($B:$B,门店汇总!$D:$D,0)),"没有该门店")</f>
        <v>1550</v>
      </c>
    </row>
    <row r="192" spans="1:5">
      <c r="A192" s="10">
        <v>20220301</v>
      </c>
      <c r="B192" s="4">
        <v>8729</v>
      </c>
      <c r="C192" s="3" t="s">
        <v>754</v>
      </c>
      <c r="D192" s="5">
        <v>8116.9096</v>
      </c>
      <c r="E192" s="11">
        <f>_xlfn.IFNA(INDEX(门店汇总!$D:$D,MATCH($B:$B,门店汇总!$D:$D,0)),"没有该门店")</f>
        <v>8729</v>
      </c>
    </row>
    <row r="193" spans="1:5">
      <c r="A193" s="10">
        <v>20220301</v>
      </c>
      <c r="B193" s="4">
        <v>8715</v>
      </c>
      <c r="C193" s="3" t="s">
        <v>755</v>
      </c>
      <c r="D193" s="5">
        <v>11398.6807</v>
      </c>
      <c r="E193" s="11">
        <f>_xlfn.IFNA(INDEX(门店汇总!$D:$D,MATCH($B:$B,门店汇总!$D:$D,0)),"没有该门店")</f>
        <v>8715</v>
      </c>
    </row>
    <row r="194" spans="1:5">
      <c r="A194" s="10">
        <v>20220301</v>
      </c>
      <c r="B194" s="4">
        <v>8763</v>
      </c>
      <c r="C194" s="3" t="s">
        <v>756</v>
      </c>
      <c r="D194" s="5">
        <v>1327.6932</v>
      </c>
      <c r="E194" s="11">
        <f>_xlfn.IFNA(INDEX(门店汇总!$D:$D,MATCH($B:$B,门店汇总!$D:$D,0)),"没有该门店")</f>
        <v>8763</v>
      </c>
    </row>
    <row r="195" spans="1:5">
      <c r="A195" s="10">
        <v>20220301</v>
      </c>
      <c r="B195" s="4">
        <v>8678</v>
      </c>
      <c r="C195" s="3" t="s">
        <v>757</v>
      </c>
      <c r="D195" s="5">
        <v>6175.2973</v>
      </c>
      <c r="E195" s="11">
        <f>_xlfn.IFNA(INDEX(门店汇总!$D:$D,MATCH($B:$B,门店汇总!$D:$D,0)),"没有该门店")</f>
        <v>8678</v>
      </c>
    </row>
    <row r="196" spans="1:5">
      <c r="A196" s="10">
        <v>20220301</v>
      </c>
      <c r="B196" s="4">
        <v>1479</v>
      </c>
      <c r="C196" s="3" t="s">
        <v>758</v>
      </c>
      <c r="D196" s="5">
        <v>6124.353</v>
      </c>
      <c r="E196" s="11">
        <f>_xlfn.IFNA(INDEX(门店汇总!$D:$D,MATCH($B:$B,门店汇总!$D:$D,0)),"没有该门店")</f>
        <v>1479</v>
      </c>
    </row>
    <row r="197" spans="1:5">
      <c r="A197" s="10">
        <v>20220301</v>
      </c>
      <c r="B197" s="4">
        <v>8751</v>
      </c>
      <c r="C197" s="3" t="s">
        <v>759</v>
      </c>
      <c r="D197" s="5">
        <v>7464.214</v>
      </c>
      <c r="E197" s="11">
        <f>_xlfn.IFNA(INDEX(门店汇总!$D:$D,MATCH($B:$B,门店汇总!$D:$D,0)),"没有该门店")</f>
        <v>8751</v>
      </c>
    </row>
    <row r="198" spans="1:5">
      <c r="A198" s="10">
        <v>20220301</v>
      </c>
      <c r="B198" s="4">
        <v>8634</v>
      </c>
      <c r="C198" s="3" t="s">
        <v>760</v>
      </c>
      <c r="D198" s="5">
        <v>11827.5082</v>
      </c>
      <c r="E198" s="11">
        <f>_xlfn.IFNA(INDEX(门店汇总!$D:$D,MATCH($B:$B,门店汇总!$D:$D,0)),"没有该门店")</f>
        <v>8634</v>
      </c>
    </row>
    <row r="199" spans="1:5">
      <c r="A199" s="10">
        <v>20220301</v>
      </c>
      <c r="B199" s="4">
        <v>8707</v>
      </c>
      <c r="C199" s="3" t="s">
        <v>761</v>
      </c>
      <c r="D199" s="5">
        <v>7379.6535</v>
      </c>
      <c r="E199" s="11">
        <f>_xlfn.IFNA(INDEX(门店汇总!$D:$D,MATCH($B:$B,门店汇总!$D:$D,0)),"没有该门店")</f>
        <v>8707</v>
      </c>
    </row>
    <row r="200" spans="1:5">
      <c r="A200" s="10">
        <v>20220301</v>
      </c>
      <c r="B200" s="4">
        <v>8766</v>
      </c>
      <c r="C200" s="3" t="s">
        <v>762</v>
      </c>
      <c r="D200" s="5">
        <v>7161.6856</v>
      </c>
      <c r="E200" s="11">
        <f>_xlfn.IFNA(INDEX(门店汇总!$D:$D,MATCH($B:$B,门店汇总!$D:$D,0)),"没有该门店")</f>
        <v>8766</v>
      </c>
    </row>
    <row r="201" spans="1:5">
      <c r="A201" s="10">
        <v>20220301</v>
      </c>
      <c r="B201" s="4">
        <v>8629</v>
      </c>
      <c r="C201" s="3" t="s">
        <v>763</v>
      </c>
      <c r="D201" s="5">
        <v>17782.2976</v>
      </c>
      <c r="E201" s="11">
        <f>_xlfn.IFNA(INDEX(门店汇总!$D:$D,MATCH($B:$B,门店汇总!$D:$D,0)),"没有该门店")</f>
        <v>8629</v>
      </c>
    </row>
    <row r="202" spans="1:5">
      <c r="A202" s="10">
        <v>20220301</v>
      </c>
      <c r="B202" s="4">
        <v>8646</v>
      </c>
      <c r="C202" s="3" t="s">
        <v>764</v>
      </c>
      <c r="D202" s="5">
        <v>8105.9535</v>
      </c>
      <c r="E202" s="11">
        <f>_xlfn.IFNA(INDEX(门店汇总!$D:$D,MATCH($B:$B,门店汇总!$D:$D,0)),"没有该门店")</f>
        <v>8646</v>
      </c>
    </row>
    <row r="203" spans="1:5">
      <c r="A203" s="10">
        <v>20220301</v>
      </c>
      <c r="B203" s="4">
        <v>8749</v>
      </c>
      <c r="C203" s="3" t="s">
        <v>765</v>
      </c>
      <c r="D203" s="5">
        <v>2141.2804</v>
      </c>
      <c r="E203" s="11">
        <f>_xlfn.IFNA(INDEX(门店汇总!$D:$D,MATCH($B:$B,门店汇总!$D:$D,0)),"没有该门店")</f>
        <v>8749</v>
      </c>
    </row>
    <row r="204" spans="1:5">
      <c r="A204" s="10">
        <v>20220301</v>
      </c>
      <c r="B204" s="4">
        <v>8657</v>
      </c>
      <c r="C204" s="3" t="s">
        <v>766</v>
      </c>
      <c r="D204" s="5">
        <v>7426.7198</v>
      </c>
      <c r="E204" s="11">
        <f>_xlfn.IFNA(INDEX(门店汇总!$D:$D,MATCH($B:$B,门店汇总!$D:$D,0)),"没有该门店")</f>
        <v>8657</v>
      </c>
    </row>
    <row r="205" spans="1:5">
      <c r="A205" s="10">
        <v>20220301</v>
      </c>
      <c r="B205" s="4">
        <v>8765</v>
      </c>
      <c r="C205" s="3" t="s">
        <v>767</v>
      </c>
      <c r="D205" s="5">
        <v>16482.8543</v>
      </c>
      <c r="E205" s="11">
        <f>_xlfn.IFNA(INDEX(门店汇总!$D:$D,MATCH($B:$B,门店汇总!$D:$D,0)),"没有该门店")</f>
        <v>8765</v>
      </c>
    </row>
    <row r="206" spans="1:5">
      <c r="A206" s="10">
        <v>20220301</v>
      </c>
      <c r="B206" s="4">
        <v>8774</v>
      </c>
      <c r="C206" s="3" t="s">
        <v>768</v>
      </c>
      <c r="D206" s="5">
        <v>3246.8189</v>
      </c>
      <c r="E206" s="11">
        <f>_xlfn.IFNA(INDEX(门店汇总!$D:$D,MATCH($B:$B,门店汇总!$D:$D,0)),"没有该门店")</f>
        <v>8774</v>
      </c>
    </row>
    <row r="207" spans="1:5">
      <c r="A207" s="10">
        <v>20220301</v>
      </c>
      <c r="B207" s="4">
        <v>8676</v>
      </c>
      <c r="C207" s="3" t="s">
        <v>769</v>
      </c>
      <c r="D207" s="5">
        <v>0</v>
      </c>
      <c r="E207" s="11">
        <f>_xlfn.IFNA(INDEX(门店汇总!$D:$D,MATCH($B:$B,门店汇总!$D:$D,0)),"没有该门店")</f>
        <v>8676</v>
      </c>
    </row>
    <row r="208" spans="1:5">
      <c r="A208" s="10">
        <v>20220301</v>
      </c>
      <c r="B208" s="4">
        <v>1369</v>
      </c>
      <c r="C208" s="3" t="s">
        <v>770</v>
      </c>
      <c r="D208" s="5">
        <v>4210.5011</v>
      </c>
      <c r="E208" s="11">
        <f>_xlfn.IFNA(INDEX(门店汇总!$D:$D,MATCH($B:$B,门店汇总!$D:$D,0)),"没有该门店")</f>
        <v>1369</v>
      </c>
    </row>
    <row r="209" spans="1:5">
      <c r="A209" s="10">
        <v>20220301</v>
      </c>
      <c r="B209" s="4">
        <v>1278</v>
      </c>
      <c r="C209" s="3" t="s">
        <v>771</v>
      </c>
      <c r="D209" s="5">
        <v>6537.767</v>
      </c>
      <c r="E209" s="11">
        <f>_xlfn.IFNA(INDEX(门店汇总!$D:$D,MATCH($B:$B,门店汇总!$D:$D,0)),"没有该门店")</f>
        <v>1278</v>
      </c>
    </row>
    <row r="210" spans="1:5">
      <c r="A210" s="10">
        <v>20220301</v>
      </c>
      <c r="B210" s="4">
        <v>8756</v>
      </c>
      <c r="C210" s="3" t="s">
        <v>772</v>
      </c>
      <c r="D210" s="5">
        <v>7614.8041</v>
      </c>
      <c r="E210" s="11">
        <f>_xlfn.IFNA(INDEX(门店汇总!$D:$D,MATCH($B:$B,门店汇总!$D:$D,0)),"没有该门店")</f>
        <v>8756</v>
      </c>
    </row>
    <row r="211" spans="1:5">
      <c r="A211" s="10">
        <v>20220301</v>
      </c>
      <c r="B211" s="4">
        <v>8723</v>
      </c>
      <c r="C211" s="3" t="s">
        <v>773</v>
      </c>
      <c r="D211" s="5">
        <v>10718.1217</v>
      </c>
      <c r="E211" s="11">
        <f>_xlfn.IFNA(INDEX(门店汇总!$D:$D,MATCH($B:$B,门店汇总!$D:$D,0)),"没有该门店")</f>
        <v>8723</v>
      </c>
    </row>
    <row r="212" spans="1:5">
      <c r="A212" s="10">
        <v>20220301</v>
      </c>
      <c r="B212" s="4">
        <v>8645</v>
      </c>
      <c r="C212" s="3" t="s">
        <v>774</v>
      </c>
      <c r="D212" s="5">
        <v>3778.4918</v>
      </c>
      <c r="E212" s="11">
        <f>_xlfn.IFNA(INDEX(门店汇总!$D:$D,MATCH($B:$B,门店汇总!$D:$D,0)),"没有该门店")</f>
        <v>8645</v>
      </c>
    </row>
    <row r="213" spans="1:5">
      <c r="A213" s="10">
        <v>20220301</v>
      </c>
      <c r="B213" s="4">
        <v>1133</v>
      </c>
      <c r="C213" s="3" t="s">
        <v>775</v>
      </c>
      <c r="D213" s="5">
        <v>4404.1353</v>
      </c>
      <c r="E213" s="11">
        <f>_xlfn.IFNA(INDEX(门店汇总!$D:$D,MATCH($B:$B,门店汇总!$D:$D,0)),"没有该门店")</f>
        <v>1133</v>
      </c>
    </row>
    <row r="214" spans="1:5">
      <c r="A214" s="10">
        <v>20220301</v>
      </c>
      <c r="B214" s="4">
        <v>8779</v>
      </c>
      <c r="C214" s="3" t="s">
        <v>776</v>
      </c>
      <c r="D214" s="5">
        <v>2895.3975</v>
      </c>
      <c r="E214" s="11">
        <f>_xlfn.IFNA(INDEX(门店汇总!$D:$D,MATCH($B:$B,门店汇总!$D:$D,0)),"没有该门店")</f>
        <v>8779</v>
      </c>
    </row>
    <row r="215" spans="1:5">
      <c r="A215" s="10">
        <v>20220301</v>
      </c>
      <c r="B215" s="4">
        <v>8797</v>
      </c>
      <c r="C215" s="3" t="s">
        <v>544</v>
      </c>
      <c r="D215" s="5">
        <v>840.3365</v>
      </c>
      <c r="E215" s="11">
        <f>_xlfn.IFNA(INDEX(门店汇总!$D:$D,MATCH($B:$B,门店汇总!$D:$D,0)),"没有该门店")</f>
        <v>8797</v>
      </c>
    </row>
    <row r="216" spans="1:5">
      <c r="A216" s="10">
        <v>20220301</v>
      </c>
      <c r="B216" s="4">
        <v>8696</v>
      </c>
      <c r="C216" s="3" t="s">
        <v>777</v>
      </c>
      <c r="D216" s="5">
        <v>11589.3789</v>
      </c>
      <c r="E216" s="11">
        <f>_xlfn.IFNA(INDEX(门店汇总!$D:$D,MATCH($B:$B,门店汇总!$D:$D,0)),"没有该门店")</f>
        <v>8696</v>
      </c>
    </row>
    <row r="217" spans="1:5">
      <c r="A217" s="10">
        <v>20220301</v>
      </c>
      <c r="B217" s="4">
        <v>8638</v>
      </c>
      <c r="C217" s="3" t="s">
        <v>778</v>
      </c>
      <c r="D217" s="5">
        <v>7565.1295</v>
      </c>
      <c r="E217" s="11">
        <f>_xlfn.IFNA(INDEX(门店汇总!$D:$D,MATCH($B:$B,门店汇总!$D:$D,0)),"没有该门店")</f>
        <v>8638</v>
      </c>
    </row>
    <row r="218" spans="1:5">
      <c r="A218" s="10">
        <v>20220301</v>
      </c>
      <c r="B218" s="4">
        <v>8656</v>
      </c>
      <c r="C218" s="3" t="s">
        <v>779</v>
      </c>
      <c r="D218" s="5">
        <v>5771.653</v>
      </c>
      <c r="E218" s="11">
        <f>_xlfn.IFNA(INDEX(门店汇总!$D:$D,MATCH($B:$B,门店汇总!$D:$D,0)),"没有该门店")</f>
        <v>8656</v>
      </c>
    </row>
    <row r="219" spans="1:5">
      <c r="A219" s="10">
        <v>20220301</v>
      </c>
      <c r="B219" s="4">
        <v>8716</v>
      </c>
      <c r="C219" s="3" t="s">
        <v>780</v>
      </c>
      <c r="D219" s="5">
        <v>16394.6485</v>
      </c>
      <c r="E219" s="11">
        <f>_xlfn.IFNA(INDEX(门店汇总!$D:$D,MATCH($B:$B,门店汇总!$D:$D,0)),"没有该门店")</f>
        <v>8716</v>
      </c>
    </row>
    <row r="220" spans="1:5">
      <c r="A220" s="10">
        <v>20220301</v>
      </c>
      <c r="B220" s="4">
        <v>8664</v>
      </c>
      <c r="C220" s="3" t="s">
        <v>781</v>
      </c>
      <c r="D220" s="5">
        <v>13719.6431</v>
      </c>
      <c r="E220" s="11">
        <f>_xlfn.IFNA(INDEX(门店汇总!$D:$D,MATCH($B:$B,门店汇总!$D:$D,0)),"没有该门店")</f>
        <v>8664</v>
      </c>
    </row>
    <row r="221" spans="1:5">
      <c r="A221" s="10">
        <v>20220301</v>
      </c>
      <c r="B221" s="4">
        <v>8642</v>
      </c>
      <c r="C221" s="3" t="s">
        <v>782</v>
      </c>
      <c r="D221" s="5">
        <v>7054.7823</v>
      </c>
      <c r="E221" s="11">
        <f>_xlfn.IFNA(INDEX(门店汇总!$D:$D,MATCH($B:$B,门店汇总!$D:$D,0)),"没有该门店")</f>
        <v>8642</v>
      </c>
    </row>
    <row r="222" spans="1:5">
      <c r="A222" s="10">
        <v>20220301</v>
      </c>
      <c r="B222" s="4">
        <v>8665</v>
      </c>
      <c r="C222" s="3" t="s">
        <v>783</v>
      </c>
      <c r="D222" s="5">
        <v>6267.4401</v>
      </c>
      <c r="E222" s="11">
        <f>_xlfn.IFNA(INDEX(门店汇总!$D:$D,MATCH($B:$B,门店汇总!$D:$D,0)),"没有该门店")</f>
        <v>8665</v>
      </c>
    </row>
    <row r="223" spans="1:5">
      <c r="A223" s="10">
        <v>20220301</v>
      </c>
      <c r="B223" s="4">
        <v>8713</v>
      </c>
      <c r="C223" s="3" t="s">
        <v>784</v>
      </c>
      <c r="D223" s="5">
        <v>4320.8855</v>
      </c>
      <c r="E223" s="11">
        <f>_xlfn.IFNA(INDEX(门店汇总!$D:$D,MATCH($B:$B,门店汇总!$D:$D,0)),"没有该门店")</f>
        <v>8713</v>
      </c>
    </row>
    <row r="224" spans="1:5">
      <c r="A224" s="10">
        <v>20220301</v>
      </c>
      <c r="B224" s="4">
        <v>8737</v>
      </c>
      <c r="C224" s="3" t="s">
        <v>785</v>
      </c>
      <c r="D224" s="5">
        <v>12861.4771</v>
      </c>
      <c r="E224" s="11">
        <f>_xlfn.IFNA(INDEX(门店汇总!$D:$D,MATCH($B:$B,门店汇总!$D:$D,0)),"没有该门店")</f>
        <v>8737</v>
      </c>
    </row>
    <row r="225" spans="1:5">
      <c r="A225" s="10">
        <v>20220301</v>
      </c>
      <c r="B225" s="4">
        <v>1566</v>
      </c>
      <c r="C225" s="3" t="s">
        <v>786</v>
      </c>
      <c r="D225" s="5">
        <v>4504.1906</v>
      </c>
      <c r="E225" s="11">
        <f>_xlfn.IFNA(INDEX(门店汇总!$D:$D,MATCH($B:$B,门店汇总!$D:$D,0)),"没有该门店")</f>
        <v>1566</v>
      </c>
    </row>
    <row r="226" spans="1:5">
      <c r="A226" s="10">
        <v>20220301</v>
      </c>
      <c r="B226" s="4">
        <v>8651</v>
      </c>
      <c r="C226" s="3" t="s">
        <v>787</v>
      </c>
      <c r="D226" s="5">
        <v>10740.3633</v>
      </c>
      <c r="E226" s="11">
        <f>_xlfn.IFNA(INDEX(门店汇总!$D:$D,MATCH($B:$B,门店汇总!$D:$D,0)),"没有该门店")</f>
        <v>8651</v>
      </c>
    </row>
    <row r="227" spans="1:5">
      <c r="A227" s="10">
        <v>20220301</v>
      </c>
      <c r="B227" s="4">
        <v>8653</v>
      </c>
      <c r="C227" s="3" t="s">
        <v>788</v>
      </c>
      <c r="D227" s="5">
        <v>3342.9164</v>
      </c>
      <c r="E227" s="11">
        <f>_xlfn.IFNA(INDEX(门店汇总!$D:$D,MATCH($B:$B,门店汇总!$D:$D,0)),"没有该门店")</f>
        <v>8653</v>
      </c>
    </row>
    <row r="228" spans="1:5">
      <c r="A228" s="10">
        <v>20220301</v>
      </c>
      <c r="B228" s="4">
        <v>8672</v>
      </c>
      <c r="C228" s="3" t="s">
        <v>789</v>
      </c>
      <c r="D228" s="5">
        <v>0</v>
      </c>
      <c r="E228" s="11">
        <f>_xlfn.IFNA(INDEX(门店汇总!$D:$D,MATCH($B:$B,门店汇总!$D:$D,0)),"没有该门店")</f>
        <v>8672</v>
      </c>
    </row>
    <row r="229" spans="1:5">
      <c r="A229" s="10">
        <v>20220301</v>
      </c>
      <c r="B229" s="4">
        <v>1604</v>
      </c>
      <c r="C229" s="3" t="s">
        <v>790</v>
      </c>
      <c r="D229" s="5">
        <v>9005.413</v>
      </c>
      <c r="E229" s="11">
        <f>_xlfn.IFNA(INDEX(门店汇总!$D:$D,MATCH($B:$B,门店汇总!$D:$D,0)),"没有该门店")</f>
        <v>1604</v>
      </c>
    </row>
    <row r="230" spans="1:5">
      <c r="A230" s="10">
        <v>20220301</v>
      </c>
      <c r="B230" s="4">
        <v>8626</v>
      </c>
      <c r="C230" s="3" t="s">
        <v>791</v>
      </c>
      <c r="D230" s="5">
        <v>5891.4408</v>
      </c>
      <c r="E230" s="11">
        <f>_xlfn.IFNA(INDEX(门店汇总!$D:$D,MATCH($B:$B,门店汇总!$D:$D,0)),"没有该门店")</f>
        <v>8626</v>
      </c>
    </row>
    <row r="231" spans="1:5">
      <c r="A231" s="10">
        <v>20220301</v>
      </c>
      <c r="B231" s="4">
        <v>1366</v>
      </c>
      <c r="C231" s="3" t="s">
        <v>792</v>
      </c>
      <c r="D231" s="5">
        <v>8115.6428</v>
      </c>
      <c r="E231" s="11">
        <f>_xlfn.IFNA(INDEX(门店汇总!$D:$D,MATCH($B:$B,门店汇总!$D:$D,0)),"没有该门店")</f>
        <v>1366</v>
      </c>
    </row>
    <row r="232" customFormat="1" spans="1:5">
      <c r="A232" s="10">
        <v>20220301</v>
      </c>
      <c r="B232" s="4">
        <v>8690</v>
      </c>
      <c r="C232" s="3" t="s">
        <v>793</v>
      </c>
      <c r="D232" s="5">
        <v>6031.1086</v>
      </c>
      <c r="E232" s="11">
        <f>_xlfn.IFNA(INDEX(门店汇总!$D:$D,MATCH($B:$B,门店汇总!$D:$D,0)),"没有该门店")</f>
        <v>8690</v>
      </c>
    </row>
    <row r="233" customFormat="1" spans="1:5">
      <c r="A233" s="10">
        <v>20220301</v>
      </c>
      <c r="B233" s="4">
        <v>8602</v>
      </c>
      <c r="C233" s="3" t="s">
        <v>794</v>
      </c>
      <c r="D233" s="5">
        <v>7365.873</v>
      </c>
      <c r="E233" s="11">
        <f>_xlfn.IFNA(INDEX(门店汇总!$D:$D,MATCH($B:$B,门店汇总!$D:$D,0)),"没有该门店")</f>
        <v>8602</v>
      </c>
    </row>
    <row r="234" customFormat="1" spans="1:5">
      <c r="A234" s="10">
        <v>20220301</v>
      </c>
      <c r="B234" s="4">
        <v>8601</v>
      </c>
      <c r="C234" s="3" t="s">
        <v>795</v>
      </c>
      <c r="D234" s="5">
        <v>4284.3379</v>
      </c>
      <c r="E234" s="11">
        <f>_xlfn.IFNA(INDEX(门店汇总!$D:$D,MATCH($B:$B,门店汇总!$D:$D,0)),"没有该门店")</f>
        <v>8601</v>
      </c>
    </row>
    <row r="235" customFormat="1" spans="1:5">
      <c r="A235" s="10">
        <v>20220301</v>
      </c>
      <c r="B235" s="4">
        <v>8750</v>
      </c>
      <c r="C235" s="3" t="s">
        <v>796</v>
      </c>
      <c r="D235" s="5">
        <v>7242.8559</v>
      </c>
      <c r="E235" s="11">
        <f>_xlfn.IFNA(INDEX(门店汇总!$D:$D,MATCH($B:$B,门店汇总!$D:$D,0)),"没有该门店")</f>
        <v>8750</v>
      </c>
    </row>
    <row r="236" customFormat="1" spans="1:5">
      <c r="A236" s="10">
        <v>20220301</v>
      </c>
      <c r="B236" s="4">
        <v>8610</v>
      </c>
      <c r="C236" s="3" t="s">
        <v>797</v>
      </c>
      <c r="D236" s="5">
        <v>10042.8102</v>
      </c>
      <c r="E236" s="11">
        <f>_xlfn.IFNA(INDEX(门店汇总!$D:$D,MATCH($B:$B,门店汇总!$D:$D,0)),"没有该门店")</f>
        <v>8610</v>
      </c>
    </row>
    <row r="237" customFormat="1" spans="1:5">
      <c r="A237" s="10">
        <v>20220301</v>
      </c>
      <c r="B237" s="4">
        <v>8726</v>
      </c>
      <c r="C237" s="3" t="s">
        <v>798</v>
      </c>
      <c r="D237" s="5">
        <v>7684.8455</v>
      </c>
      <c r="E237" s="11">
        <f>_xlfn.IFNA(INDEX(门店汇总!$D:$D,MATCH($B:$B,门店汇总!$D:$D,0)),"没有该门店")</f>
        <v>8726</v>
      </c>
    </row>
    <row r="238" customFormat="1" spans="1:5">
      <c r="A238" s="10">
        <v>20220301</v>
      </c>
      <c r="B238" s="4">
        <v>8694</v>
      </c>
      <c r="C238" s="3" t="s">
        <v>799</v>
      </c>
      <c r="D238" s="5">
        <v>7822.9249</v>
      </c>
      <c r="E238" s="11">
        <f>_xlfn.IFNA(INDEX(门店汇总!$D:$D,MATCH($B:$B,门店汇总!$D:$D,0)),"没有该门店")</f>
        <v>8694</v>
      </c>
    </row>
    <row r="239" customFormat="1" spans="1:5">
      <c r="A239" s="10">
        <v>20220301</v>
      </c>
      <c r="B239" s="4">
        <v>8680</v>
      </c>
      <c r="C239" s="3" t="s">
        <v>800</v>
      </c>
      <c r="D239" s="5">
        <v>6415.0378</v>
      </c>
      <c r="E239" s="11">
        <f>_xlfn.IFNA(INDEX(门店汇总!$D:$D,MATCH($B:$B,门店汇总!$D:$D,0)),"没有该门店")</f>
        <v>8680</v>
      </c>
    </row>
    <row r="240" customFormat="1" spans="1:5">
      <c r="A240" s="10">
        <v>20220301</v>
      </c>
      <c r="B240" s="4">
        <v>8603</v>
      </c>
      <c r="C240" s="3" t="s">
        <v>801</v>
      </c>
      <c r="D240" s="5">
        <v>9352.1572</v>
      </c>
      <c r="E240" s="11">
        <f>_xlfn.IFNA(INDEX(门店汇总!$D:$D,MATCH($B:$B,门店汇总!$D:$D,0)),"没有该门店")</f>
        <v>8603</v>
      </c>
    </row>
    <row r="241" customFormat="1" spans="1:5">
      <c r="A241" s="10">
        <v>20220301</v>
      </c>
      <c r="B241" s="4">
        <v>8792</v>
      </c>
      <c r="C241" s="3" t="s">
        <v>802</v>
      </c>
      <c r="D241" s="5">
        <v>8377.1846</v>
      </c>
      <c r="E241" s="11">
        <f>_xlfn.IFNA(INDEX(门店汇总!$D:$D,MATCH($B:$B,门店汇总!$D:$D,0)),"没有该门店")</f>
        <v>8792</v>
      </c>
    </row>
    <row r="242" customFormat="1" spans="1:5">
      <c r="A242" s="10">
        <v>20220301</v>
      </c>
      <c r="B242" s="4">
        <v>8682</v>
      </c>
      <c r="C242" s="3" t="s">
        <v>803</v>
      </c>
      <c r="D242" s="5">
        <v>6403.0207</v>
      </c>
      <c r="E242" s="11">
        <f>_xlfn.IFNA(INDEX(门店汇总!$D:$D,MATCH($B:$B,门店汇总!$D:$D,0)),"没有该门店")</f>
        <v>8682</v>
      </c>
    </row>
    <row r="243" customFormat="1" spans="1:5">
      <c r="A243" s="10">
        <v>20220301</v>
      </c>
      <c r="B243" s="4">
        <v>8687</v>
      </c>
      <c r="C243" s="3" t="s">
        <v>804</v>
      </c>
      <c r="D243" s="5">
        <v>7746.6434</v>
      </c>
      <c r="E243" s="11">
        <f>_xlfn.IFNA(INDEX(门店汇总!$D:$D,MATCH($B:$B,门店汇总!$D:$D,0)),"没有该门店")</f>
        <v>8687</v>
      </c>
    </row>
    <row r="244" customFormat="1" spans="1:5">
      <c r="A244" s="10">
        <v>20220301</v>
      </c>
      <c r="B244" s="4">
        <v>8745</v>
      </c>
      <c r="C244" s="3" t="s">
        <v>805</v>
      </c>
      <c r="D244" s="5">
        <v>33702.1923</v>
      </c>
      <c r="E244" s="11">
        <f>_xlfn.IFNA(INDEX(门店汇总!$D:$D,MATCH($B:$B,门店汇总!$D:$D,0)),"没有该门店")</f>
        <v>8745</v>
      </c>
    </row>
  </sheetData>
  <autoFilter ref="A1:E244"/>
  <sortState ref="A2:E216">
    <sortCondition ref="C1" descending="1"/>
  </sortState>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sheetPr>
  <dimension ref="A1:F516"/>
  <sheetViews>
    <sheetView zoomScale="115" zoomScaleNormal="115" workbookViewId="0">
      <selection activeCell="F10" sqref="F10"/>
    </sheetView>
  </sheetViews>
  <sheetFormatPr defaultColWidth="9" defaultRowHeight="12.4" outlineLevelCol="5"/>
  <cols>
    <col min="1" max="6" width="18" style="1" customWidth="1"/>
    <col min="7" max="7" width="9" style="1"/>
    <col min="8" max="8" width="12.7857142857143" style="1"/>
    <col min="9" max="16384" width="9" style="1"/>
  </cols>
  <sheetData>
    <row r="1" s="1" customFormat="1" ht="14" spans="1:6">
      <c r="A1" s="2" t="s">
        <v>581</v>
      </c>
      <c r="B1" s="2" t="s">
        <v>806</v>
      </c>
      <c r="C1" s="2" t="s">
        <v>807</v>
      </c>
      <c r="D1" s="2" t="s">
        <v>808</v>
      </c>
      <c r="E1" s="2" t="s">
        <v>809</v>
      </c>
      <c r="F1" s="2" t="s">
        <v>810</v>
      </c>
    </row>
    <row r="2" s="1" customFormat="1" ht="14" spans="1:6">
      <c r="A2" s="2"/>
      <c r="B2" s="2"/>
      <c r="C2" s="2"/>
      <c r="D2" s="2"/>
      <c r="E2" s="2" t="s">
        <v>811</v>
      </c>
      <c r="F2" s="2" t="s">
        <v>811</v>
      </c>
    </row>
    <row r="3" s="1" customFormat="1" spans="1:6">
      <c r="A3" s="3" t="s">
        <v>812</v>
      </c>
      <c r="B3" s="4">
        <v>1048</v>
      </c>
      <c r="C3" s="3" t="s">
        <v>648</v>
      </c>
      <c r="D3" s="3" t="s">
        <v>813</v>
      </c>
      <c r="E3" s="5">
        <v>69.02654867256</v>
      </c>
      <c r="F3" s="5">
        <v>2</v>
      </c>
    </row>
    <row r="4" s="1" customFormat="1" spans="1:6">
      <c r="A4" s="3" t="s">
        <v>812</v>
      </c>
      <c r="B4" s="4">
        <v>1055</v>
      </c>
      <c r="C4" s="3" t="s">
        <v>693</v>
      </c>
      <c r="D4" s="3" t="s">
        <v>813</v>
      </c>
      <c r="E4" s="5">
        <v>89.38053097344</v>
      </c>
      <c r="F4" s="5">
        <v>2</v>
      </c>
    </row>
    <row r="5" s="1" customFormat="1" spans="1:6">
      <c r="A5" s="3" t="s">
        <v>812</v>
      </c>
      <c r="B5" s="4">
        <v>1055</v>
      </c>
      <c r="C5" s="3" t="s">
        <v>693</v>
      </c>
      <c r="D5" s="3" t="s">
        <v>813</v>
      </c>
      <c r="E5" s="5">
        <v>8.7610619469</v>
      </c>
      <c r="F5" s="5">
        <v>1</v>
      </c>
    </row>
    <row r="6" s="1" customFormat="1" spans="1:6">
      <c r="A6" s="3" t="s">
        <v>812</v>
      </c>
      <c r="B6" s="4">
        <v>1070</v>
      </c>
      <c r="C6" s="3" t="s">
        <v>634</v>
      </c>
      <c r="D6" s="3" t="s">
        <v>813</v>
      </c>
      <c r="E6" s="5">
        <v>95.3982300885</v>
      </c>
      <c r="F6" s="5">
        <v>2</v>
      </c>
    </row>
    <row r="7" s="1" customFormat="1" spans="1:6">
      <c r="A7" s="3" t="s">
        <v>812</v>
      </c>
      <c r="B7" s="4">
        <v>1070</v>
      </c>
      <c r="C7" s="3" t="s">
        <v>634</v>
      </c>
      <c r="D7" s="3" t="s">
        <v>813</v>
      </c>
      <c r="E7" s="5">
        <v>235.66128115612</v>
      </c>
      <c r="F7" s="5">
        <v>7</v>
      </c>
    </row>
    <row r="8" s="1" customFormat="1" spans="1:6">
      <c r="A8" s="3" t="s">
        <v>812</v>
      </c>
      <c r="B8" s="4">
        <v>1075</v>
      </c>
      <c r="C8" s="3" t="s">
        <v>633</v>
      </c>
      <c r="D8" s="3" t="s">
        <v>813</v>
      </c>
      <c r="E8" s="5">
        <v>108.49557522124</v>
      </c>
      <c r="F8" s="5">
        <v>2</v>
      </c>
    </row>
    <row r="9" s="1" customFormat="1" spans="1:6">
      <c r="A9" s="3" t="s">
        <v>812</v>
      </c>
      <c r="B9" s="4">
        <v>1082</v>
      </c>
      <c r="C9" s="3" t="s">
        <v>698</v>
      </c>
      <c r="D9" s="3" t="s">
        <v>813</v>
      </c>
      <c r="E9" s="5">
        <v>285.56685881304</v>
      </c>
      <c r="F9" s="5">
        <v>6</v>
      </c>
    </row>
    <row r="10" s="1" customFormat="1" spans="1:6">
      <c r="A10" s="3" t="s">
        <v>812</v>
      </c>
      <c r="B10" s="4">
        <v>1082</v>
      </c>
      <c r="C10" s="3" t="s">
        <v>698</v>
      </c>
      <c r="D10" s="3" t="s">
        <v>813</v>
      </c>
      <c r="E10" s="5">
        <v>53.98230088495</v>
      </c>
      <c r="F10" s="5">
        <v>1</v>
      </c>
    </row>
    <row r="11" s="1" customFormat="1" spans="1:6">
      <c r="A11" s="3" t="s">
        <v>812</v>
      </c>
      <c r="B11" s="4">
        <v>1088</v>
      </c>
      <c r="C11" s="3" t="s">
        <v>663</v>
      </c>
      <c r="D11" s="3" t="s">
        <v>813</v>
      </c>
      <c r="E11" s="5">
        <v>16.54867256637</v>
      </c>
      <c r="F11" s="5">
        <v>1</v>
      </c>
    </row>
    <row r="12" s="1" customFormat="1" spans="1:6">
      <c r="A12" s="3" t="s">
        <v>812</v>
      </c>
      <c r="B12" s="4">
        <v>1102</v>
      </c>
      <c r="C12" s="3" t="s">
        <v>599</v>
      </c>
      <c r="D12" s="3" t="s">
        <v>813</v>
      </c>
      <c r="E12" s="5">
        <v>393.00884955751</v>
      </c>
      <c r="F12" s="5">
        <v>7</v>
      </c>
    </row>
    <row r="13" s="1" customFormat="1" spans="1:6">
      <c r="A13" s="3" t="s">
        <v>812</v>
      </c>
      <c r="B13" s="4">
        <v>1133</v>
      </c>
      <c r="C13" s="3" t="s">
        <v>775</v>
      </c>
      <c r="D13" s="3" t="s">
        <v>813</v>
      </c>
      <c r="E13" s="5">
        <v>13.89380530974</v>
      </c>
      <c r="F13" s="5">
        <v>1</v>
      </c>
    </row>
    <row r="14" s="1" customFormat="1" spans="1:6">
      <c r="A14" s="3" t="s">
        <v>812</v>
      </c>
      <c r="B14" s="4">
        <v>1146</v>
      </c>
      <c r="C14" s="3" t="s">
        <v>673</v>
      </c>
      <c r="D14" s="3" t="s">
        <v>813</v>
      </c>
      <c r="E14" s="5">
        <v>96.54867256636</v>
      </c>
      <c r="F14" s="5">
        <v>2</v>
      </c>
    </row>
    <row r="15" s="1" customFormat="1" spans="1:6">
      <c r="A15" s="3" t="s">
        <v>812</v>
      </c>
      <c r="B15" s="4">
        <v>1278</v>
      </c>
      <c r="C15" s="3" t="s">
        <v>771</v>
      </c>
      <c r="D15" s="3" t="s">
        <v>813</v>
      </c>
      <c r="E15" s="5">
        <v>169.82300884957</v>
      </c>
      <c r="F15" s="5">
        <v>3</v>
      </c>
    </row>
    <row r="16" s="1" customFormat="1" spans="1:6">
      <c r="A16" s="3" t="s">
        <v>812</v>
      </c>
      <c r="B16" s="4">
        <v>1278</v>
      </c>
      <c r="C16" s="3" t="s">
        <v>771</v>
      </c>
      <c r="D16" s="3" t="s">
        <v>813</v>
      </c>
      <c r="E16" s="5">
        <v>127.99870098236</v>
      </c>
      <c r="F16" s="5">
        <v>4</v>
      </c>
    </row>
    <row r="17" s="1" customFormat="1" spans="1:6">
      <c r="A17" s="3" t="s">
        <v>812</v>
      </c>
      <c r="B17" s="4">
        <v>1280</v>
      </c>
      <c r="C17" s="3" t="s">
        <v>664</v>
      </c>
      <c r="D17" s="3" t="s">
        <v>813</v>
      </c>
      <c r="E17" s="5">
        <v>33.62831858407</v>
      </c>
      <c r="F17" s="5">
        <v>1</v>
      </c>
    </row>
    <row r="18" s="1" customFormat="1" spans="1:6">
      <c r="A18" s="3" t="s">
        <v>812</v>
      </c>
      <c r="B18" s="4">
        <v>1280</v>
      </c>
      <c r="C18" s="3" t="s">
        <v>664</v>
      </c>
      <c r="D18" s="3" t="s">
        <v>813</v>
      </c>
      <c r="E18" s="5">
        <v>1163.6283185841</v>
      </c>
      <c r="F18" s="5">
        <v>26</v>
      </c>
    </row>
    <row r="19" s="1" customFormat="1" spans="1:6">
      <c r="A19" s="3" t="s">
        <v>812</v>
      </c>
      <c r="B19" s="4">
        <v>1281</v>
      </c>
      <c r="C19" s="3" t="s">
        <v>659</v>
      </c>
      <c r="D19" s="3" t="s">
        <v>813</v>
      </c>
      <c r="E19" s="5">
        <v>104.92327677193</v>
      </c>
      <c r="F19" s="5">
        <v>2</v>
      </c>
    </row>
    <row r="20" s="1" customFormat="1" spans="1:6">
      <c r="A20" s="3" t="s">
        <v>812</v>
      </c>
      <c r="B20" s="4">
        <v>1281</v>
      </c>
      <c r="C20" s="3" t="s">
        <v>659</v>
      </c>
      <c r="D20" s="3" t="s">
        <v>813</v>
      </c>
      <c r="E20" s="5">
        <v>18.05309734514</v>
      </c>
      <c r="F20" s="5">
        <v>1</v>
      </c>
    </row>
    <row r="21" s="1" customFormat="1" spans="1:6">
      <c r="A21" s="3" t="s">
        <v>812</v>
      </c>
      <c r="B21" s="4">
        <v>1293</v>
      </c>
      <c r="C21" s="3" t="s">
        <v>627</v>
      </c>
      <c r="D21" s="3" t="s">
        <v>813</v>
      </c>
      <c r="E21" s="5">
        <v>53.98230088496</v>
      </c>
      <c r="F21" s="5">
        <v>1</v>
      </c>
    </row>
    <row r="22" s="1" customFormat="1" spans="1:6">
      <c r="A22" s="3" t="s">
        <v>812</v>
      </c>
      <c r="B22" s="4">
        <v>1294</v>
      </c>
      <c r="C22" s="3" t="s">
        <v>690</v>
      </c>
      <c r="D22" s="3" t="s">
        <v>813</v>
      </c>
      <c r="E22" s="5">
        <v>15.48672566372</v>
      </c>
      <c r="F22" s="5">
        <v>1</v>
      </c>
    </row>
    <row r="23" s="1" customFormat="1" spans="1:6">
      <c r="A23" s="3" t="s">
        <v>812</v>
      </c>
      <c r="B23" s="4">
        <v>1295</v>
      </c>
      <c r="C23" s="3" t="s">
        <v>672</v>
      </c>
      <c r="D23" s="3" t="s">
        <v>813</v>
      </c>
      <c r="E23" s="5">
        <v>439.24088657952</v>
      </c>
      <c r="F23" s="5">
        <v>9</v>
      </c>
    </row>
    <row r="24" s="1" customFormat="1" spans="1:6">
      <c r="A24" s="3" t="s">
        <v>812</v>
      </c>
      <c r="B24" s="4">
        <v>1299</v>
      </c>
      <c r="C24" s="3" t="s">
        <v>615</v>
      </c>
      <c r="D24" s="3" t="s">
        <v>813</v>
      </c>
      <c r="E24" s="5">
        <v>35.3982300885</v>
      </c>
      <c r="F24" s="5">
        <v>1</v>
      </c>
    </row>
    <row r="25" s="1" customFormat="1" spans="1:6">
      <c r="A25" s="3" t="s">
        <v>812</v>
      </c>
      <c r="B25" s="4">
        <v>1366</v>
      </c>
      <c r="C25" s="3" t="s">
        <v>792</v>
      </c>
      <c r="D25" s="3" t="s">
        <v>813</v>
      </c>
      <c r="E25" s="5">
        <v>222.83185840711</v>
      </c>
      <c r="F25" s="5">
        <v>3</v>
      </c>
    </row>
    <row r="26" s="1" customFormat="1" spans="1:6">
      <c r="A26" s="3" t="s">
        <v>812</v>
      </c>
      <c r="B26" s="4">
        <v>1366</v>
      </c>
      <c r="C26" s="3" t="s">
        <v>792</v>
      </c>
      <c r="D26" s="3" t="s">
        <v>813</v>
      </c>
      <c r="E26" s="5">
        <v>108.31858407079</v>
      </c>
      <c r="F26" s="5">
        <v>2</v>
      </c>
    </row>
    <row r="27" s="1" customFormat="1" spans="1:6">
      <c r="A27" s="3" t="s">
        <v>812</v>
      </c>
      <c r="B27" s="4">
        <v>1369</v>
      </c>
      <c r="C27" s="3" t="s">
        <v>770</v>
      </c>
      <c r="D27" s="3" t="s">
        <v>813</v>
      </c>
      <c r="E27" s="5">
        <v>56.11350166437</v>
      </c>
      <c r="F27" s="5">
        <v>1</v>
      </c>
    </row>
    <row r="28" s="1" customFormat="1" spans="1:6">
      <c r="A28" s="3" t="s">
        <v>812</v>
      </c>
      <c r="B28" s="4">
        <v>1369</v>
      </c>
      <c r="C28" s="3" t="s">
        <v>770</v>
      </c>
      <c r="D28" s="3" t="s">
        <v>813</v>
      </c>
      <c r="E28" s="5">
        <v>14.95575221238</v>
      </c>
      <c r="F28" s="5">
        <v>1</v>
      </c>
    </row>
    <row r="29" s="1" customFormat="1" spans="1:6">
      <c r="A29" s="3" t="s">
        <v>812</v>
      </c>
      <c r="B29" s="4">
        <v>1461</v>
      </c>
      <c r="C29" s="3" t="s">
        <v>625</v>
      </c>
      <c r="D29" s="3" t="s">
        <v>813</v>
      </c>
      <c r="E29" s="5">
        <v>87.96460176991</v>
      </c>
      <c r="F29" s="5">
        <v>2</v>
      </c>
    </row>
    <row r="30" s="1" customFormat="1" spans="1:6">
      <c r="A30" s="3" t="s">
        <v>812</v>
      </c>
      <c r="B30" s="4">
        <v>1461</v>
      </c>
      <c r="C30" s="3" t="s">
        <v>625</v>
      </c>
      <c r="D30" s="3" t="s">
        <v>813</v>
      </c>
      <c r="E30" s="5">
        <v>257.5221238938</v>
      </c>
      <c r="F30" s="5">
        <v>6</v>
      </c>
    </row>
    <row r="31" s="1" customFormat="1" spans="1:6">
      <c r="A31" s="3" t="s">
        <v>812</v>
      </c>
      <c r="B31" s="4">
        <v>1479</v>
      </c>
      <c r="C31" s="3" t="s">
        <v>758</v>
      </c>
      <c r="D31" s="3" t="s">
        <v>813</v>
      </c>
      <c r="E31" s="5">
        <v>66.10619469027</v>
      </c>
      <c r="F31" s="5">
        <v>2</v>
      </c>
    </row>
    <row r="32" s="1" customFormat="1" spans="1:6">
      <c r="A32" s="3" t="s">
        <v>812</v>
      </c>
      <c r="B32" s="4">
        <v>1496</v>
      </c>
      <c r="C32" s="3" t="s">
        <v>597</v>
      </c>
      <c r="D32" s="3" t="s">
        <v>813</v>
      </c>
      <c r="E32" s="5">
        <v>69.82300884956</v>
      </c>
      <c r="F32" s="5">
        <v>2</v>
      </c>
    </row>
    <row r="33" s="1" customFormat="1" spans="1:6">
      <c r="A33" s="3" t="s">
        <v>812</v>
      </c>
      <c r="B33" s="4">
        <v>1543</v>
      </c>
      <c r="C33" s="3" t="s">
        <v>750</v>
      </c>
      <c r="D33" s="3" t="s">
        <v>813</v>
      </c>
      <c r="E33" s="5">
        <v>38.16513761468</v>
      </c>
      <c r="F33" s="5">
        <v>1</v>
      </c>
    </row>
    <row r="34" s="1" customFormat="1" spans="1:6">
      <c r="A34" s="3" t="s">
        <v>812</v>
      </c>
      <c r="B34" s="4">
        <v>1543</v>
      </c>
      <c r="C34" s="3" t="s">
        <v>750</v>
      </c>
      <c r="D34" s="3" t="s">
        <v>813</v>
      </c>
      <c r="E34" s="5">
        <v>82.21238938053</v>
      </c>
      <c r="F34" s="5">
        <v>2</v>
      </c>
    </row>
    <row r="35" s="1" customFormat="1" spans="1:6">
      <c r="A35" s="3" t="s">
        <v>812</v>
      </c>
      <c r="B35" s="4">
        <v>1550</v>
      </c>
      <c r="C35" s="3" t="s">
        <v>753</v>
      </c>
      <c r="D35" s="3" t="s">
        <v>813</v>
      </c>
      <c r="E35" s="5">
        <v>106.46017699115</v>
      </c>
      <c r="F35" s="5">
        <v>2</v>
      </c>
    </row>
    <row r="36" s="1" customFormat="1" spans="1:6">
      <c r="A36" s="3" t="s">
        <v>812</v>
      </c>
      <c r="B36" s="4">
        <v>1550</v>
      </c>
      <c r="C36" s="3" t="s">
        <v>753</v>
      </c>
      <c r="D36" s="3" t="s">
        <v>17</v>
      </c>
      <c r="E36" s="5">
        <v>35.22123893805</v>
      </c>
      <c r="F36" s="5">
        <v>1</v>
      </c>
    </row>
    <row r="37" s="1" customFormat="1" spans="1:6">
      <c r="A37" s="3" t="s">
        <v>812</v>
      </c>
      <c r="B37" s="4">
        <v>1578</v>
      </c>
      <c r="C37" s="3" t="s">
        <v>608</v>
      </c>
      <c r="D37" s="3" t="s">
        <v>813</v>
      </c>
      <c r="E37" s="5">
        <v>95.65486725663</v>
      </c>
      <c r="F37" s="5">
        <v>2</v>
      </c>
    </row>
    <row r="38" s="1" customFormat="1" spans="1:6">
      <c r="A38" s="3" t="s">
        <v>812</v>
      </c>
      <c r="B38" s="4">
        <v>1594</v>
      </c>
      <c r="C38" s="3" t="s">
        <v>740</v>
      </c>
      <c r="D38" s="3" t="s">
        <v>813</v>
      </c>
      <c r="E38" s="5">
        <v>201.98230088495</v>
      </c>
      <c r="F38" s="5">
        <v>4</v>
      </c>
    </row>
    <row r="39" s="1" customFormat="1" spans="1:6">
      <c r="A39" s="3" t="s">
        <v>812</v>
      </c>
      <c r="B39" s="4">
        <v>1594</v>
      </c>
      <c r="C39" s="3" t="s">
        <v>740</v>
      </c>
      <c r="D39" s="3" t="s">
        <v>813</v>
      </c>
      <c r="E39" s="5">
        <v>20.02654867256</v>
      </c>
      <c r="F39" s="5">
        <v>1</v>
      </c>
    </row>
    <row r="40" s="1" customFormat="1" spans="1:6">
      <c r="A40" s="3" t="s">
        <v>812</v>
      </c>
      <c r="B40" s="4">
        <v>1604</v>
      </c>
      <c r="C40" s="3" t="s">
        <v>790</v>
      </c>
      <c r="D40" s="3" t="s">
        <v>813</v>
      </c>
      <c r="E40" s="5">
        <v>40.17699115044</v>
      </c>
      <c r="F40" s="5">
        <v>1</v>
      </c>
    </row>
    <row r="41" s="1" customFormat="1" spans="1:6">
      <c r="A41" s="3" t="s">
        <v>812</v>
      </c>
      <c r="B41" s="4">
        <v>1607</v>
      </c>
      <c r="C41" s="3" t="s">
        <v>695</v>
      </c>
      <c r="D41" s="3" t="s">
        <v>813</v>
      </c>
      <c r="E41" s="5">
        <v>53.09734513274</v>
      </c>
      <c r="F41" s="5">
        <v>5</v>
      </c>
    </row>
    <row r="42" s="1" customFormat="1" spans="1:6">
      <c r="A42" s="3" t="s">
        <v>812</v>
      </c>
      <c r="B42" s="4">
        <v>1608</v>
      </c>
      <c r="C42" s="3" t="s">
        <v>696</v>
      </c>
      <c r="D42" s="3" t="s">
        <v>813</v>
      </c>
      <c r="E42" s="5">
        <v>9.64601769911</v>
      </c>
      <c r="F42" s="5">
        <v>1</v>
      </c>
    </row>
    <row r="43" s="1" customFormat="1" spans="1:6">
      <c r="A43" s="3" t="s">
        <v>812</v>
      </c>
      <c r="B43" s="4">
        <v>1664</v>
      </c>
      <c r="C43" s="3" t="s">
        <v>613</v>
      </c>
      <c r="D43" s="3" t="s">
        <v>813</v>
      </c>
      <c r="E43" s="5">
        <v>38.14159292036</v>
      </c>
      <c r="F43" s="5">
        <v>1</v>
      </c>
    </row>
    <row r="44" s="1" customFormat="1" spans="1:6">
      <c r="A44" s="3" t="s">
        <v>812</v>
      </c>
      <c r="B44" s="4">
        <v>1664</v>
      </c>
      <c r="C44" s="3" t="s">
        <v>613</v>
      </c>
      <c r="D44" s="3" t="s">
        <v>813</v>
      </c>
      <c r="E44" s="5">
        <v>77.43362831859</v>
      </c>
      <c r="F44" s="5">
        <v>2</v>
      </c>
    </row>
    <row r="45" s="1" customFormat="1" spans="1:6">
      <c r="A45" s="3" t="s">
        <v>812</v>
      </c>
      <c r="B45" s="4">
        <v>1693</v>
      </c>
      <c r="C45" s="3" t="s">
        <v>624</v>
      </c>
      <c r="D45" s="3" t="s">
        <v>813</v>
      </c>
      <c r="E45" s="5">
        <v>171.23893805309</v>
      </c>
      <c r="F45" s="5">
        <v>2</v>
      </c>
    </row>
    <row r="46" s="1" customFormat="1" spans="1:6">
      <c r="A46" s="3" t="s">
        <v>812</v>
      </c>
      <c r="B46" s="4">
        <v>1728</v>
      </c>
      <c r="C46" s="3" t="s">
        <v>669</v>
      </c>
      <c r="D46" s="3" t="s">
        <v>813</v>
      </c>
      <c r="E46" s="5">
        <v>23.22724689453</v>
      </c>
      <c r="F46" s="5">
        <v>2</v>
      </c>
    </row>
    <row r="47" s="1" customFormat="1" spans="1:6">
      <c r="A47" s="3" t="s">
        <v>812</v>
      </c>
      <c r="B47" s="4">
        <v>1752</v>
      </c>
      <c r="C47" s="3" t="s">
        <v>656</v>
      </c>
      <c r="D47" s="3" t="s">
        <v>813</v>
      </c>
      <c r="E47" s="5">
        <v>34.51327433628</v>
      </c>
      <c r="F47" s="5">
        <v>1</v>
      </c>
    </row>
    <row r="48" s="1" customFormat="1" spans="1:6">
      <c r="A48" s="3" t="s">
        <v>812</v>
      </c>
      <c r="B48" s="4">
        <v>1837</v>
      </c>
      <c r="C48" s="3" t="s">
        <v>680</v>
      </c>
      <c r="D48" s="3" t="s">
        <v>813</v>
      </c>
      <c r="E48" s="5">
        <v>77.77876106194</v>
      </c>
      <c r="F48" s="5">
        <v>2</v>
      </c>
    </row>
    <row r="49" s="1" customFormat="1" spans="1:6">
      <c r="A49" s="3" t="s">
        <v>812</v>
      </c>
      <c r="B49" s="4">
        <v>1837</v>
      </c>
      <c r="C49" s="3" t="s">
        <v>680</v>
      </c>
      <c r="D49" s="3" t="s">
        <v>813</v>
      </c>
      <c r="E49" s="5">
        <v>212.85848826825</v>
      </c>
      <c r="F49" s="5">
        <v>5</v>
      </c>
    </row>
    <row r="50" s="1" customFormat="1" spans="1:6">
      <c r="A50" s="3" t="s">
        <v>812</v>
      </c>
      <c r="B50" s="4">
        <v>1880</v>
      </c>
      <c r="C50" s="3" t="s">
        <v>715</v>
      </c>
      <c r="D50" s="3" t="s">
        <v>813</v>
      </c>
      <c r="E50" s="5">
        <v>60.08849557521</v>
      </c>
      <c r="F50" s="5">
        <v>2</v>
      </c>
    </row>
    <row r="51" s="1" customFormat="1" spans="1:6">
      <c r="A51" s="3" t="s">
        <v>812</v>
      </c>
      <c r="B51" s="4">
        <v>1880</v>
      </c>
      <c r="C51" s="3" t="s">
        <v>715</v>
      </c>
      <c r="D51" s="3" t="s">
        <v>813</v>
      </c>
      <c r="E51" s="5">
        <v>213.75757083701</v>
      </c>
      <c r="F51" s="5">
        <v>7</v>
      </c>
    </row>
    <row r="52" s="1" customFormat="1" spans="1:6">
      <c r="A52" s="3" t="s">
        <v>812</v>
      </c>
      <c r="B52" s="4">
        <v>1880</v>
      </c>
      <c r="C52" s="3" t="s">
        <v>715</v>
      </c>
      <c r="D52" s="3" t="s">
        <v>17</v>
      </c>
      <c r="E52" s="5">
        <v>26.19469026549</v>
      </c>
      <c r="F52" s="5">
        <v>1</v>
      </c>
    </row>
    <row r="53" s="1" customFormat="1" spans="1:6">
      <c r="A53" s="3" t="s">
        <v>812</v>
      </c>
      <c r="B53" s="4">
        <v>2130</v>
      </c>
      <c r="C53" s="3" t="s">
        <v>657</v>
      </c>
      <c r="D53" s="3" t="s">
        <v>813</v>
      </c>
      <c r="E53" s="5">
        <v>43.36283185842</v>
      </c>
      <c r="F53" s="5">
        <v>1</v>
      </c>
    </row>
    <row r="54" s="1" customFormat="1" spans="1:6">
      <c r="A54" s="3" t="s">
        <v>812</v>
      </c>
      <c r="B54" s="4">
        <v>2130</v>
      </c>
      <c r="C54" s="3" t="s">
        <v>657</v>
      </c>
      <c r="D54" s="3" t="s">
        <v>813</v>
      </c>
      <c r="E54" s="5">
        <v>13.18584070796</v>
      </c>
      <c r="F54" s="5">
        <v>1</v>
      </c>
    </row>
    <row r="55" s="1" customFormat="1" spans="1:6">
      <c r="A55" s="3" t="s">
        <v>812</v>
      </c>
      <c r="B55" s="4">
        <v>2207</v>
      </c>
      <c r="C55" s="3" t="s">
        <v>733</v>
      </c>
      <c r="D55" s="3" t="s">
        <v>813</v>
      </c>
      <c r="E55" s="5">
        <v>105.0927985711</v>
      </c>
      <c r="F55" s="5">
        <v>3</v>
      </c>
    </row>
    <row r="56" s="1" customFormat="1" spans="1:6">
      <c r="A56" s="3" t="s">
        <v>812</v>
      </c>
      <c r="B56" s="4">
        <v>2207</v>
      </c>
      <c r="C56" s="3" t="s">
        <v>733</v>
      </c>
      <c r="D56" s="3" t="s">
        <v>813</v>
      </c>
      <c r="E56" s="5">
        <v>59.38053097345</v>
      </c>
      <c r="F56" s="5">
        <v>1</v>
      </c>
    </row>
    <row r="57" s="1" customFormat="1" spans="1:6">
      <c r="A57" s="3" t="s">
        <v>812</v>
      </c>
      <c r="B57" s="4">
        <v>2215</v>
      </c>
      <c r="C57" s="3" t="s">
        <v>689</v>
      </c>
      <c r="D57" s="3" t="s">
        <v>813</v>
      </c>
      <c r="E57" s="5">
        <v>221.25663716814</v>
      </c>
      <c r="F57" s="5">
        <v>4</v>
      </c>
    </row>
    <row r="58" s="1" customFormat="1" spans="1:6">
      <c r="A58" s="3" t="s">
        <v>812</v>
      </c>
      <c r="B58" s="4">
        <v>8600</v>
      </c>
      <c r="C58" s="3" t="s">
        <v>601</v>
      </c>
      <c r="D58" s="3" t="s">
        <v>813</v>
      </c>
      <c r="E58" s="5">
        <v>18.49557522123</v>
      </c>
      <c r="F58" s="5">
        <v>1</v>
      </c>
    </row>
    <row r="59" s="1" customFormat="1" spans="1:6">
      <c r="A59" s="3" t="s">
        <v>812</v>
      </c>
      <c r="B59" s="4">
        <v>8600</v>
      </c>
      <c r="C59" s="3" t="s">
        <v>601</v>
      </c>
      <c r="D59" s="3" t="s">
        <v>813</v>
      </c>
      <c r="E59" s="5">
        <v>965.8359178371</v>
      </c>
      <c r="F59" s="5">
        <v>33</v>
      </c>
    </row>
    <row r="60" s="1" customFormat="1" spans="1:6">
      <c r="A60" s="3" t="s">
        <v>812</v>
      </c>
      <c r="B60" s="4">
        <v>8601</v>
      </c>
      <c r="C60" s="3" t="s">
        <v>795</v>
      </c>
      <c r="D60" s="3" t="s">
        <v>813</v>
      </c>
      <c r="E60" s="5">
        <v>334.51327433628</v>
      </c>
      <c r="F60" s="5">
        <v>7</v>
      </c>
    </row>
    <row r="61" s="1" customFormat="1" spans="1:6">
      <c r="A61" s="3" t="s">
        <v>812</v>
      </c>
      <c r="B61" s="4">
        <v>8601</v>
      </c>
      <c r="C61" s="3" t="s">
        <v>795</v>
      </c>
      <c r="D61" s="3" t="s">
        <v>17</v>
      </c>
      <c r="E61" s="5">
        <v>72.03539823009</v>
      </c>
      <c r="F61" s="5">
        <v>1</v>
      </c>
    </row>
    <row r="62" s="1" customFormat="1" spans="1:6">
      <c r="A62" s="3" t="s">
        <v>812</v>
      </c>
      <c r="B62" s="4">
        <v>8602</v>
      </c>
      <c r="C62" s="3" t="s">
        <v>794</v>
      </c>
      <c r="D62" s="3" t="s">
        <v>813</v>
      </c>
      <c r="E62" s="5">
        <v>357.17699115041</v>
      </c>
      <c r="F62" s="5">
        <v>7</v>
      </c>
    </row>
    <row r="63" s="1" customFormat="1" spans="1:6">
      <c r="A63" s="3" t="s">
        <v>812</v>
      </c>
      <c r="B63" s="4">
        <v>8603</v>
      </c>
      <c r="C63" s="3" t="s">
        <v>801</v>
      </c>
      <c r="D63" s="3" t="s">
        <v>813</v>
      </c>
      <c r="E63" s="5">
        <v>72.38938053098</v>
      </c>
      <c r="F63" s="5">
        <v>2</v>
      </c>
    </row>
    <row r="64" s="1" customFormat="1" spans="1:6">
      <c r="A64" s="3" t="s">
        <v>812</v>
      </c>
      <c r="B64" s="4">
        <v>8603</v>
      </c>
      <c r="C64" s="3" t="s">
        <v>801</v>
      </c>
      <c r="D64" s="3" t="s">
        <v>813</v>
      </c>
      <c r="E64" s="5">
        <v>231.12852155557</v>
      </c>
      <c r="F64" s="5">
        <v>7</v>
      </c>
    </row>
    <row r="65" s="1" customFormat="1" spans="1:6">
      <c r="A65" s="3" t="s">
        <v>812</v>
      </c>
      <c r="B65" s="4">
        <v>8604</v>
      </c>
      <c r="C65" s="3" t="s">
        <v>718</v>
      </c>
      <c r="D65" s="3" t="s">
        <v>813</v>
      </c>
      <c r="E65" s="5">
        <v>125.64910286596</v>
      </c>
      <c r="F65" s="5">
        <v>3</v>
      </c>
    </row>
    <row r="66" s="1" customFormat="1" spans="1:6">
      <c r="A66" s="3" t="s">
        <v>812</v>
      </c>
      <c r="B66" s="4">
        <v>8604</v>
      </c>
      <c r="C66" s="3" t="s">
        <v>718</v>
      </c>
      <c r="D66" s="3" t="s">
        <v>813</v>
      </c>
      <c r="E66" s="5">
        <v>26.90265486725</v>
      </c>
      <c r="F66" s="5">
        <v>1</v>
      </c>
    </row>
    <row r="67" s="1" customFormat="1" spans="1:6">
      <c r="A67" s="3" t="s">
        <v>812</v>
      </c>
      <c r="B67" s="4">
        <v>8606</v>
      </c>
      <c r="C67" s="3" t="s">
        <v>746</v>
      </c>
      <c r="D67" s="3" t="s">
        <v>813</v>
      </c>
      <c r="E67" s="5">
        <v>50</v>
      </c>
      <c r="F67" s="5">
        <v>1</v>
      </c>
    </row>
    <row r="68" s="1" customFormat="1" spans="1:6">
      <c r="A68" s="3" t="s">
        <v>812</v>
      </c>
      <c r="B68" s="4">
        <v>8607</v>
      </c>
      <c r="C68" s="3" t="s">
        <v>703</v>
      </c>
      <c r="D68" s="3" t="s">
        <v>813</v>
      </c>
      <c r="E68" s="5">
        <v>87.16814159291</v>
      </c>
      <c r="F68" s="5">
        <v>2</v>
      </c>
    </row>
    <row r="69" s="1" customFormat="1" spans="1:6">
      <c r="A69" s="3" t="s">
        <v>812</v>
      </c>
      <c r="B69" s="4">
        <v>8607</v>
      </c>
      <c r="C69" s="3" t="s">
        <v>703</v>
      </c>
      <c r="D69" s="3" t="s">
        <v>813</v>
      </c>
      <c r="E69" s="5">
        <v>11.15044247788</v>
      </c>
      <c r="F69" s="5">
        <v>1</v>
      </c>
    </row>
    <row r="70" s="1" customFormat="1" spans="1:6">
      <c r="A70" s="3" t="s">
        <v>812</v>
      </c>
      <c r="B70" s="4">
        <v>8608</v>
      </c>
      <c r="C70" s="3" t="s">
        <v>712</v>
      </c>
      <c r="D70" s="3" t="s">
        <v>813</v>
      </c>
      <c r="E70" s="5">
        <v>143.92920353982</v>
      </c>
      <c r="F70" s="5">
        <v>2</v>
      </c>
    </row>
    <row r="71" s="1" customFormat="1" spans="1:6">
      <c r="A71" s="3" t="s">
        <v>812</v>
      </c>
      <c r="B71" s="4">
        <v>8608</v>
      </c>
      <c r="C71" s="3" t="s">
        <v>712</v>
      </c>
      <c r="D71" s="3" t="s">
        <v>813</v>
      </c>
      <c r="E71" s="5">
        <v>183.21238938052</v>
      </c>
      <c r="F71" s="5">
        <v>8</v>
      </c>
    </row>
    <row r="72" s="1" customFormat="1" spans="1:6">
      <c r="A72" s="3" t="s">
        <v>812</v>
      </c>
      <c r="B72" s="4">
        <v>8609</v>
      </c>
      <c r="C72" s="3" t="s">
        <v>621</v>
      </c>
      <c r="D72" s="3" t="s">
        <v>813</v>
      </c>
      <c r="E72" s="5">
        <v>27.34513274336</v>
      </c>
      <c r="F72" s="5">
        <v>1</v>
      </c>
    </row>
    <row r="73" s="1" customFormat="1" spans="1:6">
      <c r="A73" s="3" t="s">
        <v>812</v>
      </c>
      <c r="B73" s="4">
        <v>8609</v>
      </c>
      <c r="C73" s="3" t="s">
        <v>621</v>
      </c>
      <c r="D73" s="3" t="s">
        <v>813</v>
      </c>
      <c r="E73" s="5">
        <v>43.80530973451</v>
      </c>
      <c r="F73" s="5">
        <v>2</v>
      </c>
    </row>
    <row r="74" s="1" customFormat="1" spans="1:6">
      <c r="A74" s="3" t="s">
        <v>812</v>
      </c>
      <c r="B74" s="4">
        <v>8610</v>
      </c>
      <c r="C74" s="3" t="s">
        <v>797</v>
      </c>
      <c r="D74" s="3" t="s">
        <v>813</v>
      </c>
      <c r="E74" s="5">
        <v>25.22123893805</v>
      </c>
      <c r="F74" s="5">
        <v>1</v>
      </c>
    </row>
    <row r="75" s="1" customFormat="1" spans="1:6">
      <c r="A75" s="3" t="s">
        <v>812</v>
      </c>
      <c r="B75" s="4">
        <v>8612</v>
      </c>
      <c r="C75" s="3" t="s">
        <v>620</v>
      </c>
      <c r="D75" s="3" t="s">
        <v>813</v>
      </c>
      <c r="E75" s="5">
        <v>228.7610619469</v>
      </c>
      <c r="F75" s="5">
        <v>4</v>
      </c>
    </row>
    <row r="76" s="1" customFormat="1" spans="1:6">
      <c r="A76" s="3" t="s">
        <v>812</v>
      </c>
      <c r="B76" s="4">
        <v>8613</v>
      </c>
      <c r="C76" s="3" t="s">
        <v>752</v>
      </c>
      <c r="D76" s="3" t="s">
        <v>813</v>
      </c>
      <c r="E76" s="5">
        <v>53.27433628319</v>
      </c>
      <c r="F76" s="5">
        <v>1</v>
      </c>
    </row>
    <row r="77" s="1" customFormat="1" spans="1:6">
      <c r="A77" s="3" t="s">
        <v>812</v>
      </c>
      <c r="B77" s="4">
        <v>8614</v>
      </c>
      <c r="C77" s="3" t="s">
        <v>604</v>
      </c>
      <c r="D77" s="3" t="s">
        <v>813</v>
      </c>
      <c r="E77" s="5">
        <v>40.08849557522</v>
      </c>
      <c r="F77" s="5">
        <v>1</v>
      </c>
    </row>
    <row r="78" s="1" customFormat="1" spans="1:6">
      <c r="A78" s="3" t="s">
        <v>812</v>
      </c>
      <c r="B78" s="4">
        <v>8614</v>
      </c>
      <c r="C78" s="3" t="s">
        <v>604</v>
      </c>
      <c r="D78" s="3" t="s">
        <v>813</v>
      </c>
      <c r="E78" s="5">
        <v>1615.35308922609</v>
      </c>
      <c r="F78" s="5">
        <v>69</v>
      </c>
    </row>
    <row r="79" s="1" customFormat="1" spans="1:6">
      <c r="A79" s="3" t="s">
        <v>812</v>
      </c>
      <c r="B79" s="4">
        <v>8614</v>
      </c>
      <c r="C79" s="3" t="s">
        <v>604</v>
      </c>
      <c r="D79" s="3" t="s">
        <v>17</v>
      </c>
      <c r="E79" s="5">
        <v>20.88495575221</v>
      </c>
      <c r="F79" s="5">
        <v>1</v>
      </c>
    </row>
    <row r="80" s="1" customFormat="1" spans="1:6">
      <c r="A80" s="3" t="s">
        <v>812</v>
      </c>
      <c r="B80" s="4">
        <v>8615</v>
      </c>
      <c r="C80" s="3" t="s">
        <v>589</v>
      </c>
      <c r="D80" s="3" t="s">
        <v>813</v>
      </c>
      <c r="E80" s="5">
        <v>110.21839733703</v>
      </c>
      <c r="F80" s="5">
        <v>2</v>
      </c>
    </row>
    <row r="81" s="1" customFormat="1" spans="1:6">
      <c r="A81" s="3" t="s">
        <v>812</v>
      </c>
      <c r="B81" s="4">
        <v>8617</v>
      </c>
      <c r="C81" s="3" t="s">
        <v>587</v>
      </c>
      <c r="D81" s="3" t="s">
        <v>813</v>
      </c>
      <c r="E81" s="5">
        <v>26.74336283185</v>
      </c>
      <c r="F81" s="5">
        <v>1</v>
      </c>
    </row>
    <row r="82" s="1" customFormat="1" spans="1:6">
      <c r="A82" s="3" t="s">
        <v>812</v>
      </c>
      <c r="B82" s="4">
        <v>8617</v>
      </c>
      <c r="C82" s="3" t="s">
        <v>587</v>
      </c>
      <c r="D82" s="3" t="s">
        <v>813</v>
      </c>
      <c r="E82" s="5">
        <v>186.1946902655</v>
      </c>
      <c r="F82" s="5">
        <v>4</v>
      </c>
    </row>
    <row r="83" s="1" customFormat="1" spans="1:6">
      <c r="A83" s="3" t="s">
        <v>812</v>
      </c>
      <c r="B83" s="4">
        <v>8621</v>
      </c>
      <c r="C83" s="3" t="s">
        <v>724</v>
      </c>
      <c r="D83" s="3" t="s">
        <v>813</v>
      </c>
      <c r="E83" s="5">
        <v>166.22456767069</v>
      </c>
      <c r="F83" s="5">
        <v>4</v>
      </c>
    </row>
    <row r="84" s="1" customFormat="1" spans="1:6">
      <c r="A84" s="3" t="s">
        <v>812</v>
      </c>
      <c r="B84" s="4">
        <v>8621</v>
      </c>
      <c r="C84" s="3" t="s">
        <v>724</v>
      </c>
      <c r="D84" s="3" t="s">
        <v>813</v>
      </c>
      <c r="E84" s="5">
        <v>156.86725663717</v>
      </c>
      <c r="F84" s="5">
        <v>5</v>
      </c>
    </row>
    <row r="85" s="1" customFormat="1" spans="1:6">
      <c r="A85" s="3" t="s">
        <v>812</v>
      </c>
      <c r="B85" s="4">
        <v>8622</v>
      </c>
      <c r="C85" s="3" t="s">
        <v>729</v>
      </c>
      <c r="D85" s="3" t="s">
        <v>813</v>
      </c>
      <c r="E85" s="5">
        <v>80.79646017699</v>
      </c>
      <c r="F85" s="5">
        <v>2</v>
      </c>
    </row>
    <row r="86" s="1" customFormat="1" spans="1:6">
      <c r="A86" s="3" t="s">
        <v>812</v>
      </c>
      <c r="B86" s="4">
        <v>8622</v>
      </c>
      <c r="C86" s="3" t="s">
        <v>729</v>
      </c>
      <c r="D86" s="3" t="s">
        <v>813</v>
      </c>
      <c r="E86" s="5">
        <v>53.98230088495</v>
      </c>
      <c r="F86" s="5">
        <v>1</v>
      </c>
    </row>
    <row r="87" s="1" customFormat="1" spans="1:6">
      <c r="A87" s="3" t="s">
        <v>812</v>
      </c>
      <c r="B87" s="4">
        <v>8623</v>
      </c>
      <c r="C87" s="3" t="s">
        <v>723</v>
      </c>
      <c r="D87" s="3" t="s">
        <v>813</v>
      </c>
      <c r="E87" s="5">
        <v>26.81415929203</v>
      </c>
      <c r="F87" s="5">
        <v>1</v>
      </c>
    </row>
    <row r="88" s="1" customFormat="1" spans="1:6">
      <c r="A88" s="3" t="s">
        <v>812</v>
      </c>
      <c r="B88" s="4">
        <v>8623</v>
      </c>
      <c r="C88" s="3" t="s">
        <v>723</v>
      </c>
      <c r="D88" s="3" t="s">
        <v>813</v>
      </c>
      <c r="E88" s="5">
        <v>74</v>
      </c>
      <c r="F88" s="5">
        <v>2</v>
      </c>
    </row>
    <row r="89" s="1" customFormat="1" spans="1:6">
      <c r="A89" s="3" t="s">
        <v>812</v>
      </c>
      <c r="B89" s="4">
        <v>8625</v>
      </c>
      <c r="C89" s="3" t="s">
        <v>734</v>
      </c>
      <c r="D89" s="3" t="s">
        <v>813</v>
      </c>
      <c r="E89" s="5">
        <v>75.77738085573</v>
      </c>
      <c r="F89" s="5">
        <v>2</v>
      </c>
    </row>
    <row r="90" s="1" customFormat="1" spans="1:6">
      <c r="A90" s="3" t="s">
        <v>812</v>
      </c>
      <c r="B90" s="4">
        <v>8625</v>
      </c>
      <c r="C90" s="3" t="s">
        <v>734</v>
      </c>
      <c r="D90" s="3" t="s">
        <v>813</v>
      </c>
      <c r="E90" s="5">
        <v>58.58407079646</v>
      </c>
      <c r="F90" s="5">
        <v>2</v>
      </c>
    </row>
    <row r="91" s="1" customFormat="1" spans="1:6">
      <c r="A91" s="3" t="s">
        <v>812</v>
      </c>
      <c r="B91" s="4">
        <v>8626</v>
      </c>
      <c r="C91" s="3" t="s">
        <v>791</v>
      </c>
      <c r="D91" s="3" t="s">
        <v>813</v>
      </c>
      <c r="E91" s="5">
        <v>46.21238938052</v>
      </c>
      <c r="F91" s="5">
        <v>2</v>
      </c>
    </row>
    <row r="92" s="1" customFormat="1" spans="1:6">
      <c r="A92" s="3" t="s">
        <v>812</v>
      </c>
      <c r="B92" s="4">
        <v>8628</v>
      </c>
      <c r="C92" s="3" t="s">
        <v>622</v>
      </c>
      <c r="D92" s="3" t="s">
        <v>813</v>
      </c>
      <c r="E92" s="5">
        <v>158.49557522124</v>
      </c>
      <c r="F92" s="5">
        <v>3</v>
      </c>
    </row>
    <row r="93" s="1" customFormat="1" spans="1:6">
      <c r="A93" s="3" t="s">
        <v>812</v>
      </c>
      <c r="B93" s="4">
        <v>8628</v>
      </c>
      <c r="C93" s="3" t="s">
        <v>622</v>
      </c>
      <c r="D93" s="3" t="s">
        <v>813</v>
      </c>
      <c r="E93" s="5">
        <v>78.71543395308</v>
      </c>
      <c r="F93" s="5">
        <v>4</v>
      </c>
    </row>
    <row r="94" s="1" customFormat="1" spans="1:6">
      <c r="A94" s="3" t="s">
        <v>812</v>
      </c>
      <c r="B94" s="4">
        <v>8629</v>
      </c>
      <c r="C94" s="3" t="s">
        <v>763</v>
      </c>
      <c r="D94" s="3" t="s">
        <v>813</v>
      </c>
      <c r="E94" s="5">
        <v>148.28318584071</v>
      </c>
      <c r="F94" s="5">
        <v>3</v>
      </c>
    </row>
    <row r="95" s="1" customFormat="1" spans="1:6">
      <c r="A95" s="3" t="s">
        <v>812</v>
      </c>
      <c r="B95" s="4">
        <v>8629</v>
      </c>
      <c r="C95" s="3" t="s">
        <v>763</v>
      </c>
      <c r="D95" s="3" t="s">
        <v>813</v>
      </c>
      <c r="E95" s="5">
        <v>586.69380530963</v>
      </c>
      <c r="F95" s="5">
        <v>20</v>
      </c>
    </row>
    <row r="96" s="1" customFormat="1" spans="1:6">
      <c r="A96" s="3" t="s">
        <v>812</v>
      </c>
      <c r="B96" s="4">
        <v>8629</v>
      </c>
      <c r="C96" s="3" t="s">
        <v>763</v>
      </c>
      <c r="D96" s="3" t="s">
        <v>17</v>
      </c>
      <c r="E96" s="5">
        <v>43.32027522936</v>
      </c>
      <c r="F96" s="5">
        <v>1</v>
      </c>
    </row>
    <row r="97" s="1" customFormat="1" spans="1:6">
      <c r="A97" s="3" t="s">
        <v>812</v>
      </c>
      <c r="B97" s="4">
        <v>8630</v>
      </c>
      <c r="C97" s="3" t="s">
        <v>610</v>
      </c>
      <c r="D97" s="3" t="s">
        <v>813</v>
      </c>
      <c r="E97" s="5">
        <v>34.86725663717</v>
      </c>
      <c r="F97" s="5">
        <v>1</v>
      </c>
    </row>
    <row r="98" s="1" customFormat="1" spans="1:6">
      <c r="A98" s="3" t="s">
        <v>812</v>
      </c>
      <c r="B98" s="4">
        <v>8630</v>
      </c>
      <c r="C98" s="3" t="s">
        <v>610</v>
      </c>
      <c r="D98" s="3" t="s">
        <v>813</v>
      </c>
      <c r="E98" s="5">
        <v>310.60810262234</v>
      </c>
      <c r="F98" s="5">
        <v>6</v>
      </c>
    </row>
    <row r="99" s="1" customFormat="1" spans="1:6">
      <c r="A99" s="3" t="s">
        <v>812</v>
      </c>
      <c r="B99" s="4">
        <v>8632</v>
      </c>
      <c r="C99" s="3" t="s">
        <v>747</v>
      </c>
      <c r="D99" s="3" t="s">
        <v>813</v>
      </c>
      <c r="E99" s="5">
        <v>214.4134123569</v>
      </c>
      <c r="F99" s="5">
        <v>4</v>
      </c>
    </row>
    <row r="100" s="1" customFormat="1" spans="1:6">
      <c r="A100" s="3" t="s">
        <v>812</v>
      </c>
      <c r="B100" s="4">
        <v>8632</v>
      </c>
      <c r="C100" s="3" t="s">
        <v>747</v>
      </c>
      <c r="D100" s="3" t="s">
        <v>813</v>
      </c>
      <c r="E100" s="5">
        <v>74.94690265487</v>
      </c>
      <c r="F100" s="5">
        <v>3</v>
      </c>
    </row>
    <row r="101" s="1" customFormat="1" spans="1:6">
      <c r="A101" s="3" t="s">
        <v>812</v>
      </c>
      <c r="B101" s="4">
        <v>8633</v>
      </c>
      <c r="C101" s="3" t="s">
        <v>745</v>
      </c>
      <c r="D101" s="3" t="s">
        <v>813</v>
      </c>
      <c r="E101" s="5">
        <v>77.69911504424</v>
      </c>
      <c r="F101" s="5">
        <v>2</v>
      </c>
    </row>
    <row r="102" s="1" customFormat="1" spans="1:6">
      <c r="A102" s="3" t="s">
        <v>812</v>
      </c>
      <c r="B102" s="4">
        <v>8633</v>
      </c>
      <c r="C102" s="3" t="s">
        <v>745</v>
      </c>
      <c r="D102" s="3" t="s">
        <v>813</v>
      </c>
      <c r="E102" s="5">
        <v>117.40440042216</v>
      </c>
      <c r="F102" s="5">
        <v>4</v>
      </c>
    </row>
    <row r="103" s="1" customFormat="1" spans="1:6">
      <c r="A103" s="3" t="s">
        <v>812</v>
      </c>
      <c r="B103" s="4">
        <v>8634</v>
      </c>
      <c r="C103" s="3" t="s">
        <v>760</v>
      </c>
      <c r="D103" s="3" t="s">
        <v>813</v>
      </c>
      <c r="E103" s="5">
        <v>92.0353982301</v>
      </c>
      <c r="F103" s="5">
        <v>2</v>
      </c>
    </row>
    <row r="104" s="1" customFormat="1" spans="1:6">
      <c r="A104" s="3" t="s">
        <v>812</v>
      </c>
      <c r="B104" s="4">
        <v>8634</v>
      </c>
      <c r="C104" s="3" t="s">
        <v>760</v>
      </c>
      <c r="D104" s="3" t="s">
        <v>813</v>
      </c>
      <c r="E104" s="5">
        <v>120.72566371681</v>
      </c>
      <c r="F104" s="5">
        <v>5</v>
      </c>
    </row>
    <row r="105" s="1" customFormat="1" spans="1:6">
      <c r="A105" s="3" t="s">
        <v>812</v>
      </c>
      <c r="B105" s="4">
        <v>8637</v>
      </c>
      <c r="C105" s="3" t="s">
        <v>588</v>
      </c>
      <c r="D105" s="3" t="s">
        <v>813</v>
      </c>
      <c r="E105" s="5">
        <v>52.92035398232</v>
      </c>
      <c r="F105" s="5">
        <v>1</v>
      </c>
    </row>
    <row r="106" s="1" customFormat="1" spans="1:6">
      <c r="A106" s="3" t="s">
        <v>812</v>
      </c>
      <c r="B106" s="4">
        <v>8637</v>
      </c>
      <c r="C106" s="3" t="s">
        <v>588</v>
      </c>
      <c r="D106" s="3" t="s">
        <v>813</v>
      </c>
      <c r="E106" s="5">
        <v>69.92920353983</v>
      </c>
      <c r="F106" s="5">
        <v>3</v>
      </c>
    </row>
    <row r="107" s="1" customFormat="1" spans="1:6">
      <c r="A107" s="3" t="s">
        <v>812</v>
      </c>
      <c r="B107" s="4">
        <v>8638</v>
      </c>
      <c r="C107" s="3" t="s">
        <v>778</v>
      </c>
      <c r="D107" s="3" t="s">
        <v>813</v>
      </c>
      <c r="E107" s="5">
        <v>267.81870585367</v>
      </c>
      <c r="F107" s="5">
        <v>7</v>
      </c>
    </row>
    <row r="108" s="1" customFormat="1" spans="1:6">
      <c r="A108" s="3" t="s">
        <v>812</v>
      </c>
      <c r="B108" s="4">
        <v>8638</v>
      </c>
      <c r="C108" s="3" t="s">
        <v>778</v>
      </c>
      <c r="D108" s="3" t="s">
        <v>813</v>
      </c>
      <c r="E108" s="5">
        <v>10.26548672565</v>
      </c>
      <c r="F108" s="5">
        <v>1</v>
      </c>
    </row>
    <row r="109" s="1" customFormat="1" spans="1:6">
      <c r="A109" s="3" t="s">
        <v>812</v>
      </c>
      <c r="B109" s="4">
        <v>8642</v>
      </c>
      <c r="C109" s="3" t="s">
        <v>782</v>
      </c>
      <c r="D109" s="3" t="s">
        <v>813</v>
      </c>
      <c r="E109" s="5">
        <v>47.32743362832</v>
      </c>
      <c r="F109" s="5">
        <v>1</v>
      </c>
    </row>
    <row r="110" s="1" customFormat="1" spans="1:6">
      <c r="A110" s="3" t="s">
        <v>812</v>
      </c>
      <c r="B110" s="4">
        <v>8642</v>
      </c>
      <c r="C110" s="3" t="s">
        <v>782</v>
      </c>
      <c r="D110" s="3" t="s">
        <v>813</v>
      </c>
      <c r="E110" s="5">
        <v>77.69838434683</v>
      </c>
      <c r="F110" s="5">
        <v>2</v>
      </c>
    </row>
    <row r="111" s="1" customFormat="1" spans="1:6">
      <c r="A111" s="3" t="s">
        <v>812</v>
      </c>
      <c r="B111" s="4">
        <v>8645</v>
      </c>
      <c r="C111" s="3" t="s">
        <v>774</v>
      </c>
      <c r="D111" s="3" t="s">
        <v>813</v>
      </c>
      <c r="E111" s="5">
        <v>37.15596330275</v>
      </c>
      <c r="F111" s="5">
        <v>1</v>
      </c>
    </row>
    <row r="112" s="1" customFormat="1" spans="1:6">
      <c r="A112" s="3" t="s">
        <v>812</v>
      </c>
      <c r="B112" s="4">
        <v>8645</v>
      </c>
      <c r="C112" s="3" t="s">
        <v>774</v>
      </c>
      <c r="D112" s="3" t="s">
        <v>813</v>
      </c>
      <c r="E112" s="5">
        <v>52.65486725663</v>
      </c>
      <c r="F112" s="5">
        <v>1</v>
      </c>
    </row>
    <row r="113" s="1" customFormat="1" spans="1:6">
      <c r="A113" s="3" t="s">
        <v>812</v>
      </c>
      <c r="B113" s="4">
        <v>8646</v>
      </c>
      <c r="C113" s="3" t="s">
        <v>764</v>
      </c>
      <c r="D113" s="3" t="s">
        <v>813</v>
      </c>
      <c r="E113" s="5">
        <v>233.81277908583</v>
      </c>
      <c r="F113" s="5">
        <v>3</v>
      </c>
    </row>
    <row r="114" s="1" customFormat="1" spans="1:6">
      <c r="A114" s="3" t="s">
        <v>812</v>
      </c>
      <c r="B114" s="4">
        <v>8646</v>
      </c>
      <c r="C114" s="3" t="s">
        <v>764</v>
      </c>
      <c r="D114" s="3" t="s">
        <v>813</v>
      </c>
      <c r="E114" s="5">
        <v>18.93805309735</v>
      </c>
      <c r="F114" s="5">
        <v>1</v>
      </c>
    </row>
    <row r="115" s="1" customFormat="1" spans="1:6">
      <c r="A115" s="3" t="s">
        <v>812</v>
      </c>
      <c r="B115" s="4">
        <v>8647</v>
      </c>
      <c r="C115" s="3" t="s">
        <v>595</v>
      </c>
      <c r="D115" s="3" t="s">
        <v>813</v>
      </c>
      <c r="E115" s="5">
        <v>41.01769911504</v>
      </c>
      <c r="F115" s="5">
        <v>1</v>
      </c>
    </row>
    <row r="116" s="1" customFormat="1" spans="1:6">
      <c r="A116" s="3" t="s">
        <v>812</v>
      </c>
      <c r="B116" s="4">
        <v>8651</v>
      </c>
      <c r="C116" s="3" t="s">
        <v>787</v>
      </c>
      <c r="D116" s="3" t="s">
        <v>813</v>
      </c>
      <c r="E116" s="5">
        <v>151.23893805309</v>
      </c>
      <c r="F116" s="5">
        <v>4</v>
      </c>
    </row>
    <row r="117" s="1" customFormat="1" spans="1:6">
      <c r="A117" s="3" t="s">
        <v>812</v>
      </c>
      <c r="B117" s="4">
        <v>8654</v>
      </c>
      <c r="C117" s="3" t="s">
        <v>706</v>
      </c>
      <c r="D117" s="3" t="s">
        <v>813</v>
      </c>
      <c r="E117" s="5">
        <v>42.83185840708</v>
      </c>
      <c r="F117" s="5">
        <v>1</v>
      </c>
    </row>
    <row r="118" s="1" customFormat="1" spans="1:6">
      <c r="A118" s="3" t="s">
        <v>812</v>
      </c>
      <c r="B118" s="4">
        <v>8654</v>
      </c>
      <c r="C118" s="3" t="s">
        <v>706</v>
      </c>
      <c r="D118" s="3" t="s">
        <v>813</v>
      </c>
      <c r="E118" s="5">
        <v>259.92035398224</v>
      </c>
      <c r="F118" s="5">
        <v>15</v>
      </c>
    </row>
    <row r="119" s="1" customFormat="1" spans="1:6">
      <c r="A119" s="3" t="s">
        <v>812</v>
      </c>
      <c r="B119" s="4">
        <v>8655</v>
      </c>
      <c r="C119" s="3" t="s">
        <v>611</v>
      </c>
      <c r="D119" s="3" t="s">
        <v>813</v>
      </c>
      <c r="E119" s="5">
        <v>120.22245676705</v>
      </c>
      <c r="F119" s="5">
        <v>2</v>
      </c>
    </row>
    <row r="120" s="1" customFormat="1" spans="1:6">
      <c r="A120" s="3" t="s">
        <v>812</v>
      </c>
      <c r="B120" s="4">
        <v>8655</v>
      </c>
      <c r="C120" s="3" t="s">
        <v>611</v>
      </c>
      <c r="D120" s="3" t="s">
        <v>813</v>
      </c>
      <c r="E120" s="5">
        <v>394.07079646016</v>
      </c>
      <c r="F120" s="5">
        <v>9</v>
      </c>
    </row>
    <row r="121" s="1" customFormat="1" spans="1:6">
      <c r="A121" s="3" t="s">
        <v>812</v>
      </c>
      <c r="B121" s="4">
        <v>8656</v>
      </c>
      <c r="C121" s="3" t="s">
        <v>779</v>
      </c>
      <c r="D121" s="3" t="s">
        <v>813</v>
      </c>
      <c r="E121" s="5">
        <v>142.61061946901</v>
      </c>
      <c r="F121" s="5">
        <v>3</v>
      </c>
    </row>
    <row r="122" s="1" customFormat="1" spans="1:6">
      <c r="A122" s="3" t="s">
        <v>812</v>
      </c>
      <c r="B122" s="4">
        <v>8657</v>
      </c>
      <c r="C122" s="3" t="s">
        <v>766</v>
      </c>
      <c r="D122" s="3" t="s">
        <v>813</v>
      </c>
      <c r="E122" s="5">
        <v>28.93805309733</v>
      </c>
      <c r="F122" s="5">
        <v>2</v>
      </c>
    </row>
    <row r="123" s="1" customFormat="1" spans="1:6">
      <c r="A123" s="3" t="s">
        <v>812</v>
      </c>
      <c r="B123" s="4">
        <v>8658</v>
      </c>
      <c r="C123" s="3" t="s">
        <v>711</v>
      </c>
      <c r="D123" s="3" t="s">
        <v>813</v>
      </c>
      <c r="E123" s="5">
        <v>133.80530973452</v>
      </c>
      <c r="F123" s="5">
        <v>3</v>
      </c>
    </row>
    <row r="124" s="1" customFormat="1" spans="1:6">
      <c r="A124" s="3" t="s">
        <v>812</v>
      </c>
      <c r="B124" s="4">
        <v>8658</v>
      </c>
      <c r="C124" s="3" t="s">
        <v>711</v>
      </c>
      <c r="D124" s="3" t="s">
        <v>813</v>
      </c>
      <c r="E124" s="5">
        <v>296.08849557522</v>
      </c>
      <c r="F124" s="5">
        <v>10</v>
      </c>
    </row>
    <row r="125" s="1" customFormat="1" spans="1:6">
      <c r="A125" s="3" t="s">
        <v>812</v>
      </c>
      <c r="B125" s="4">
        <v>8659</v>
      </c>
      <c r="C125" s="3" t="s">
        <v>730</v>
      </c>
      <c r="D125" s="3" t="s">
        <v>813</v>
      </c>
      <c r="E125" s="5">
        <v>56.63716814159</v>
      </c>
      <c r="F125" s="5">
        <v>1</v>
      </c>
    </row>
    <row r="126" s="1" customFormat="1" spans="1:6">
      <c r="A126" s="3" t="s">
        <v>812</v>
      </c>
      <c r="B126" s="4">
        <v>8659</v>
      </c>
      <c r="C126" s="3" t="s">
        <v>730</v>
      </c>
      <c r="D126" s="3" t="s">
        <v>813</v>
      </c>
      <c r="E126" s="5">
        <v>394.26849070391</v>
      </c>
      <c r="F126" s="5">
        <v>14</v>
      </c>
    </row>
    <row r="127" s="1" customFormat="1" spans="1:6">
      <c r="A127" s="3" t="s">
        <v>812</v>
      </c>
      <c r="B127" s="4">
        <v>8661</v>
      </c>
      <c r="C127" s="3" t="s">
        <v>623</v>
      </c>
      <c r="D127" s="3" t="s">
        <v>813</v>
      </c>
      <c r="E127" s="5">
        <v>55.39823008848</v>
      </c>
      <c r="F127" s="5">
        <v>2</v>
      </c>
    </row>
    <row r="128" s="1" customFormat="1" spans="1:6">
      <c r="A128" s="3" t="s">
        <v>812</v>
      </c>
      <c r="B128" s="4">
        <v>8661</v>
      </c>
      <c r="C128" s="3" t="s">
        <v>623</v>
      </c>
      <c r="D128" s="3" t="s">
        <v>813</v>
      </c>
      <c r="E128" s="5">
        <v>42.60176991149</v>
      </c>
      <c r="F128" s="5">
        <v>3</v>
      </c>
    </row>
    <row r="129" s="1" customFormat="1" spans="1:6">
      <c r="A129" s="3" t="s">
        <v>812</v>
      </c>
      <c r="B129" s="4">
        <v>8664</v>
      </c>
      <c r="C129" s="3" t="s">
        <v>781</v>
      </c>
      <c r="D129" s="3" t="s">
        <v>813</v>
      </c>
      <c r="E129" s="5">
        <v>199.02654867254</v>
      </c>
      <c r="F129" s="5">
        <v>10</v>
      </c>
    </row>
    <row r="130" s="1" customFormat="1" spans="1:6">
      <c r="A130" s="3" t="s">
        <v>812</v>
      </c>
      <c r="B130" s="4">
        <v>8665</v>
      </c>
      <c r="C130" s="3" t="s">
        <v>783</v>
      </c>
      <c r="D130" s="3" t="s">
        <v>813</v>
      </c>
      <c r="E130" s="5">
        <v>151.9347243647</v>
      </c>
      <c r="F130" s="5">
        <v>3</v>
      </c>
    </row>
    <row r="131" s="1" customFormat="1" spans="1:6">
      <c r="A131" s="3" t="s">
        <v>812</v>
      </c>
      <c r="B131" s="4">
        <v>8668</v>
      </c>
      <c r="C131" s="3" t="s">
        <v>710</v>
      </c>
      <c r="D131" s="3" t="s">
        <v>813</v>
      </c>
      <c r="E131" s="5">
        <v>74.69026548673</v>
      </c>
      <c r="F131" s="5">
        <v>1</v>
      </c>
    </row>
    <row r="132" s="1" customFormat="1" spans="1:6">
      <c r="A132" s="3" t="s">
        <v>812</v>
      </c>
      <c r="B132" s="4">
        <v>8671</v>
      </c>
      <c r="C132" s="3" t="s">
        <v>598</v>
      </c>
      <c r="D132" s="3" t="s">
        <v>813</v>
      </c>
      <c r="E132" s="5">
        <v>172.24104895669</v>
      </c>
      <c r="F132" s="5">
        <v>4</v>
      </c>
    </row>
    <row r="133" s="1" customFormat="1" spans="1:6">
      <c r="A133" s="3" t="s">
        <v>812</v>
      </c>
      <c r="B133" s="4">
        <v>8671</v>
      </c>
      <c r="C133" s="3" t="s">
        <v>598</v>
      </c>
      <c r="D133" s="3" t="s">
        <v>813</v>
      </c>
      <c r="E133" s="5">
        <v>67.78761061947</v>
      </c>
      <c r="F133" s="5">
        <v>2</v>
      </c>
    </row>
    <row r="134" s="1" customFormat="1" spans="1:6">
      <c r="A134" s="3" t="s">
        <v>812</v>
      </c>
      <c r="B134" s="4">
        <v>8671</v>
      </c>
      <c r="C134" s="3" t="s">
        <v>598</v>
      </c>
      <c r="D134" s="3" t="s">
        <v>17</v>
      </c>
      <c r="E134" s="5">
        <v>68.71884387433</v>
      </c>
      <c r="F134" s="5">
        <v>1</v>
      </c>
    </row>
    <row r="135" s="1" customFormat="1" spans="1:6">
      <c r="A135" s="3" t="s">
        <v>812</v>
      </c>
      <c r="B135" s="4">
        <v>8674</v>
      </c>
      <c r="C135" s="3" t="s">
        <v>701</v>
      </c>
      <c r="D135" s="3" t="s">
        <v>813</v>
      </c>
      <c r="E135" s="5">
        <v>27.38938053097</v>
      </c>
      <c r="F135" s="5">
        <v>1</v>
      </c>
    </row>
    <row r="136" s="1" customFormat="1" spans="1:6">
      <c r="A136" s="3" t="s">
        <v>812</v>
      </c>
      <c r="B136" s="4">
        <v>8674</v>
      </c>
      <c r="C136" s="3" t="s">
        <v>701</v>
      </c>
      <c r="D136" s="3" t="s">
        <v>813</v>
      </c>
      <c r="E136" s="5">
        <v>35.30973451327</v>
      </c>
      <c r="F136" s="5">
        <v>1</v>
      </c>
    </row>
    <row r="137" s="1" customFormat="1" spans="1:6">
      <c r="A137" s="3" t="s">
        <v>812</v>
      </c>
      <c r="B137" s="4">
        <v>8677</v>
      </c>
      <c r="C137" s="3" t="s">
        <v>735</v>
      </c>
      <c r="D137" s="3" t="s">
        <v>813</v>
      </c>
      <c r="E137" s="5">
        <v>59.91150442476</v>
      </c>
      <c r="F137" s="5">
        <v>2</v>
      </c>
    </row>
    <row r="138" s="1" customFormat="1" spans="1:6">
      <c r="A138" s="3" t="s">
        <v>812</v>
      </c>
      <c r="B138" s="4">
        <v>8677</v>
      </c>
      <c r="C138" s="3" t="s">
        <v>735</v>
      </c>
      <c r="D138" s="3" t="s">
        <v>813</v>
      </c>
      <c r="E138" s="5">
        <v>90.99115044248</v>
      </c>
      <c r="F138" s="5">
        <v>2</v>
      </c>
    </row>
    <row r="139" s="1" customFormat="1" spans="1:6">
      <c r="A139" s="3" t="s">
        <v>812</v>
      </c>
      <c r="B139" s="4">
        <v>8678</v>
      </c>
      <c r="C139" s="3" t="s">
        <v>757</v>
      </c>
      <c r="D139" s="3" t="s">
        <v>813</v>
      </c>
      <c r="E139" s="5">
        <v>29.55752212389</v>
      </c>
      <c r="F139" s="5">
        <v>1</v>
      </c>
    </row>
    <row r="140" s="1" customFormat="1" spans="1:6">
      <c r="A140" s="3" t="s">
        <v>812</v>
      </c>
      <c r="B140" s="4">
        <v>8680</v>
      </c>
      <c r="C140" s="3" t="s">
        <v>800</v>
      </c>
      <c r="D140" s="3" t="s">
        <v>813</v>
      </c>
      <c r="E140" s="5">
        <v>179.46902654865</v>
      </c>
      <c r="F140" s="5">
        <v>4</v>
      </c>
    </row>
    <row r="141" s="1" customFormat="1" spans="1:6">
      <c r="A141" s="3" t="s">
        <v>812</v>
      </c>
      <c r="B141" s="4">
        <v>8680</v>
      </c>
      <c r="C141" s="3" t="s">
        <v>800</v>
      </c>
      <c r="D141" s="3" t="s">
        <v>813</v>
      </c>
      <c r="E141" s="5">
        <v>71.15044247786</v>
      </c>
      <c r="F141" s="5">
        <v>3</v>
      </c>
    </row>
    <row r="142" s="1" customFormat="1" spans="1:6">
      <c r="A142" s="3" t="s">
        <v>812</v>
      </c>
      <c r="B142" s="4">
        <v>8681</v>
      </c>
      <c r="C142" s="3" t="s">
        <v>616</v>
      </c>
      <c r="D142" s="3" t="s">
        <v>813</v>
      </c>
      <c r="E142" s="5">
        <v>143.74336283185</v>
      </c>
      <c r="F142" s="5">
        <v>4</v>
      </c>
    </row>
    <row r="143" s="1" customFormat="1" spans="1:6">
      <c r="A143" s="3" t="s">
        <v>812</v>
      </c>
      <c r="B143" s="4">
        <v>8681</v>
      </c>
      <c r="C143" s="3" t="s">
        <v>616</v>
      </c>
      <c r="D143" s="3" t="s">
        <v>813</v>
      </c>
      <c r="E143" s="5">
        <v>1484.33628318582</v>
      </c>
      <c r="F143" s="5">
        <v>49</v>
      </c>
    </row>
    <row r="144" s="1" customFormat="1" spans="1:6">
      <c r="A144" s="3" t="s">
        <v>812</v>
      </c>
      <c r="B144" s="4">
        <v>8682</v>
      </c>
      <c r="C144" s="3" t="s">
        <v>803</v>
      </c>
      <c r="D144" s="3" t="s">
        <v>813</v>
      </c>
      <c r="E144" s="5">
        <v>323.94950069007</v>
      </c>
      <c r="F144" s="5">
        <v>3</v>
      </c>
    </row>
    <row r="145" s="1" customFormat="1" spans="1:6">
      <c r="A145" s="3" t="s">
        <v>812</v>
      </c>
      <c r="B145" s="4">
        <v>8684</v>
      </c>
      <c r="C145" s="3" t="s">
        <v>709</v>
      </c>
      <c r="D145" s="3" t="s">
        <v>813</v>
      </c>
      <c r="E145" s="5">
        <v>86.90265486723</v>
      </c>
      <c r="F145" s="5">
        <v>2</v>
      </c>
    </row>
    <row r="146" s="1" customFormat="1" spans="1:6">
      <c r="A146" s="3" t="s">
        <v>812</v>
      </c>
      <c r="B146" s="4">
        <v>8684</v>
      </c>
      <c r="C146" s="3" t="s">
        <v>709</v>
      </c>
      <c r="D146" s="3" t="s">
        <v>813</v>
      </c>
      <c r="E146" s="5">
        <v>18.9203539823</v>
      </c>
      <c r="F146" s="5">
        <v>1</v>
      </c>
    </row>
    <row r="147" s="1" customFormat="1" spans="1:6">
      <c r="A147" s="3" t="s">
        <v>812</v>
      </c>
      <c r="B147" s="4">
        <v>8685</v>
      </c>
      <c r="C147" s="3" t="s">
        <v>739</v>
      </c>
      <c r="D147" s="3" t="s">
        <v>813</v>
      </c>
      <c r="E147" s="5">
        <v>91.94690265486</v>
      </c>
      <c r="F147" s="5">
        <v>2</v>
      </c>
    </row>
    <row r="148" s="1" customFormat="1" spans="1:6">
      <c r="A148" s="3" t="s">
        <v>812</v>
      </c>
      <c r="B148" s="4">
        <v>8686</v>
      </c>
      <c r="C148" s="3" t="s">
        <v>738</v>
      </c>
      <c r="D148" s="3" t="s">
        <v>813</v>
      </c>
      <c r="E148" s="5">
        <v>96.72566371679</v>
      </c>
      <c r="F148" s="5">
        <v>2</v>
      </c>
    </row>
    <row r="149" s="1" customFormat="1" spans="1:6">
      <c r="A149" s="3" t="s">
        <v>812</v>
      </c>
      <c r="B149" s="4">
        <v>8686</v>
      </c>
      <c r="C149" s="3" t="s">
        <v>738</v>
      </c>
      <c r="D149" s="3" t="s">
        <v>17</v>
      </c>
      <c r="E149" s="5">
        <v>70.88495575221</v>
      </c>
      <c r="F149" s="5">
        <v>1</v>
      </c>
    </row>
    <row r="150" s="1" customFormat="1" spans="1:6">
      <c r="A150" s="3" t="s">
        <v>812</v>
      </c>
      <c r="B150" s="4">
        <v>8687</v>
      </c>
      <c r="C150" s="3" t="s">
        <v>804</v>
      </c>
      <c r="D150" s="3" t="s">
        <v>813</v>
      </c>
      <c r="E150" s="5">
        <v>78.4955752212</v>
      </c>
      <c r="F150" s="5">
        <v>3</v>
      </c>
    </row>
    <row r="151" s="1" customFormat="1" spans="1:6">
      <c r="A151" s="3" t="s">
        <v>812</v>
      </c>
      <c r="B151" s="4">
        <v>8687</v>
      </c>
      <c r="C151" s="3" t="s">
        <v>804</v>
      </c>
      <c r="D151" s="3" t="s">
        <v>813</v>
      </c>
      <c r="E151" s="5">
        <v>70.70796460176</v>
      </c>
      <c r="F151" s="5">
        <v>2</v>
      </c>
    </row>
    <row r="152" s="1" customFormat="1" spans="1:6">
      <c r="A152" s="3" t="s">
        <v>812</v>
      </c>
      <c r="B152" s="4">
        <v>8690</v>
      </c>
      <c r="C152" s="3" t="s">
        <v>793</v>
      </c>
      <c r="D152" s="3" t="s">
        <v>17</v>
      </c>
      <c r="E152" s="5">
        <v>88.07339449541</v>
      </c>
      <c r="F152" s="5">
        <v>1</v>
      </c>
    </row>
    <row r="153" s="1" customFormat="1" spans="1:6">
      <c r="A153" s="3" t="s">
        <v>812</v>
      </c>
      <c r="B153" s="4">
        <v>8691</v>
      </c>
      <c r="C153" s="3" t="s">
        <v>602</v>
      </c>
      <c r="D153" s="3" t="s">
        <v>813</v>
      </c>
      <c r="E153" s="5">
        <v>178.56702119021</v>
      </c>
      <c r="F153" s="5">
        <v>5</v>
      </c>
    </row>
    <row r="154" s="1" customFormat="1" spans="1:6">
      <c r="A154" s="3" t="s">
        <v>812</v>
      </c>
      <c r="B154" s="4">
        <v>8691</v>
      </c>
      <c r="C154" s="3" t="s">
        <v>602</v>
      </c>
      <c r="D154" s="3" t="s">
        <v>813</v>
      </c>
      <c r="E154" s="5">
        <v>607.96549484444</v>
      </c>
      <c r="F154" s="5">
        <v>16</v>
      </c>
    </row>
    <row r="155" s="1" customFormat="1" spans="1:6">
      <c r="A155" s="3" t="s">
        <v>812</v>
      </c>
      <c r="B155" s="4">
        <v>8692</v>
      </c>
      <c r="C155" s="3" t="s">
        <v>700</v>
      </c>
      <c r="D155" s="3" t="s">
        <v>813</v>
      </c>
      <c r="E155" s="5">
        <v>118.6017699115</v>
      </c>
      <c r="F155" s="5">
        <v>3</v>
      </c>
    </row>
    <row r="156" s="1" customFormat="1" spans="1:6">
      <c r="A156" s="3" t="s">
        <v>812</v>
      </c>
      <c r="B156" s="4">
        <v>8692</v>
      </c>
      <c r="C156" s="3" t="s">
        <v>700</v>
      </c>
      <c r="D156" s="3" t="s">
        <v>813</v>
      </c>
      <c r="E156" s="5">
        <v>55.08849557523</v>
      </c>
      <c r="F156" s="5">
        <v>2</v>
      </c>
    </row>
    <row r="157" s="1" customFormat="1" spans="1:6">
      <c r="A157" s="3" t="s">
        <v>812</v>
      </c>
      <c r="B157" s="4">
        <v>8693</v>
      </c>
      <c r="C157" s="3" t="s">
        <v>736</v>
      </c>
      <c r="D157" s="3" t="s">
        <v>813</v>
      </c>
      <c r="E157" s="5">
        <v>58.93805309735</v>
      </c>
      <c r="F157" s="5">
        <v>1</v>
      </c>
    </row>
    <row r="158" s="1" customFormat="1" spans="1:6">
      <c r="A158" s="3" t="s">
        <v>812</v>
      </c>
      <c r="B158" s="4">
        <v>8693</v>
      </c>
      <c r="C158" s="3" t="s">
        <v>736</v>
      </c>
      <c r="D158" s="3" t="s">
        <v>813</v>
      </c>
      <c r="E158" s="5">
        <v>53.09734513274</v>
      </c>
      <c r="F158" s="5">
        <v>1</v>
      </c>
    </row>
    <row r="159" s="1" customFormat="1" spans="1:6">
      <c r="A159" s="3" t="s">
        <v>812</v>
      </c>
      <c r="B159" s="4">
        <v>8694</v>
      </c>
      <c r="C159" s="3" t="s">
        <v>799</v>
      </c>
      <c r="D159" s="3" t="s">
        <v>813</v>
      </c>
      <c r="E159" s="5">
        <v>336.70374279449</v>
      </c>
      <c r="F159" s="5">
        <v>5</v>
      </c>
    </row>
    <row r="160" s="1" customFormat="1" spans="1:6">
      <c r="A160" s="3" t="s">
        <v>812</v>
      </c>
      <c r="B160" s="4">
        <v>8694</v>
      </c>
      <c r="C160" s="3" t="s">
        <v>799</v>
      </c>
      <c r="D160" s="3" t="s">
        <v>813</v>
      </c>
      <c r="E160" s="5">
        <v>23.09734513274</v>
      </c>
      <c r="F160" s="5">
        <v>2</v>
      </c>
    </row>
    <row r="161" s="1" customFormat="1" spans="1:6">
      <c r="A161" s="3" t="s">
        <v>812</v>
      </c>
      <c r="B161" s="4">
        <v>8695</v>
      </c>
      <c r="C161" s="3" t="s">
        <v>609</v>
      </c>
      <c r="D161" s="3" t="s">
        <v>813</v>
      </c>
      <c r="E161" s="5">
        <v>77.07964601771</v>
      </c>
      <c r="F161" s="5">
        <v>2</v>
      </c>
    </row>
    <row r="162" s="1" customFormat="1" spans="1:6">
      <c r="A162" s="3" t="s">
        <v>812</v>
      </c>
      <c r="B162" s="4">
        <v>8695</v>
      </c>
      <c r="C162" s="3" t="s">
        <v>609</v>
      </c>
      <c r="D162" s="3" t="s">
        <v>813</v>
      </c>
      <c r="E162" s="5">
        <v>286.46017699113</v>
      </c>
      <c r="F162" s="5">
        <v>6</v>
      </c>
    </row>
    <row r="163" s="1" customFormat="1" spans="1:6">
      <c r="A163" s="3" t="s">
        <v>812</v>
      </c>
      <c r="B163" s="4">
        <v>8696</v>
      </c>
      <c r="C163" s="3" t="s">
        <v>777</v>
      </c>
      <c r="D163" s="3" t="s">
        <v>813</v>
      </c>
      <c r="E163" s="5">
        <v>281.1983437525</v>
      </c>
      <c r="F163" s="5">
        <v>9</v>
      </c>
    </row>
    <row r="164" s="1" customFormat="1" spans="1:6">
      <c r="A164" s="3" t="s">
        <v>812</v>
      </c>
      <c r="B164" s="4">
        <v>8697</v>
      </c>
      <c r="C164" s="3" t="s">
        <v>603</v>
      </c>
      <c r="D164" s="3" t="s">
        <v>813</v>
      </c>
      <c r="E164" s="5">
        <v>185.69643582041</v>
      </c>
      <c r="F164" s="5">
        <v>5</v>
      </c>
    </row>
    <row r="165" s="1" customFormat="1" spans="1:6">
      <c r="A165" s="3" t="s">
        <v>812</v>
      </c>
      <c r="B165" s="4">
        <v>8698</v>
      </c>
      <c r="C165" s="3" t="s">
        <v>751</v>
      </c>
      <c r="D165" s="3" t="s">
        <v>813</v>
      </c>
      <c r="E165" s="5">
        <v>34.51327433629</v>
      </c>
      <c r="F165" s="5">
        <v>1</v>
      </c>
    </row>
    <row r="166" s="1" customFormat="1" spans="1:6">
      <c r="A166" s="3" t="s">
        <v>812</v>
      </c>
      <c r="B166" s="4">
        <v>8698</v>
      </c>
      <c r="C166" s="3" t="s">
        <v>751</v>
      </c>
      <c r="D166" s="3" t="s">
        <v>813</v>
      </c>
      <c r="E166" s="5">
        <v>209.20353982299</v>
      </c>
      <c r="F166" s="5">
        <v>10</v>
      </c>
    </row>
    <row r="167" s="1" customFormat="1" spans="1:6">
      <c r="A167" s="3" t="s">
        <v>812</v>
      </c>
      <c r="B167" s="4">
        <v>8700</v>
      </c>
      <c r="C167" s="3" t="s">
        <v>591</v>
      </c>
      <c r="D167" s="3" t="s">
        <v>813</v>
      </c>
      <c r="E167" s="5">
        <v>65.88495575223</v>
      </c>
      <c r="F167" s="5">
        <v>2</v>
      </c>
    </row>
    <row r="168" s="1" customFormat="1" spans="1:6">
      <c r="A168" s="3" t="s">
        <v>812</v>
      </c>
      <c r="B168" s="4">
        <v>8704</v>
      </c>
      <c r="C168" s="3" t="s">
        <v>719</v>
      </c>
      <c r="D168" s="3" t="s">
        <v>813</v>
      </c>
      <c r="E168" s="5">
        <v>61.8053097345</v>
      </c>
      <c r="F168" s="5">
        <v>1</v>
      </c>
    </row>
    <row r="169" s="1" customFormat="1" spans="1:6">
      <c r="A169" s="3" t="s">
        <v>812</v>
      </c>
      <c r="B169" s="4">
        <v>8704</v>
      </c>
      <c r="C169" s="3" t="s">
        <v>719</v>
      </c>
      <c r="D169" s="3" t="s">
        <v>813</v>
      </c>
      <c r="E169" s="5">
        <v>158.14159292033</v>
      </c>
      <c r="F169" s="5">
        <v>8</v>
      </c>
    </row>
    <row r="170" s="1" customFormat="1" spans="1:6">
      <c r="A170" s="3" t="s">
        <v>812</v>
      </c>
      <c r="B170" s="4">
        <v>8705</v>
      </c>
      <c r="C170" s="3" t="s">
        <v>716</v>
      </c>
      <c r="D170" s="3" t="s">
        <v>813</v>
      </c>
      <c r="E170" s="5">
        <v>185.07680441664</v>
      </c>
      <c r="F170" s="5">
        <v>7</v>
      </c>
    </row>
    <row r="171" s="1" customFormat="1" spans="1:6">
      <c r="A171" s="3" t="s">
        <v>812</v>
      </c>
      <c r="B171" s="4">
        <v>8707</v>
      </c>
      <c r="C171" s="3" t="s">
        <v>761</v>
      </c>
      <c r="D171" s="3" t="s">
        <v>813</v>
      </c>
      <c r="E171" s="5">
        <v>191.85840707963</v>
      </c>
      <c r="F171" s="5">
        <v>5</v>
      </c>
    </row>
    <row r="172" s="1" customFormat="1" spans="1:6">
      <c r="A172" s="3" t="s">
        <v>812</v>
      </c>
      <c r="B172" s="4">
        <v>8707</v>
      </c>
      <c r="C172" s="3" t="s">
        <v>761</v>
      </c>
      <c r="D172" s="3" t="s">
        <v>17</v>
      </c>
      <c r="E172" s="5">
        <v>47.78761061947</v>
      </c>
      <c r="F172" s="5">
        <v>1</v>
      </c>
    </row>
    <row r="173" s="1" customFormat="1" spans="1:6">
      <c r="A173" s="3" t="s">
        <v>812</v>
      </c>
      <c r="B173" s="4">
        <v>8709</v>
      </c>
      <c r="C173" s="3" t="s">
        <v>605</v>
      </c>
      <c r="D173" s="3" t="s">
        <v>813</v>
      </c>
      <c r="E173" s="5">
        <v>36.61061946902</v>
      </c>
      <c r="F173" s="5">
        <v>1</v>
      </c>
    </row>
    <row r="174" s="1" customFormat="1" spans="1:6">
      <c r="A174" s="3" t="s">
        <v>812</v>
      </c>
      <c r="B174" s="4">
        <v>8709</v>
      </c>
      <c r="C174" s="3" t="s">
        <v>605</v>
      </c>
      <c r="D174" s="3" t="s">
        <v>813</v>
      </c>
      <c r="E174" s="5">
        <v>79.20353982301</v>
      </c>
      <c r="F174" s="5">
        <v>5</v>
      </c>
    </row>
    <row r="175" s="1" customFormat="1" spans="1:6">
      <c r="A175" s="3" t="s">
        <v>812</v>
      </c>
      <c r="B175" s="4">
        <v>8710</v>
      </c>
      <c r="C175" s="3" t="s">
        <v>737</v>
      </c>
      <c r="D175" s="3" t="s">
        <v>813</v>
      </c>
      <c r="E175" s="5">
        <v>128.23008849556</v>
      </c>
      <c r="F175" s="5">
        <v>1</v>
      </c>
    </row>
    <row r="176" s="1" customFormat="1" spans="1:6">
      <c r="A176" s="3" t="s">
        <v>812</v>
      </c>
      <c r="B176" s="4">
        <v>8710</v>
      </c>
      <c r="C176" s="3" t="s">
        <v>737</v>
      </c>
      <c r="D176" s="3" t="s">
        <v>813</v>
      </c>
      <c r="E176" s="5">
        <v>363.98230088494</v>
      </c>
      <c r="F176" s="5">
        <v>12</v>
      </c>
    </row>
    <row r="177" s="1" customFormat="1" spans="1:6">
      <c r="A177" s="3" t="s">
        <v>812</v>
      </c>
      <c r="B177" s="4">
        <v>8711</v>
      </c>
      <c r="C177" s="3" t="s">
        <v>748</v>
      </c>
      <c r="D177" s="3" t="s">
        <v>813</v>
      </c>
      <c r="E177" s="5">
        <v>69.46902654867</v>
      </c>
      <c r="F177" s="5">
        <v>2</v>
      </c>
    </row>
    <row r="178" s="1" customFormat="1" spans="1:6">
      <c r="A178" s="3" t="s">
        <v>812</v>
      </c>
      <c r="B178" s="4">
        <v>8711</v>
      </c>
      <c r="C178" s="3" t="s">
        <v>748</v>
      </c>
      <c r="D178" s="3" t="s">
        <v>813</v>
      </c>
      <c r="E178" s="5">
        <v>155.73516278308</v>
      </c>
      <c r="F178" s="5">
        <v>9</v>
      </c>
    </row>
    <row r="179" s="1" customFormat="1" spans="1:6">
      <c r="A179" s="3" t="s">
        <v>812</v>
      </c>
      <c r="B179" s="4">
        <v>8713</v>
      </c>
      <c r="C179" s="3" t="s">
        <v>784</v>
      </c>
      <c r="D179" s="3" t="s">
        <v>813</v>
      </c>
      <c r="E179" s="5">
        <v>516.01566939997</v>
      </c>
      <c r="F179" s="5">
        <v>20</v>
      </c>
    </row>
    <row r="180" s="1" customFormat="1" spans="1:6">
      <c r="A180" s="3" t="s">
        <v>812</v>
      </c>
      <c r="B180" s="4">
        <v>8714</v>
      </c>
      <c r="C180" s="3" t="s">
        <v>714</v>
      </c>
      <c r="D180" s="3" t="s">
        <v>813</v>
      </c>
      <c r="E180" s="5">
        <v>55.14159292034</v>
      </c>
      <c r="F180" s="5">
        <v>2</v>
      </c>
    </row>
    <row r="181" s="1" customFormat="1" spans="1:6">
      <c r="A181" s="3" t="s">
        <v>812</v>
      </c>
      <c r="B181" s="4">
        <v>8714</v>
      </c>
      <c r="C181" s="3" t="s">
        <v>714</v>
      </c>
      <c r="D181" s="3" t="s">
        <v>813</v>
      </c>
      <c r="E181" s="5">
        <v>279.83185840709</v>
      </c>
      <c r="F181" s="5">
        <v>5</v>
      </c>
    </row>
    <row r="182" s="1" customFormat="1" spans="1:6">
      <c r="A182" s="3" t="s">
        <v>812</v>
      </c>
      <c r="B182" s="4">
        <v>8715</v>
      </c>
      <c r="C182" s="3" t="s">
        <v>755</v>
      </c>
      <c r="D182" s="3" t="s">
        <v>813</v>
      </c>
      <c r="E182" s="5">
        <v>204.21206462613</v>
      </c>
      <c r="F182" s="5">
        <v>4</v>
      </c>
    </row>
    <row r="183" s="1" customFormat="1" spans="1:6">
      <c r="A183" s="3" t="s">
        <v>812</v>
      </c>
      <c r="B183" s="4">
        <v>8715</v>
      </c>
      <c r="C183" s="3" t="s">
        <v>755</v>
      </c>
      <c r="D183" s="3" t="s">
        <v>813</v>
      </c>
      <c r="E183" s="5">
        <v>36.10619469026</v>
      </c>
      <c r="F183" s="5">
        <v>1</v>
      </c>
    </row>
    <row r="184" s="1" customFormat="1" spans="1:6">
      <c r="A184" s="3" t="s">
        <v>812</v>
      </c>
      <c r="B184" s="4">
        <v>8716</v>
      </c>
      <c r="C184" s="3" t="s">
        <v>780</v>
      </c>
      <c r="D184" s="3" t="s">
        <v>813</v>
      </c>
      <c r="E184" s="5">
        <v>152.25663716816</v>
      </c>
      <c r="F184" s="5">
        <v>1</v>
      </c>
    </row>
    <row r="185" s="1" customFormat="1" spans="1:6">
      <c r="A185" s="3" t="s">
        <v>812</v>
      </c>
      <c r="B185" s="4">
        <v>8716</v>
      </c>
      <c r="C185" s="3" t="s">
        <v>780</v>
      </c>
      <c r="D185" s="3" t="s">
        <v>813</v>
      </c>
      <c r="E185" s="5">
        <v>336.73613704627</v>
      </c>
      <c r="F185" s="5">
        <v>13</v>
      </c>
    </row>
    <row r="186" s="1" customFormat="1" spans="1:6">
      <c r="A186" s="3" t="s">
        <v>812</v>
      </c>
      <c r="B186" s="4">
        <v>8717</v>
      </c>
      <c r="C186" s="3" t="s">
        <v>728</v>
      </c>
      <c r="D186" s="3" t="s">
        <v>813</v>
      </c>
      <c r="E186" s="5">
        <v>113.78761061945</v>
      </c>
      <c r="F186" s="5">
        <v>3</v>
      </c>
    </row>
    <row r="187" s="1" customFormat="1" spans="1:6">
      <c r="A187" s="3" t="s">
        <v>812</v>
      </c>
      <c r="B187" s="4">
        <v>8717</v>
      </c>
      <c r="C187" s="3" t="s">
        <v>728</v>
      </c>
      <c r="D187" s="3" t="s">
        <v>813</v>
      </c>
      <c r="E187" s="5">
        <v>136.84720305268</v>
      </c>
      <c r="F187" s="5">
        <v>3</v>
      </c>
    </row>
    <row r="188" s="1" customFormat="1" spans="1:6">
      <c r="A188" s="3" t="s">
        <v>812</v>
      </c>
      <c r="B188" s="4">
        <v>8719</v>
      </c>
      <c r="C188" s="3" t="s">
        <v>713</v>
      </c>
      <c r="D188" s="3" t="s">
        <v>813</v>
      </c>
      <c r="E188" s="5">
        <v>70.44247787609</v>
      </c>
      <c r="F188" s="5">
        <v>4</v>
      </c>
    </row>
    <row r="189" s="1" customFormat="1" spans="1:6">
      <c r="A189" s="3" t="s">
        <v>812</v>
      </c>
      <c r="B189" s="4">
        <v>8720</v>
      </c>
      <c r="C189" s="3" t="s">
        <v>679</v>
      </c>
      <c r="D189" s="3" t="s">
        <v>813</v>
      </c>
      <c r="E189" s="5">
        <v>172.21238938054</v>
      </c>
      <c r="F189" s="5">
        <v>3</v>
      </c>
    </row>
    <row r="190" s="1" customFormat="1" spans="1:6">
      <c r="A190" s="3" t="s">
        <v>812</v>
      </c>
      <c r="B190" s="4">
        <v>8720</v>
      </c>
      <c r="C190" s="3" t="s">
        <v>679</v>
      </c>
      <c r="D190" s="3" t="s">
        <v>813</v>
      </c>
      <c r="E190" s="5">
        <v>249.13274336282</v>
      </c>
      <c r="F190" s="5">
        <v>12</v>
      </c>
    </row>
    <row r="191" s="1" customFormat="1" spans="1:6">
      <c r="A191" s="3" t="s">
        <v>812</v>
      </c>
      <c r="B191" s="4">
        <v>8720</v>
      </c>
      <c r="C191" s="3" t="s">
        <v>679</v>
      </c>
      <c r="D191" s="3" t="s">
        <v>17</v>
      </c>
      <c r="E191" s="5">
        <v>63.4128440367</v>
      </c>
      <c r="F191" s="5">
        <v>1</v>
      </c>
    </row>
    <row r="192" s="1" customFormat="1" spans="1:6">
      <c r="A192" s="3" t="s">
        <v>812</v>
      </c>
      <c r="B192" s="4">
        <v>8722</v>
      </c>
      <c r="C192" s="3" t="s">
        <v>699</v>
      </c>
      <c r="D192" s="3" t="s">
        <v>813</v>
      </c>
      <c r="E192" s="5">
        <v>102.56637168143</v>
      </c>
      <c r="F192" s="5">
        <v>3</v>
      </c>
    </row>
    <row r="193" s="1" customFormat="1" spans="1:6">
      <c r="A193" s="3" t="s">
        <v>812</v>
      </c>
      <c r="B193" s="4">
        <v>8723</v>
      </c>
      <c r="C193" s="3" t="s">
        <v>773</v>
      </c>
      <c r="D193" s="3" t="s">
        <v>813</v>
      </c>
      <c r="E193" s="5">
        <v>134.3192335796</v>
      </c>
      <c r="F193" s="5">
        <v>4</v>
      </c>
    </row>
    <row r="194" s="1" customFormat="1" spans="1:6">
      <c r="A194" s="3" t="s">
        <v>812</v>
      </c>
      <c r="B194" s="4">
        <v>8724</v>
      </c>
      <c r="C194" s="3" t="s">
        <v>722</v>
      </c>
      <c r="D194" s="3" t="s">
        <v>813</v>
      </c>
      <c r="E194" s="5">
        <v>195.69911504419</v>
      </c>
      <c r="F194" s="5">
        <v>10</v>
      </c>
    </row>
    <row r="195" s="1" customFormat="1" spans="1:6">
      <c r="A195" s="3" t="s">
        <v>812</v>
      </c>
      <c r="B195" s="4">
        <v>8726</v>
      </c>
      <c r="C195" s="3" t="s">
        <v>798</v>
      </c>
      <c r="D195" s="3" t="s">
        <v>813</v>
      </c>
      <c r="E195" s="5">
        <v>53.09734513274</v>
      </c>
      <c r="F195" s="5">
        <v>1</v>
      </c>
    </row>
    <row r="196" s="1" customFormat="1" spans="1:6">
      <c r="A196" s="3" t="s">
        <v>812</v>
      </c>
      <c r="B196" s="4">
        <v>8726</v>
      </c>
      <c r="C196" s="3" t="s">
        <v>798</v>
      </c>
      <c r="D196" s="3" t="s">
        <v>813</v>
      </c>
      <c r="E196" s="5">
        <v>61.58723715191</v>
      </c>
      <c r="F196" s="5">
        <v>2</v>
      </c>
    </row>
    <row r="197" s="1" customFormat="1" spans="1:6">
      <c r="A197" s="3" t="s">
        <v>812</v>
      </c>
      <c r="B197" s="4">
        <v>8729</v>
      </c>
      <c r="C197" s="3" t="s">
        <v>754</v>
      </c>
      <c r="D197" s="3" t="s">
        <v>813</v>
      </c>
      <c r="E197" s="5">
        <v>43.89380530973</v>
      </c>
      <c r="F197" s="5">
        <v>2</v>
      </c>
    </row>
    <row r="198" s="1" customFormat="1" spans="1:6">
      <c r="A198" s="3" t="s">
        <v>812</v>
      </c>
      <c r="B198" s="4">
        <v>8729</v>
      </c>
      <c r="C198" s="3" t="s">
        <v>754</v>
      </c>
      <c r="D198" s="3" t="s">
        <v>813</v>
      </c>
      <c r="E198" s="5">
        <v>220.97345132743</v>
      </c>
      <c r="F198" s="5">
        <v>6</v>
      </c>
    </row>
    <row r="199" s="1" customFormat="1" spans="1:6">
      <c r="A199" s="3" t="s">
        <v>812</v>
      </c>
      <c r="B199" s="4">
        <v>8730</v>
      </c>
      <c r="C199" s="3" t="s">
        <v>749</v>
      </c>
      <c r="D199" s="3" t="s">
        <v>813</v>
      </c>
      <c r="E199" s="5">
        <v>32.03539823009</v>
      </c>
      <c r="F199" s="5">
        <v>1</v>
      </c>
    </row>
    <row r="200" s="1" customFormat="1" spans="1:6">
      <c r="A200" s="3" t="s">
        <v>812</v>
      </c>
      <c r="B200" s="4">
        <v>8730</v>
      </c>
      <c r="C200" s="3" t="s">
        <v>749</v>
      </c>
      <c r="D200" s="3" t="s">
        <v>813</v>
      </c>
      <c r="E200" s="5">
        <v>283.334821791</v>
      </c>
      <c r="F200" s="5">
        <v>11</v>
      </c>
    </row>
    <row r="201" s="1" customFormat="1" spans="1:6">
      <c r="A201" s="3" t="s">
        <v>812</v>
      </c>
      <c r="B201" s="4">
        <v>8735</v>
      </c>
      <c r="C201" s="3" t="s">
        <v>721</v>
      </c>
      <c r="D201" s="3" t="s">
        <v>813</v>
      </c>
      <c r="E201" s="5">
        <v>100.53097345133</v>
      </c>
      <c r="F201" s="5">
        <v>2</v>
      </c>
    </row>
    <row r="202" s="1" customFormat="1" spans="1:6">
      <c r="A202" s="3" t="s">
        <v>812</v>
      </c>
      <c r="B202" s="4">
        <v>8736</v>
      </c>
      <c r="C202" s="3" t="s">
        <v>607</v>
      </c>
      <c r="D202" s="3" t="s">
        <v>813</v>
      </c>
      <c r="E202" s="5">
        <v>578.28610863035</v>
      </c>
      <c r="F202" s="5">
        <v>12</v>
      </c>
    </row>
    <row r="203" s="1" customFormat="1" spans="1:6">
      <c r="A203" s="3" t="s">
        <v>812</v>
      </c>
      <c r="B203" s="4">
        <v>8740</v>
      </c>
      <c r="C203" s="3" t="s">
        <v>744</v>
      </c>
      <c r="D203" s="3" t="s">
        <v>813</v>
      </c>
      <c r="E203" s="5">
        <v>186.76106194689</v>
      </c>
      <c r="F203" s="5">
        <v>1</v>
      </c>
    </row>
    <row r="204" s="1" customFormat="1" spans="1:6">
      <c r="A204" s="3" t="s">
        <v>812</v>
      </c>
      <c r="B204" s="4">
        <v>8741</v>
      </c>
      <c r="C204" s="3" t="s">
        <v>727</v>
      </c>
      <c r="D204" s="3" t="s">
        <v>813</v>
      </c>
      <c r="E204" s="5">
        <v>10017.1238938053</v>
      </c>
      <c r="F204" s="5">
        <v>5</v>
      </c>
    </row>
    <row r="205" s="1" customFormat="1" spans="1:6">
      <c r="A205" s="3" t="s">
        <v>812</v>
      </c>
      <c r="B205" s="4">
        <v>8744</v>
      </c>
      <c r="C205" s="3" t="s">
        <v>617</v>
      </c>
      <c r="D205" s="3" t="s">
        <v>813</v>
      </c>
      <c r="E205" s="5">
        <v>45.30973451327</v>
      </c>
      <c r="F205" s="5">
        <v>1</v>
      </c>
    </row>
    <row r="206" s="1" customFormat="1" spans="1:6">
      <c r="A206" s="3" t="s">
        <v>812</v>
      </c>
      <c r="B206" s="4">
        <v>8744</v>
      </c>
      <c r="C206" s="3" t="s">
        <v>617</v>
      </c>
      <c r="D206" s="3" t="s">
        <v>813</v>
      </c>
      <c r="E206" s="5">
        <v>21.06194690265</v>
      </c>
      <c r="F206" s="5">
        <v>1</v>
      </c>
    </row>
    <row r="207" s="1" customFormat="1" spans="1:6">
      <c r="A207" s="3" t="s">
        <v>812</v>
      </c>
      <c r="B207" s="4">
        <v>8747</v>
      </c>
      <c r="C207" s="3" t="s">
        <v>731</v>
      </c>
      <c r="D207" s="3" t="s">
        <v>813</v>
      </c>
      <c r="E207" s="5">
        <v>142.68165949501</v>
      </c>
      <c r="F207" s="5">
        <v>5</v>
      </c>
    </row>
    <row r="208" s="1" customFormat="1" spans="1:6">
      <c r="A208" s="3" t="s">
        <v>812</v>
      </c>
      <c r="B208" s="4">
        <v>8748</v>
      </c>
      <c r="C208" s="3" t="s">
        <v>702</v>
      </c>
      <c r="D208" s="3" t="s">
        <v>813</v>
      </c>
      <c r="E208" s="5">
        <v>270.84070796462</v>
      </c>
      <c r="F208" s="5">
        <v>14</v>
      </c>
    </row>
    <row r="209" s="1" customFormat="1" spans="1:6">
      <c r="A209" s="3" t="s">
        <v>812</v>
      </c>
      <c r="B209" s="4">
        <v>8749</v>
      </c>
      <c r="C209" s="3" t="s">
        <v>765</v>
      </c>
      <c r="D209" s="3" t="s">
        <v>813</v>
      </c>
      <c r="E209" s="5">
        <v>100.79646017698</v>
      </c>
      <c r="F209" s="5">
        <v>2</v>
      </c>
    </row>
    <row r="210" s="1" customFormat="1" spans="1:6">
      <c r="A210" s="3" t="s">
        <v>812</v>
      </c>
      <c r="B210" s="4">
        <v>8749</v>
      </c>
      <c r="C210" s="3" t="s">
        <v>765</v>
      </c>
      <c r="D210" s="3" t="s">
        <v>813</v>
      </c>
      <c r="E210" s="5">
        <v>83.36283185841</v>
      </c>
      <c r="F210" s="5">
        <v>3</v>
      </c>
    </row>
    <row r="211" s="1" customFormat="1" spans="1:6">
      <c r="A211" s="3" t="s">
        <v>812</v>
      </c>
      <c r="B211" s="4">
        <v>8750</v>
      </c>
      <c r="C211" s="3" t="s">
        <v>796</v>
      </c>
      <c r="D211" s="3" t="s">
        <v>813</v>
      </c>
      <c r="E211" s="5">
        <v>48.14159292035</v>
      </c>
      <c r="F211" s="5">
        <v>2</v>
      </c>
    </row>
    <row r="212" s="1" customFormat="1" spans="1:6">
      <c r="A212" s="3" t="s">
        <v>812</v>
      </c>
      <c r="B212" s="4">
        <v>8751</v>
      </c>
      <c r="C212" s="3" t="s">
        <v>759</v>
      </c>
      <c r="D212" s="3" t="s">
        <v>813</v>
      </c>
      <c r="E212" s="5">
        <v>27.43362831859</v>
      </c>
      <c r="F212" s="5">
        <v>1</v>
      </c>
    </row>
    <row r="213" s="1" customFormat="1" spans="1:6">
      <c r="A213" s="3" t="s">
        <v>812</v>
      </c>
      <c r="B213" s="4">
        <v>8754</v>
      </c>
      <c r="C213" s="3" t="s">
        <v>732</v>
      </c>
      <c r="D213" s="3" t="s">
        <v>813</v>
      </c>
      <c r="E213" s="5">
        <v>230.99861979372</v>
      </c>
      <c r="F213" s="5">
        <v>11</v>
      </c>
    </row>
    <row r="214" s="1" customFormat="1" spans="1:6">
      <c r="A214" s="3" t="s">
        <v>812</v>
      </c>
      <c r="B214" s="4">
        <v>8755</v>
      </c>
      <c r="C214" s="3" t="s">
        <v>741</v>
      </c>
      <c r="D214" s="3" t="s">
        <v>813</v>
      </c>
      <c r="E214" s="5">
        <v>344.7771372899</v>
      </c>
      <c r="F214" s="5">
        <v>10</v>
      </c>
    </row>
    <row r="215" s="1" customFormat="1" spans="1:6">
      <c r="A215" s="3" t="s">
        <v>812</v>
      </c>
      <c r="B215" s="4">
        <v>8756</v>
      </c>
      <c r="C215" s="3" t="s">
        <v>772</v>
      </c>
      <c r="D215" s="3" t="s">
        <v>813</v>
      </c>
      <c r="E215" s="5">
        <v>181.32743362832</v>
      </c>
      <c r="F215" s="5">
        <v>2</v>
      </c>
    </row>
    <row r="216" s="1" customFormat="1" spans="1:6">
      <c r="A216" s="3" t="s">
        <v>812</v>
      </c>
      <c r="B216" s="4">
        <v>8765</v>
      </c>
      <c r="C216" s="3" t="s">
        <v>767</v>
      </c>
      <c r="D216" s="3" t="s">
        <v>813</v>
      </c>
      <c r="E216" s="5">
        <v>171.85840707961</v>
      </c>
      <c r="F216" s="5">
        <v>12</v>
      </c>
    </row>
    <row r="217" s="1" customFormat="1" spans="1:6">
      <c r="A217" s="3" t="s">
        <v>812</v>
      </c>
      <c r="B217" s="4">
        <v>8766</v>
      </c>
      <c r="C217" s="3" t="s">
        <v>762</v>
      </c>
      <c r="D217" s="3" t="s">
        <v>813</v>
      </c>
      <c r="E217" s="5">
        <v>109.29203539824</v>
      </c>
      <c r="F217" s="5">
        <v>3</v>
      </c>
    </row>
    <row r="218" s="1" customFormat="1" spans="1:6">
      <c r="A218" s="3" t="s">
        <v>812</v>
      </c>
      <c r="B218" s="4">
        <v>8766</v>
      </c>
      <c r="C218" s="3" t="s">
        <v>762</v>
      </c>
      <c r="D218" s="3" t="s">
        <v>813</v>
      </c>
      <c r="E218" s="5">
        <v>66.6801981002</v>
      </c>
      <c r="F218" s="5">
        <v>4</v>
      </c>
    </row>
    <row r="219" s="1" customFormat="1" spans="1:6">
      <c r="A219" s="3" t="s">
        <v>812</v>
      </c>
      <c r="B219" s="4">
        <v>8767</v>
      </c>
      <c r="C219" s="3" t="s">
        <v>639</v>
      </c>
      <c r="D219" s="3" t="s">
        <v>813</v>
      </c>
      <c r="E219" s="5">
        <v>1340.45960867113</v>
      </c>
      <c r="F219" s="5">
        <v>40</v>
      </c>
    </row>
    <row r="220" s="1" customFormat="1" spans="1:6">
      <c r="A220" s="3" t="s">
        <v>812</v>
      </c>
      <c r="B220" s="4">
        <v>8772</v>
      </c>
      <c r="C220" s="3" t="s">
        <v>614</v>
      </c>
      <c r="D220" s="3" t="s">
        <v>813</v>
      </c>
      <c r="E220" s="5">
        <v>40.35398230087</v>
      </c>
      <c r="F220" s="5">
        <v>1</v>
      </c>
    </row>
    <row r="221" s="1" customFormat="1" spans="1:6">
      <c r="A221" s="3" t="s">
        <v>812</v>
      </c>
      <c r="B221" s="4">
        <v>8772</v>
      </c>
      <c r="C221" s="3" t="s">
        <v>614</v>
      </c>
      <c r="D221" s="3" t="s">
        <v>813</v>
      </c>
      <c r="E221" s="5">
        <v>39.82300884955</v>
      </c>
      <c r="F221" s="5">
        <v>2</v>
      </c>
    </row>
    <row r="222" s="1" customFormat="1" spans="1:6">
      <c r="A222" s="3" t="s">
        <v>812</v>
      </c>
      <c r="B222" s="4">
        <v>8773</v>
      </c>
      <c r="C222" s="3" t="s">
        <v>612</v>
      </c>
      <c r="D222" s="3" t="s">
        <v>813</v>
      </c>
      <c r="E222" s="5">
        <v>186.76706990337</v>
      </c>
      <c r="F222" s="5">
        <v>4</v>
      </c>
    </row>
    <row r="223" s="1" customFormat="1" spans="1:6">
      <c r="A223" s="3" t="s">
        <v>812</v>
      </c>
      <c r="B223" s="4">
        <v>8773</v>
      </c>
      <c r="C223" s="3" t="s">
        <v>612</v>
      </c>
      <c r="D223" s="3" t="s">
        <v>813</v>
      </c>
      <c r="E223" s="5">
        <v>18.6668831696</v>
      </c>
      <c r="F223" s="5">
        <v>1</v>
      </c>
    </row>
    <row r="224" s="1" customFormat="1" spans="1:6">
      <c r="A224" s="3" t="s">
        <v>812</v>
      </c>
      <c r="B224" s="4">
        <v>8778</v>
      </c>
      <c r="C224" s="3" t="s">
        <v>707</v>
      </c>
      <c r="D224" s="3" t="s">
        <v>813</v>
      </c>
      <c r="E224" s="5">
        <v>52.21238938053</v>
      </c>
      <c r="F224" s="5">
        <v>1</v>
      </c>
    </row>
    <row r="225" s="1" customFormat="1" spans="1:6">
      <c r="A225" s="3" t="s">
        <v>812</v>
      </c>
      <c r="B225" s="4">
        <v>8811</v>
      </c>
      <c r="C225" s="3" t="s">
        <v>557</v>
      </c>
      <c r="D225" s="3" t="s">
        <v>813</v>
      </c>
      <c r="E225" s="5">
        <v>177.56637168139</v>
      </c>
      <c r="F225" s="5">
        <v>5</v>
      </c>
    </row>
    <row r="226" s="1" customFormat="1" spans="1:6">
      <c r="A226" s="3" t="s">
        <v>812</v>
      </c>
      <c r="B226" s="4">
        <v>8773</v>
      </c>
      <c r="C226" s="3" t="s">
        <v>612</v>
      </c>
      <c r="D226" s="3" t="s">
        <v>14</v>
      </c>
      <c r="E226" s="5">
        <v>1030.64138994863</v>
      </c>
      <c r="F226" s="5">
        <v>29</v>
      </c>
    </row>
    <row r="227" s="1" customFormat="1" spans="1:6">
      <c r="A227" s="3" t="s">
        <v>812</v>
      </c>
      <c r="B227" s="4">
        <v>8609</v>
      </c>
      <c r="C227" s="3" t="s">
        <v>621</v>
      </c>
      <c r="D227" s="3" t="s">
        <v>15</v>
      </c>
      <c r="E227" s="5">
        <v>352.7528618982</v>
      </c>
      <c r="F227" s="5">
        <v>11</v>
      </c>
    </row>
    <row r="228" s="1" customFormat="1" spans="1:6">
      <c r="A228" s="3" t="s">
        <v>812</v>
      </c>
      <c r="B228" s="4">
        <v>8633</v>
      </c>
      <c r="C228" s="3" t="s">
        <v>745</v>
      </c>
      <c r="D228" s="3" t="s">
        <v>15</v>
      </c>
      <c r="E228" s="5">
        <v>1078.7079646017</v>
      </c>
      <c r="F228" s="5">
        <v>31</v>
      </c>
    </row>
    <row r="229" s="1" customFormat="1" spans="1:6">
      <c r="A229" s="3" t="s">
        <v>812</v>
      </c>
      <c r="B229" s="4">
        <v>8659</v>
      </c>
      <c r="C229" s="3" t="s">
        <v>730</v>
      </c>
      <c r="D229" s="3" t="s">
        <v>15</v>
      </c>
      <c r="E229" s="5">
        <v>361.44783632381</v>
      </c>
      <c r="F229" s="5">
        <v>11</v>
      </c>
    </row>
    <row r="230" s="1" customFormat="1" spans="1:6">
      <c r="A230" s="3" t="s">
        <v>812</v>
      </c>
      <c r="B230" s="4">
        <v>8690</v>
      </c>
      <c r="C230" s="3" t="s">
        <v>793</v>
      </c>
      <c r="D230" s="3" t="s">
        <v>15</v>
      </c>
      <c r="E230" s="5">
        <v>1013.38605179832</v>
      </c>
      <c r="F230" s="5">
        <v>24</v>
      </c>
    </row>
    <row r="231" s="1" customFormat="1" spans="1:6">
      <c r="A231" s="3" t="s">
        <v>812</v>
      </c>
      <c r="B231" s="4">
        <v>1048</v>
      </c>
      <c r="C231" s="3" t="s">
        <v>648</v>
      </c>
      <c r="D231" s="3" t="s">
        <v>15</v>
      </c>
      <c r="E231" s="5">
        <v>169.36283185838</v>
      </c>
      <c r="F231" s="5">
        <v>4</v>
      </c>
    </row>
    <row r="232" s="1" customFormat="1" spans="1:6">
      <c r="A232" s="3" t="s">
        <v>812</v>
      </c>
      <c r="B232" s="4">
        <v>8714</v>
      </c>
      <c r="C232" s="3" t="s">
        <v>714</v>
      </c>
      <c r="D232" s="3" t="s">
        <v>15</v>
      </c>
      <c r="E232" s="5">
        <v>1519.1773646179</v>
      </c>
      <c r="F232" s="5">
        <v>37</v>
      </c>
    </row>
    <row r="233" s="1" customFormat="1" spans="1:6">
      <c r="A233" s="3" t="s">
        <v>812</v>
      </c>
      <c r="B233" s="4">
        <v>1366</v>
      </c>
      <c r="C233" s="3" t="s">
        <v>792</v>
      </c>
      <c r="D233" s="3" t="s">
        <v>15</v>
      </c>
      <c r="E233" s="5">
        <v>1395.86750020291</v>
      </c>
      <c r="F233" s="5">
        <v>35</v>
      </c>
    </row>
    <row r="234" s="1" customFormat="1" spans="1:6">
      <c r="A234" s="3" t="s">
        <v>812</v>
      </c>
      <c r="B234" s="4">
        <v>8736</v>
      </c>
      <c r="C234" s="3" t="s">
        <v>607</v>
      </c>
      <c r="D234" s="3" t="s">
        <v>15</v>
      </c>
      <c r="E234" s="5">
        <v>986.10946659084</v>
      </c>
      <c r="F234" s="5">
        <v>25</v>
      </c>
    </row>
    <row r="235" s="1" customFormat="1" spans="1:6">
      <c r="A235" s="3" t="s">
        <v>812</v>
      </c>
      <c r="B235" s="4">
        <v>1664</v>
      </c>
      <c r="C235" s="3" t="s">
        <v>613</v>
      </c>
      <c r="D235" s="3" t="s">
        <v>15</v>
      </c>
      <c r="E235" s="5">
        <v>1080.49484452392</v>
      </c>
      <c r="F235" s="5">
        <v>26</v>
      </c>
    </row>
    <row r="236" s="1" customFormat="1" spans="1:6">
      <c r="A236" s="3" t="s">
        <v>812</v>
      </c>
      <c r="B236" s="4">
        <v>8603</v>
      </c>
      <c r="C236" s="3" t="s">
        <v>801</v>
      </c>
      <c r="D236" s="3" t="s">
        <v>14</v>
      </c>
      <c r="E236" s="5">
        <v>1630.2468133473</v>
      </c>
      <c r="F236" s="5">
        <v>36</v>
      </c>
    </row>
    <row r="237" s="1" customFormat="1" spans="1:6">
      <c r="A237" s="3" t="s">
        <v>812</v>
      </c>
      <c r="B237" s="4">
        <v>8626</v>
      </c>
      <c r="C237" s="3" t="s">
        <v>791</v>
      </c>
      <c r="D237" s="3" t="s">
        <v>14</v>
      </c>
      <c r="E237" s="5">
        <v>546.99115044244</v>
      </c>
      <c r="F237" s="5">
        <v>11</v>
      </c>
    </row>
    <row r="238" s="1" customFormat="1" spans="1:6">
      <c r="A238" s="3" t="s">
        <v>812</v>
      </c>
      <c r="B238" s="4">
        <v>8654</v>
      </c>
      <c r="C238" s="3" t="s">
        <v>706</v>
      </c>
      <c r="D238" s="3" t="s">
        <v>14</v>
      </c>
      <c r="E238" s="5">
        <v>3417.88233336028</v>
      </c>
      <c r="F238" s="5">
        <v>70</v>
      </c>
    </row>
    <row r="239" s="1" customFormat="1" spans="1:6">
      <c r="A239" s="3" t="s">
        <v>812</v>
      </c>
      <c r="B239" s="4">
        <v>8682</v>
      </c>
      <c r="C239" s="3" t="s">
        <v>803</v>
      </c>
      <c r="D239" s="3" t="s">
        <v>14</v>
      </c>
      <c r="E239" s="5">
        <v>527.41251928221</v>
      </c>
      <c r="F239" s="5">
        <v>13</v>
      </c>
    </row>
    <row r="240" s="1" customFormat="1" spans="1:6">
      <c r="A240" s="3" t="s">
        <v>812</v>
      </c>
      <c r="B240" s="4">
        <v>8707</v>
      </c>
      <c r="C240" s="3" t="s">
        <v>761</v>
      </c>
      <c r="D240" s="3" t="s">
        <v>14</v>
      </c>
      <c r="E240" s="5">
        <v>896.98627912634</v>
      </c>
      <c r="F240" s="5">
        <v>22</v>
      </c>
    </row>
    <row r="241" s="1" customFormat="1" spans="1:6">
      <c r="A241" s="3" t="s">
        <v>812</v>
      </c>
      <c r="B241" s="4">
        <v>1280</v>
      </c>
      <c r="C241" s="3" t="s">
        <v>664</v>
      </c>
      <c r="D241" s="3" t="s">
        <v>14</v>
      </c>
      <c r="E241" s="5">
        <v>108.407079646</v>
      </c>
      <c r="F241" s="5">
        <v>2</v>
      </c>
    </row>
    <row r="242" s="1" customFormat="1" spans="1:6">
      <c r="A242" s="3" t="s">
        <v>812</v>
      </c>
      <c r="B242" s="4">
        <v>8729</v>
      </c>
      <c r="C242" s="3" t="s">
        <v>754</v>
      </c>
      <c r="D242" s="3" t="s">
        <v>14</v>
      </c>
      <c r="E242" s="5">
        <v>1414.64350085234</v>
      </c>
      <c r="F242" s="5">
        <v>39</v>
      </c>
    </row>
    <row r="243" s="1" customFormat="1" spans="1:6">
      <c r="A243" s="3" t="s">
        <v>812</v>
      </c>
      <c r="B243" s="4">
        <v>1578</v>
      </c>
      <c r="C243" s="3" t="s">
        <v>608</v>
      </c>
      <c r="D243" s="3" t="s">
        <v>14</v>
      </c>
      <c r="E243" s="5">
        <v>170.38564585532</v>
      </c>
      <c r="F243" s="5">
        <v>4</v>
      </c>
    </row>
    <row r="244" s="1" customFormat="1" spans="1:6">
      <c r="A244" s="3" t="s">
        <v>812</v>
      </c>
      <c r="B244" s="4">
        <v>8756</v>
      </c>
      <c r="C244" s="3" t="s">
        <v>772</v>
      </c>
      <c r="D244" s="3" t="s">
        <v>14</v>
      </c>
      <c r="E244" s="5">
        <v>699.87042299254</v>
      </c>
      <c r="F244" s="5">
        <v>16</v>
      </c>
    </row>
    <row r="245" s="1" customFormat="1" spans="1:6">
      <c r="A245" s="3" t="s">
        <v>812</v>
      </c>
      <c r="B245" s="4">
        <v>2215</v>
      </c>
      <c r="C245" s="3" t="s">
        <v>689</v>
      </c>
      <c r="D245" s="3" t="s">
        <v>15</v>
      </c>
      <c r="E245" s="5">
        <v>101.93805309734</v>
      </c>
      <c r="F245" s="5">
        <v>3</v>
      </c>
    </row>
    <row r="246" s="1" customFormat="1" spans="1:6">
      <c r="A246" s="3" t="s">
        <v>812</v>
      </c>
      <c r="B246" s="4">
        <v>8621</v>
      </c>
      <c r="C246" s="3" t="s">
        <v>724</v>
      </c>
      <c r="D246" s="3" t="s">
        <v>15</v>
      </c>
      <c r="E246" s="5">
        <v>646.20786717541</v>
      </c>
      <c r="F246" s="5">
        <v>22</v>
      </c>
    </row>
    <row r="247" s="1" customFormat="1" spans="1:6">
      <c r="A247" s="3" t="s">
        <v>812</v>
      </c>
      <c r="B247" s="4">
        <v>8646</v>
      </c>
      <c r="C247" s="3" t="s">
        <v>764</v>
      </c>
      <c r="D247" s="3" t="s">
        <v>15</v>
      </c>
      <c r="E247" s="5">
        <v>77.77876106195</v>
      </c>
      <c r="F247" s="5">
        <v>3</v>
      </c>
    </row>
    <row r="248" s="1" customFormat="1" spans="1:6">
      <c r="A248" s="3" t="s">
        <v>812</v>
      </c>
      <c r="B248" s="4">
        <v>8677</v>
      </c>
      <c r="C248" s="3" t="s">
        <v>735</v>
      </c>
      <c r="D248" s="3" t="s">
        <v>15</v>
      </c>
      <c r="E248" s="5">
        <v>829.61922546068</v>
      </c>
      <c r="F248" s="5">
        <v>25</v>
      </c>
    </row>
    <row r="249" s="1" customFormat="1" spans="1:6">
      <c r="A249" s="3" t="s">
        <v>812</v>
      </c>
      <c r="B249" s="4">
        <v>8698</v>
      </c>
      <c r="C249" s="3" t="s">
        <v>751</v>
      </c>
      <c r="D249" s="3" t="s">
        <v>15</v>
      </c>
      <c r="E249" s="5">
        <v>691.68425753023</v>
      </c>
      <c r="F249" s="5">
        <v>19</v>
      </c>
    </row>
    <row r="250" s="1" customFormat="1" spans="1:6">
      <c r="A250" s="3" t="s">
        <v>812</v>
      </c>
      <c r="B250" s="4">
        <v>1102</v>
      </c>
      <c r="C250" s="3" t="s">
        <v>599</v>
      </c>
      <c r="D250" s="3" t="s">
        <v>15</v>
      </c>
      <c r="E250" s="5">
        <v>513.24778761067</v>
      </c>
      <c r="F250" s="5">
        <v>14</v>
      </c>
    </row>
    <row r="251" s="1" customFormat="1" spans="1:6">
      <c r="A251" s="3" t="s">
        <v>812</v>
      </c>
      <c r="B251" s="4">
        <v>8723</v>
      </c>
      <c r="C251" s="3" t="s">
        <v>773</v>
      </c>
      <c r="D251" s="3" t="s">
        <v>15</v>
      </c>
      <c r="E251" s="5">
        <v>456.36453681897</v>
      </c>
      <c r="F251" s="5">
        <v>12</v>
      </c>
    </row>
    <row r="252" s="1" customFormat="1" spans="1:6">
      <c r="A252" s="3" t="s">
        <v>812</v>
      </c>
      <c r="B252" s="4">
        <v>1496</v>
      </c>
      <c r="C252" s="3" t="s">
        <v>597</v>
      </c>
      <c r="D252" s="3" t="s">
        <v>15</v>
      </c>
      <c r="E252" s="5">
        <v>61.48672566372</v>
      </c>
      <c r="F252" s="5">
        <v>2</v>
      </c>
    </row>
    <row r="253" s="1" customFormat="1" spans="1:6">
      <c r="A253" s="3" t="s">
        <v>812</v>
      </c>
      <c r="B253" s="4">
        <v>8750</v>
      </c>
      <c r="C253" s="3" t="s">
        <v>796</v>
      </c>
      <c r="D253" s="3" t="s">
        <v>15</v>
      </c>
      <c r="E253" s="5">
        <v>1098.80230575623</v>
      </c>
      <c r="F253" s="5">
        <v>27</v>
      </c>
    </row>
    <row r="254" s="1" customFormat="1" spans="1:6">
      <c r="A254" s="3" t="s">
        <v>812</v>
      </c>
      <c r="B254" s="4">
        <v>8612</v>
      </c>
      <c r="C254" s="3" t="s">
        <v>620</v>
      </c>
      <c r="D254" s="3" t="s">
        <v>14</v>
      </c>
      <c r="E254" s="5">
        <v>683.38053097334</v>
      </c>
      <c r="F254" s="5">
        <v>19</v>
      </c>
    </row>
    <row r="255" s="1" customFormat="1" spans="1:6">
      <c r="A255" s="3" t="s">
        <v>812</v>
      </c>
      <c r="B255" s="4">
        <v>8637</v>
      </c>
      <c r="C255" s="3" t="s">
        <v>588</v>
      </c>
      <c r="D255" s="3" t="s">
        <v>14</v>
      </c>
      <c r="E255" s="5">
        <v>1443.44645611743</v>
      </c>
      <c r="F255" s="5">
        <v>31</v>
      </c>
    </row>
    <row r="256" s="1" customFormat="1" spans="1:6">
      <c r="A256" s="3" t="s">
        <v>812</v>
      </c>
      <c r="B256" s="4">
        <v>8664</v>
      </c>
      <c r="C256" s="3" t="s">
        <v>781</v>
      </c>
      <c r="D256" s="3" t="s">
        <v>14</v>
      </c>
      <c r="E256" s="5">
        <v>155.22123893803</v>
      </c>
      <c r="F256" s="5">
        <v>3</v>
      </c>
    </row>
    <row r="257" s="1" customFormat="1" spans="1:6">
      <c r="A257" s="3" t="s">
        <v>812</v>
      </c>
      <c r="B257" s="4">
        <v>8692</v>
      </c>
      <c r="C257" s="3" t="s">
        <v>700</v>
      </c>
      <c r="D257" s="3" t="s">
        <v>14</v>
      </c>
      <c r="E257" s="5">
        <v>476.86287245268</v>
      </c>
      <c r="F257" s="5">
        <v>10</v>
      </c>
    </row>
    <row r="258" s="1" customFormat="1" spans="1:6">
      <c r="A258" s="3" t="s">
        <v>812</v>
      </c>
      <c r="B258" s="4">
        <v>1055</v>
      </c>
      <c r="C258" s="3" t="s">
        <v>693</v>
      </c>
      <c r="D258" s="3" t="s">
        <v>14</v>
      </c>
      <c r="E258" s="5">
        <v>1484.6074774702</v>
      </c>
      <c r="F258" s="5">
        <v>33</v>
      </c>
    </row>
    <row r="259" s="1" customFormat="1" spans="1:6">
      <c r="A259" s="3" t="s">
        <v>812</v>
      </c>
      <c r="B259" s="4">
        <v>8716</v>
      </c>
      <c r="C259" s="3" t="s">
        <v>780</v>
      </c>
      <c r="D259" s="3" t="s">
        <v>14</v>
      </c>
      <c r="E259" s="5">
        <v>3847.0672647559</v>
      </c>
      <c r="F259" s="5">
        <v>86</v>
      </c>
    </row>
    <row r="260" s="1" customFormat="1" spans="1:6">
      <c r="A260" s="3" t="s">
        <v>812</v>
      </c>
      <c r="B260" s="4">
        <v>1380</v>
      </c>
      <c r="C260" s="3" t="s">
        <v>684</v>
      </c>
      <c r="D260" s="3" t="s">
        <v>14</v>
      </c>
      <c r="E260" s="5">
        <v>1249.63302752291</v>
      </c>
      <c r="F260" s="5">
        <v>29</v>
      </c>
    </row>
    <row r="261" s="1" customFormat="1" spans="1:6">
      <c r="A261" s="3" t="s">
        <v>812</v>
      </c>
      <c r="B261" s="4">
        <v>8740</v>
      </c>
      <c r="C261" s="3" t="s">
        <v>744</v>
      </c>
      <c r="D261" s="3" t="s">
        <v>14</v>
      </c>
      <c r="E261" s="5">
        <v>415.89835187129</v>
      </c>
      <c r="F261" s="5">
        <v>9</v>
      </c>
    </row>
    <row r="262" s="1" customFormat="1" spans="1:6">
      <c r="A262" s="3" t="s">
        <v>812</v>
      </c>
      <c r="B262" s="4">
        <v>1752</v>
      </c>
      <c r="C262" s="3" t="s">
        <v>656</v>
      </c>
      <c r="D262" s="3" t="s">
        <v>14</v>
      </c>
      <c r="E262" s="5">
        <v>238.0238938053</v>
      </c>
      <c r="F262" s="5">
        <v>6</v>
      </c>
    </row>
    <row r="263" s="1" customFormat="1" spans="1:6">
      <c r="A263" s="3" t="s">
        <v>812</v>
      </c>
      <c r="B263" s="4">
        <v>8766</v>
      </c>
      <c r="C263" s="3" t="s">
        <v>762</v>
      </c>
      <c r="D263" s="3" t="s">
        <v>14</v>
      </c>
      <c r="E263" s="5">
        <v>251.23893805307</v>
      </c>
      <c r="F263" s="5">
        <v>7</v>
      </c>
    </row>
    <row r="264" s="1" customFormat="1" spans="1:6">
      <c r="A264" s="3" t="s">
        <v>812</v>
      </c>
      <c r="B264" s="4">
        <v>8607</v>
      </c>
      <c r="C264" s="3" t="s">
        <v>703</v>
      </c>
      <c r="D264" s="3" t="s">
        <v>15</v>
      </c>
      <c r="E264" s="5">
        <v>1610.12797759192</v>
      </c>
      <c r="F264" s="5">
        <v>47</v>
      </c>
    </row>
    <row r="265" s="1" customFormat="1" spans="1:6">
      <c r="A265" s="3" t="s">
        <v>812</v>
      </c>
      <c r="B265" s="4">
        <v>8630</v>
      </c>
      <c r="C265" s="3" t="s">
        <v>610</v>
      </c>
      <c r="D265" s="3" t="s">
        <v>15</v>
      </c>
      <c r="E265" s="5">
        <v>1163.83683526826</v>
      </c>
      <c r="F265" s="5">
        <v>35</v>
      </c>
    </row>
    <row r="266" s="1" customFormat="1" spans="1:6">
      <c r="A266" s="3" t="s">
        <v>812</v>
      </c>
      <c r="B266" s="4">
        <v>8657</v>
      </c>
      <c r="C266" s="3" t="s">
        <v>766</v>
      </c>
      <c r="D266" s="3" t="s">
        <v>15</v>
      </c>
      <c r="E266" s="5">
        <v>292.58001136635</v>
      </c>
      <c r="F266" s="5">
        <v>9</v>
      </c>
    </row>
    <row r="267" s="1" customFormat="1" spans="1:6">
      <c r="A267" s="3" t="s">
        <v>812</v>
      </c>
      <c r="B267" s="4">
        <v>8686</v>
      </c>
      <c r="C267" s="3" t="s">
        <v>738</v>
      </c>
      <c r="D267" s="3" t="s">
        <v>15</v>
      </c>
      <c r="E267" s="5">
        <v>309.01664366324</v>
      </c>
      <c r="F267" s="5">
        <v>10</v>
      </c>
    </row>
    <row r="268" s="1" customFormat="1" spans="1:6">
      <c r="A268" s="3" t="s">
        <v>812</v>
      </c>
      <c r="B268" s="4">
        <v>8711</v>
      </c>
      <c r="C268" s="3" t="s">
        <v>748</v>
      </c>
      <c r="D268" s="3" t="s">
        <v>15</v>
      </c>
      <c r="E268" s="5">
        <v>444.87310221643</v>
      </c>
      <c r="F268" s="5">
        <v>12</v>
      </c>
    </row>
    <row r="269" s="1" customFormat="1" spans="1:6">
      <c r="A269" s="3" t="s">
        <v>812</v>
      </c>
      <c r="B269" s="4">
        <v>1295</v>
      </c>
      <c r="C269" s="3" t="s">
        <v>672</v>
      </c>
      <c r="D269" s="3" t="s">
        <v>15</v>
      </c>
      <c r="E269" s="5">
        <v>360.62531460583</v>
      </c>
      <c r="F269" s="5">
        <v>8</v>
      </c>
    </row>
    <row r="270" s="1" customFormat="1" spans="1:6">
      <c r="A270" s="3" t="s">
        <v>812</v>
      </c>
      <c r="B270" s="4">
        <v>8732</v>
      </c>
      <c r="C270" s="3" t="s">
        <v>600</v>
      </c>
      <c r="D270" s="3" t="s">
        <v>15</v>
      </c>
      <c r="E270" s="5">
        <v>297.0295526508</v>
      </c>
      <c r="F270" s="5">
        <v>8</v>
      </c>
    </row>
    <row r="271" s="1" customFormat="1" spans="1:6">
      <c r="A271" s="3" t="s">
        <v>812</v>
      </c>
      <c r="B271" s="4">
        <v>1607</v>
      </c>
      <c r="C271" s="3" t="s">
        <v>695</v>
      </c>
      <c r="D271" s="3" t="s">
        <v>15</v>
      </c>
      <c r="E271" s="5">
        <v>95.13274336283</v>
      </c>
      <c r="F271" s="5">
        <v>4</v>
      </c>
    </row>
    <row r="272" s="1" customFormat="1" spans="1:6">
      <c r="A272" s="3" t="s">
        <v>812</v>
      </c>
      <c r="B272" s="4">
        <v>8601</v>
      </c>
      <c r="C272" s="3" t="s">
        <v>795</v>
      </c>
      <c r="D272" s="3" t="s">
        <v>14</v>
      </c>
      <c r="E272" s="5">
        <v>314.31517414951</v>
      </c>
      <c r="F272" s="5">
        <v>7</v>
      </c>
    </row>
    <row r="273" s="1" customFormat="1" spans="1:6">
      <c r="A273" s="3" t="s">
        <v>812</v>
      </c>
      <c r="B273" s="4">
        <v>8623</v>
      </c>
      <c r="C273" s="3" t="s">
        <v>723</v>
      </c>
      <c r="D273" s="3" t="s">
        <v>14</v>
      </c>
      <c r="E273" s="5">
        <v>1122.33579605424</v>
      </c>
      <c r="F273" s="5">
        <v>30</v>
      </c>
    </row>
    <row r="274" s="1" customFormat="1" spans="1:6">
      <c r="A274" s="3" t="s">
        <v>812</v>
      </c>
      <c r="B274" s="4">
        <v>8651</v>
      </c>
      <c r="C274" s="3" t="s">
        <v>787</v>
      </c>
      <c r="D274" s="3" t="s">
        <v>14</v>
      </c>
      <c r="E274" s="5">
        <v>2329.57822521708</v>
      </c>
      <c r="F274" s="5">
        <v>60</v>
      </c>
    </row>
    <row r="275" s="1" customFormat="1" spans="1:6">
      <c r="A275" s="3" t="s">
        <v>812</v>
      </c>
      <c r="B275" s="4">
        <v>8680</v>
      </c>
      <c r="C275" s="3" t="s">
        <v>800</v>
      </c>
      <c r="D275" s="3" t="s">
        <v>14</v>
      </c>
      <c r="E275" s="5">
        <v>279.04278639279</v>
      </c>
      <c r="F275" s="5">
        <v>9</v>
      </c>
    </row>
    <row r="276" s="1" customFormat="1" spans="1:6">
      <c r="A276" s="3" t="s">
        <v>812</v>
      </c>
      <c r="B276" s="4">
        <v>8704</v>
      </c>
      <c r="C276" s="3" t="s">
        <v>719</v>
      </c>
      <c r="D276" s="3" t="s">
        <v>14</v>
      </c>
      <c r="E276" s="5">
        <v>219.38053097341</v>
      </c>
      <c r="F276" s="5">
        <v>5</v>
      </c>
    </row>
    <row r="277" s="1" customFormat="1" spans="1:6">
      <c r="A277" s="3" t="s">
        <v>812</v>
      </c>
      <c r="B277" s="4">
        <v>1146</v>
      </c>
      <c r="C277" s="3" t="s">
        <v>673</v>
      </c>
      <c r="D277" s="3" t="s">
        <v>14</v>
      </c>
      <c r="E277" s="5">
        <v>312.31955833398</v>
      </c>
      <c r="F277" s="5">
        <v>8</v>
      </c>
    </row>
    <row r="278" s="1" customFormat="1" spans="1:6">
      <c r="A278" s="3" t="s">
        <v>812</v>
      </c>
      <c r="B278" s="4">
        <v>8725</v>
      </c>
      <c r="C278" s="3" t="s">
        <v>708</v>
      </c>
      <c r="D278" s="3" t="s">
        <v>14</v>
      </c>
      <c r="E278" s="5">
        <v>1148.32589104486</v>
      </c>
      <c r="F278" s="5">
        <v>25</v>
      </c>
    </row>
    <row r="279" s="1" customFormat="1" spans="1:6">
      <c r="A279" s="3" t="s">
        <v>812</v>
      </c>
      <c r="B279" s="4">
        <v>1550</v>
      </c>
      <c r="C279" s="3" t="s">
        <v>753</v>
      </c>
      <c r="D279" s="3" t="s">
        <v>14</v>
      </c>
      <c r="E279" s="5">
        <v>516.94389867658</v>
      </c>
      <c r="F279" s="5">
        <v>15</v>
      </c>
    </row>
    <row r="280" s="1" customFormat="1" spans="1:6">
      <c r="A280" s="3" t="s">
        <v>812</v>
      </c>
      <c r="B280" s="4">
        <v>8754</v>
      </c>
      <c r="C280" s="3" t="s">
        <v>732</v>
      </c>
      <c r="D280" s="3" t="s">
        <v>14</v>
      </c>
      <c r="E280" s="5">
        <v>78.913696517</v>
      </c>
      <c r="F280" s="5">
        <v>2</v>
      </c>
    </row>
    <row r="281" s="1" customFormat="1" spans="1:6">
      <c r="A281" s="3" t="s">
        <v>812</v>
      </c>
      <c r="B281" s="4">
        <v>2130</v>
      </c>
      <c r="C281" s="3" t="s">
        <v>657</v>
      </c>
      <c r="D281" s="3" t="s">
        <v>15</v>
      </c>
      <c r="E281" s="5">
        <v>492.35398230084</v>
      </c>
      <c r="F281" s="5">
        <v>17</v>
      </c>
    </row>
    <row r="282" s="1" customFormat="1" spans="1:6">
      <c r="A282" s="3" t="s">
        <v>812</v>
      </c>
      <c r="B282" s="4">
        <v>8615</v>
      </c>
      <c r="C282" s="3" t="s">
        <v>589</v>
      </c>
      <c r="D282" s="3" t="s">
        <v>15</v>
      </c>
      <c r="E282" s="5">
        <v>485.63416416337</v>
      </c>
      <c r="F282" s="5">
        <v>12</v>
      </c>
    </row>
    <row r="283" s="1" customFormat="1" spans="1:6">
      <c r="A283" s="3" t="s">
        <v>812</v>
      </c>
      <c r="B283" s="4">
        <v>8644</v>
      </c>
      <c r="C283" s="3" t="s">
        <v>618</v>
      </c>
      <c r="D283" s="3" t="s">
        <v>15</v>
      </c>
      <c r="E283" s="5">
        <v>453.52212389381</v>
      </c>
      <c r="F283" s="5">
        <v>12</v>
      </c>
    </row>
    <row r="284" s="1" customFormat="1" spans="1:6">
      <c r="A284" s="3" t="s">
        <v>812</v>
      </c>
      <c r="B284" s="4">
        <v>8671</v>
      </c>
      <c r="C284" s="3" t="s">
        <v>598</v>
      </c>
      <c r="D284" s="3" t="s">
        <v>15</v>
      </c>
      <c r="E284" s="5">
        <v>1718.99561581548</v>
      </c>
      <c r="F284" s="5">
        <v>45</v>
      </c>
    </row>
    <row r="285" s="1" customFormat="1" spans="1:6">
      <c r="A285" s="3" t="s">
        <v>812</v>
      </c>
      <c r="B285" s="4">
        <v>8695</v>
      </c>
      <c r="C285" s="3" t="s">
        <v>609</v>
      </c>
      <c r="D285" s="3" t="s">
        <v>15</v>
      </c>
      <c r="E285" s="5">
        <v>916.50664122748</v>
      </c>
      <c r="F285" s="5">
        <v>26</v>
      </c>
    </row>
    <row r="286" s="1" customFormat="1" spans="1:6">
      <c r="A286" s="3" t="s">
        <v>812</v>
      </c>
      <c r="B286" s="4">
        <v>1082</v>
      </c>
      <c r="C286" s="3" t="s">
        <v>698</v>
      </c>
      <c r="D286" s="3" t="s">
        <v>15</v>
      </c>
      <c r="E286" s="5">
        <v>701.61061946902</v>
      </c>
      <c r="F286" s="5">
        <v>20</v>
      </c>
    </row>
    <row r="287" s="1" customFormat="1" spans="1:6">
      <c r="A287" s="3" t="s">
        <v>812</v>
      </c>
      <c r="B287" s="4">
        <v>8720</v>
      </c>
      <c r="C287" s="3" t="s">
        <v>679</v>
      </c>
      <c r="D287" s="3" t="s">
        <v>15</v>
      </c>
      <c r="E287" s="5">
        <v>1602.65665340586</v>
      </c>
      <c r="F287" s="5">
        <v>40</v>
      </c>
    </row>
    <row r="288" s="1" customFormat="1" spans="1:6">
      <c r="A288" s="3" t="s">
        <v>812</v>
      </c>
      <c r="B288" s="4">
        <v>1461</v>
      </c>
      <c r="C288" s="3" t="s">
        <v>625</v>
      </c>
      <c r="D288" s="3" t="s">
        <v>15</v>
      </c>
      <c r="E288" s="5">
        <v>332.90265486726</v>
      </c>
      <c r="F288" s="5">
        <v>10</v>
      </c>
    </row>
    <row r="289" s="1" customFormat="1" spans="1:6">
      <c r="A289" s="3" t="s">
        <v>812</v>
      </c>
      <c r="B289" s="4">
        <v>8748</v>
      </c>
      <c r="C289" s="3" t="s">
        <v>702</v>
      </c>
      <c r="D289" s="3" t="s">
        <v>15</v>
      </c>
      <c r="E289" s="5">
        <v>515.51327433625</v>
      </c>
      <c r="F289" s="5">
        <v>13</v>
      </c>
    </row>
    <row r="290" s="1" customFormat="1" spans="1:6">
      <c r="A290" s="3" t="s">
        <v>812</v>
      </c>
      <c r="B290" s="4">
        <v>8811</v>
      </c>
      <c r="C290" s="3" t="s">
        <v>557</v>
      </c>
      <c r="D290" s="3" t="s">
        <v>15</v>
      </c>
      <c r="E290" s="5">
        <v>232.8256880734</v>
      </c>
      <c r="F290" s="5">
        <v>6</v>
      </c>
    </row>
    <row r="291" s="1" customFormat="1" spans="1:6">
      <c r="A291" s="3" t="s">
        <v>812</v>
      </c>
      <c r="B291" s="4">
        <v>8609</v>
      </c>
      <c r="C291" s="3" t="s">
        <v>621</v>
      </c>
      <c r="D291" s="3" t="s">
        <v>14</v>
      </c>
      <c r="E291" s="5">
        <v>129.10936104567</v>
      </c>
      <c r="F291" s="5">
        <v>4</v>
      </c>
    </row>
    <row r="292" s="1" customFormat="1" spans="1:6">
      <c r="A292" s="3" t="s">
        <v>812</v>
      </c>
      <c r="B292" s="4">
        <v>8633</v>
      </c>
      <c r="C292" s="3" t="s">
        <v>745</v>
      </c>
      <c r="D292" s="3" t="s">
        <v>14</v>
      </c>
      <c r="E292" s="5">
        <v>1221.26413087593</v>
      </c>
      <c r="F292" s="5">
        <v>31</v>
      </c>
    </row>
    <row r="293" s="1" customFormat="1" spans="1:6">
      <c r="A293" s="3" t="s">
        <v>812</v>
      </c>
      <c r="B293" s="4">
        <v>8659</v>
      </c>
      <c r="C293" s="3" t="s">
        <v>730</v>
      </c>
      <c r="D293" s="3" t="s">
        <v>14</v>
      </c>
      <c r="E293" s="5">
        <v>337.25663716812</v>
      </c>
      <c r="F293" s="5">
        <v>7</v>
      </c>
    </row>
    <row r="294" s="1" customFormat="1" spans="1:6">
      <c r="A294" s="3" t="s">
        <v>812</v>
      </c>
      <c r="B294" s="4">
        <v>8690</v>
      </c>
      <c r="C294" s="3" t="s">
        <v>793</v>
      </c>
      <c r="D294" s="3" t="s">
        <v>14</v>
      </c>
      <c r="E294" s="5">
        <v>404.87293983916</v>
      </c>
      <c r="F294" s="5">
        <v>11</v>
      </c>
    </row>
    <row r="295" s="1" customFormat="1" spans="1:6">
      <c r="A295" s="3" t="s">
        <v>812</v>
      </c>
      <c r="B295" s="4">
        <v>1048</v>
      </c>
      <c r="C295" s="3" t="s">
        <v>648</v>
      </c>
      <c r="D295" s="3" t="s">
        <v>14</v>
      </c>
      <c r="E295" s="5">
        <v>1787.51315255336</v>
      </c>
      <c r="F295" s="5">
        <v>30</v>
      </c>
    </row>
    <row r="296" s="1" customFormat="1" spans="1:6">
      <c r="A296" s="3" t="s">
        <v>812</v>
      </c>
      <c r="B296" s="4">
        <v>8714</v>
      </c>
      <c r="C296" s="3" t="s">
        <v>714</v>
      </c>
      <c r="D296" s="3" t="s">
        <v>14</v>
      </c>
      <c r="E296" s="5">
        <v>2401.15079158885</v>
      </c>
      <c r="F296" s="5">
        <v>54</v>
      </c>
    </row>
    <row r="297" s="1" customFormat="1" spans="1:6">
      <c r="A297" s="3" t="s">
        <v>812</v>
      </c>
      <c r="B297" s="4">
        <v>1366</v>
      </c>
      <c r="C297" s="3" t="s">
        <v>792</v>
      </c>
      <c r="D297" s="3" t="s">
        <v>14</v>
      </c>
      <c r="E297" s="5">
        <v>2065.3089226271</v>
      </c>
      <c r="F297" s="5">
        <v>44</v>
      </c>
    </row>
    <row r="298" s="1" customFormat="1" spans="1:6">
      <c r="A298" s="3" t="s">
        <v>812</v>
      </c>
      <c r="B298" s="4">
        <v>8736</v>
      </c>
      <c r="C298" s="3" t="s">
        <v>607</v>
      </c>
      <c r="D298" s="3" t="s">
        <v>14</v>
      </c>
      <c r="E298" s="5">
        <v>814.15885361688</v>
      </c>
      <c r="F298" s="5">
        <v>21</v>
      </c>
    </row>
    <row r="299" s="1" customFormat="1" spans="1:6">
      <c r="A299" s="3" t="s">
        <v>812</v>
      </c>
      <c r="B299" s="4">
        <v>1664</v>
      </c>
      <c r="C299" s="3" t="s">
        <v>613</v>
      </c>
      <c r="D299" s="3" t="s">
        <v>14</v>
      </c>
      <c r="E299" s="5">
        <v>989.55752212391</v>
      </c>
      <c r="F299" s="5">
        <v>24</v>
      </c>
    </row>
    <row r="300" s="1" customFormat="1" spans="1:6">
      <c r="A300" s="3" t="s">
        <v>812</v>
      </c>
      <c r="B300" s="4">
        <v>8604</v>
      </c>
      <c r="C300" s="3" t="s">
        <v>718</v>
      </c>
      <c r="D300" s="3" t="s">
        <v>15</v>
      </c>
      <c r="E300" s="5">
        <v>666.40391329052</v>
      </c>
      <c r="F300" s="5">
        <v>20</v>
      </c>
    </row>
    <row r="301" s="1" customFormat="1" spans="1:6">
      <c r="A301" s="3" t="s">
        <v>812</v>
      </c>
      <c r="B301" s="4">
        <v>8628</v>
      </c>
      <c r="C301" s="3" t="s">
        <v>622</v>
      </c>
      <c r="D301" s="3" t="s">
        <v>15</v>
      </c>
      <c r="E301" s="5">
        <v>1204.92960948273</v>
      </c>
      <c r="F301" s="5">
        <v>35</v>
      </c>
    </row>
    <row r="302" s="1" customFormat="1" spans="1:6">
      <c r="A302" s="3" t="s">
        <v>812</v>
      </c>
      <c r="B302" s="4">
        <v>8655</v>
      </c>
      <c r="C302" s="3" t="s">
        <v>611</v>
      </c>
      <c r="D302" s="3" t="s">
        <v>15</v>
      </c>
      <c r="E302" s="5">
        <v>472.69911504426</v>
      </c>
      <c r="F302" s="5">
        <v>12</v>
      </c>
    </row>
    <row r="303" s="1" customFormat="1" spans="1:6">
      <c r="A303" s="3" t="s">
        <v>812</v>
      </c>
      <c r="B303" s="4">
        <v>8684</v>
      </c>
      <c r="C303" s="3" t="s">
        <v>709</v>
      </c>
      <c r="D303" s="3" t="s">
        <v>15</v>
      </c>
      <c r="E303" s="5">
        <v>1847.42794511648</v>
      </c>
      <c r="F303" s="5">
        <v>63</v>
      </c>
    </row>
    <row r="304" s="1" customFormat="1" spans="1:6">
      <c r="A304" s="3" t="s">
        <v>812</v>
      </c>
      <c r="B304" s="4">
        <v>8709</v>
      </c>
      <c r="C304" s="3" t="s">
        <v>605</v>
      </c>
      <c r="D304" s="3" t="s">
        <v>15</v>
      </c>
      <c r="E304" s="5">
        <v>507.77015507017</v>
      </c>
      <c r="F304" s="5">
        <v>8</v>
      </c>
    </row>
    <row r="305" s="1" customFormat="1" spans="1:6">
      <c r="A305" s="3" t="s">
        <v>812</v>
      </c>
      <c r="B305" s="4">
        <v>1293</v>
      </c>
      <c r="C305" s="3" t="s">
        <v>627</v>
      </c>
      <c r="D305" s="3" t="s">
        <v>15</v>
      </c>
      <c r="E305" s="5">
        <v>25.04424778761</v>
      </c>
      <c r="F305" s="5">
        <v>1</v>
      </c>
    </row>
    <row r="306" s="1" customFormat="1" spans="1:6">
      <c r="A306" s="3" t="s">
        <v>812</v>
      </c>
      <c r="B306" s="4">
        <v>8730</v>
      </c>
      <c r="C306" s="3" t="s">
        <v>749</v>
      </c>
      <c r="D306" s="3" t="s">
        <v>15</v>
      </c>
      <c r="E306" s="5">
        <v>248.8854428838</v>
      </c>
      <c r="F306" s="5">
        <v>7</v>
      </c>
    </row>
    <row r="307" s="1" customFormat="1" spans="1:6">
      <c r="A307" s="3" t="s">
        <v>812</v>
      </c>
      <c r="B307" s="4">
        <v>1594</v>
      </c>
      <c r="C307" s="3" t="s">
        <v>740</v>
      </c>
      <c r="D307" s="3" t="s">
        <v>15</v>
      </c>
      <c r="E307" s="5">
        <v>1894.18990013792</v>
      </c>
      <c r="F307" s="5">
        <v>51</v>
      </c>
    </row>
    <row r="308" s="1" customFormat="1" spans="1:6">
      <c r="A308" s="3" t="s">
        <v>812</v>
      </c>
      <c r="B308" s="4">
        <v>8761</v>
      </c>
      <c r="C308" s="3" t="s">
        <v>644</v>
      </c>
      <c r="D308" s="3" t="s">
        <v>15</v>
      </c>
      <c r="E308" s="5">
        <v>17.61061946902</v>
      </c>
      <c r="F308" s="5">
        <v>1</v>
      </c>
    </row>
    <row r="309" s="1" customFormat="1" spans="1:6">
      <c r="A309" s="3" t="s">
        <v>812</v>
      </c>
      <c r="B309" s="4">
        <v>2215</v>
      </c>
      <c r="C309" s="3" t="s">
        <v>689</v>
      </c>
      <c r="D309" s="3" t="s">
        <v>14</v>
      </c>
      <c r="E309" s="5">
        <v>39.91150442478</v>
      </c>
      <c r="F309" s="5">
        <v>1</v>
      </c>
    </row>
    <row r="310" s="1" customFormat="1" spans="1:6">
      <c r="A310" s="3" t="s">
        <v>812</v>
      </c>
      <c r="B310" s="4">
        <v>8621</v>
      </c>
      <c r="C310" s="3" t="s">
        <v>724</v>
      </c>
      <c r="D310" s="3" t="s">
        <v>14</v>
      </c>
      <c r="E310" s="5">
        <v>693.08679061457</v>
      </c>
      <c r="F310" s="5">
        <v>19</v>
      </c>
    </row>
    <row r="311" s="1" customFormat="1" spans="1:6">
      <c r="A311" s="3" t="s">
        <v>812</v>
      </c>
      <c r="B311" s="4">
        <v>8646</v>
      </c>
      <c r="C311" s="3" t="s">
        <v>764</v>
      </c>
      <c r="D311" s="3" t="s">
        <v>14</v>
      </c>
      <c r="E311" s="5">
        <v>140.97345132744</v>
      </c>
      <c r="F311" s="5">
        <v>3</v>
      </c>
    </row>
    <row r="312" s="1" customFormat="1" spans="1:6">
      <c r="A312" s="3" t="s">
        <v>812</v>
      </c>
      <c r="B312" s="4">
        <v>8677</v>
      </c>
      <c r="C312" s="3" t="s">
        <v>735</v>
      </c>
      <c r="D312" s="3" t="s">
        <v>14</v>
      </c>
      <c r="E312" s="5">
        <v>1202.33660794023</v>
      </c>
      <c r="F312" s="5">
        <v>29</v>
      </c>
    </row>
    <row r="313" s="1" customFormat="1" spans="1:6">
      <c r="A313" s="3" t="s">
        <v>812</v>
      </c>
      <c r="B313" s="4">
        <v>8698</v>
      </c>
      <c r="C313" s="3" t="s">
        <v>751</v>
      </c>
      <c r="D313" s="3" t="s">
        <v>14</v>
      </c>
      <c r="E313" s="5">
        <v>284.15929203537</v>
      </c>
      <c r="F313" s="5">
        <v>8</v>
      </c>
    </row>
    <row r="314" s="1" customFormat="1" spans="1:6">
      <c r="A314" s="3" t="s">
        <v>812</v>
      </c>
      <c r="B314" s="4">
        <v>1102</v>
      </c>
      <c r="C314" s="3" t="s">
        <v>599</v>
      </c>
      <c r="D314" s="3" t="s">
        <v>14</v>
      </c>
      <c r="E314" s="5">
        <v>394.69026548672</v>
      </c>
      <c r="F314" s="5">
        <v>12</v>
      </c>
    </row>
    <row r="315" s="1" customFormat="1" spans="1:6">
      <c r="A315" s="3" t="s">
        <v>812</v>
      </c>
      <c r="B315" s="4">
        <v>8723</v>
      </c>
      <c r="C315" s="3" t="s">
        <v>773</v>
      </c>
      <c r="D315" s="3" t="s">
        <v>14</v>
      </c>
      <c r="E315" s="5">
        <v>1019.45936510499</v>
      </c>
      <c r="F315" s="5">
        <v>22</v>
      </c>
    </row>
    <row r="316" s="1" customFormat="1" spans="1:6">
      <c r="A316" s="3" t="s">
        <v>812</v>
      </c>
      <c r="B316" s="4">
        <v>1496</v>
      </c>
      <c r="C316" s="3" t="s">
        <v>597</v>
      </c>
      <c r="D316" s="3" t="s">
        <v>14</v>
      </c>
      <c r="E316" s="5">
        <v>218.17244458877</v>
      </c>
      <c r="F316" s="5">
        <v>3</v>
      </c>
    </row>
    <row r="317" s="1" customFormat="1" spans="1:6">
      <c r="A317" s="3" t="s">
        <v>812</v>
      </c>
      <c r="B317" s="4">
        <v>8750</v>
      </c>
      <c r="C317" s="3" t="s">
        <v>796</v>
      </c>
      <c r="D317" s="3" t="s">
        <v>14</v>
      </c>
      <c r="E317" s="5">
        <v>826.29049281476</v>
      </c>
      <c r="F317" s="5">
        <v>19</v>
      </c>
    </row>
    <row r="318" s="1" customFormat="1" spans="1:6">
      <c r="A318" s="3" t="s">
        <v>812</v>
      </c>
      <c r="B318" s="4">
        <v>8613</v>
      </c>
      <c r="C318" s="3" t="s">
        <v>752</v>
      </c>
      <c r="D318" s="3" t="s">
        <v>15</v>
      </c>
      <c r="E318" s="5">
        <v>308.00332873264</v>
      </c>
      <c r="F318" s="5">
        <v>9</v>
      </c>
    </row>
    <row r="319" s="1" customFormat="1" spans="1:6">
      <c r="A319" s="3" t="s">
        <v>812</v>
      </c>
      <c r="B319" s="4">
        <v>8638</v>
      </c>
      <c r="C319" s="3" t="s">
        <v>778</v>
      </c>
      <c r="D319" s="3" t="s">
        <v>15</v>
      </c>
      <c r="E319" s="5">
        <v>1248.39059835975</v>
      </c>
      <c r="F319" s="5">
        <v>41</v>
      </c>
    </row>
    <row r="320" s="1" customFormat="1" spans="1:6">
      <c r="A320" s="3" t="s">
        <v>812</v>
      </c>
      <c r="B320" s="4">
        <v>8665</v>
      </c>
      <c r="C320" s="3" t="s">
        <v>783</v>
      </c>
      <c r="D320" s="3" t="s">
        <v>15</v>
      </c>
      <c r="E320" s="5">
        <v>982.58407079638</v>
      </c>
      <c r="F320" s="5">
        <v>31</v>
      </c>
    </row>
    <row r="321" s="1" customFormat="1" spans="1:6">
      <c r="A321" s="3" t="s">
        <v>812</v>
      </c>
      <c r="B321" s="4">
        <v>8693</v>
      </c>
      <c r="C321" s="3" t="s">
        <v>736</v>
      </c>
      <c r="D321" s="3" t="s">
        <v>15</v>
      </c>
      <c r="E321" s="5">
        <v>450.28318584069</v>
      </c>
      <c r="F321" s="5">
        <v>12</v>
      </c>
    </row>
    <row r="322" s="1" customFormat="1" spans="1:6">
      <c r="A322" s="3" t="s">
        <v>812</v>
      </c>
      <c r="B322" s="4">
        <v>1070</v>
      </c>
      <c r="C322" s="3" t="s">
        <v>634</v>
      </c>
      <c r="D322" s="3" t="s">
        <v>15</v>
      </c>
      <c r="E322" s="5">
        <v>239.40415685637</v>
      </c>
      <c r="F322" s="5">
        <v>3</v>
      </c>
    </row>
    <row r="323" s="1" customFormat="1" spans="1:6">
      <c r="A323" s="3" t="s">
        <v>812</v>
      </c>
      <c r="B323" s="4">
        <v>8717</v>
      </c>
      <c r="C323" s="3" t="s">
        <v>728</v>
      </c>
      <c r="D323" s="3" t="s">
        <v>15</v>
      </c>
      <c r="E323" s="5">
        <v>1057.5960867094</v>
      </c>
      <c r="F323" s="5">
        <v>28</v>
      </c>
    </row>
    <row r="324" s="1" customFormat="1" spans="1:6">
      <c r="A324" s="3" t="s">
        <v>812</v>
      </c>
      <c r="B324" s="4">
        <v>1386</v>
      </c>
      <c r="C324" s="3" t="s">
        <v>596</v>
      </c>
      <c r="D324" s="3" t="s">
        <v>15</v>
      </c>
      <c r="E324" s="5">
        <v>670.04725176578</v>
      </c>
      <c r="F324" s="5">
        <v>16</v>
      </c>
    </row>
    <row r="325" s="1" customFormat="1" spans="1:6">
      <c r="A325" s="3" t="s">
        <v>812</v>
      </c>
      <c r="B325" s="4">
        <v>8744</v>
      </c>
      <c r="C325" s="3" t="s">
        <v>617</v>
      </c>
      <c r="D325" s="3" t="s">
        <v>15</v>
      </c>
      <c r="E325" s="5">
        <v>1153.26161402939</v>
      </c>
      <c r="F325" s="5">
        <v>36</v>
      </c>
    </row>
    <row r="326" s="1" customFormat="1" spans="1:6">
      <c r="A326" s="3" t="s">
        <v>812</v>
      </c>
      <c r="B326" s="4">
        <v>1837</v>
      </c>
      <c r="C326" s="3" t="s">
        <v>680</v>
      </c>
      <c r="D326" s="3" t="s">
        <v>15</v>
      </c>
      <c r="E326" s="5">
        <v>1315.31858407078</v>
      </c>
      <c r="F326" s="5">
        <v>36</v>
      </c>
    </row>
    <row r="327" s="1" customFormat="1" spans="1:6">
      <c r="A327" s="3" t="s">
        <v>812</v>
      </c>
      <c r="B327" s="4">
        <v>8772</v>
      </c>
      <c r="C327" s="3" t="s">
        <v>614</v>
      </c>
      <c r="D327" s="3" t="s">
        <v>15</v>
      </c>
      <c r="E327" s="5">
        <v>559.75805796872</v>
      </c>
      <c r="F327" s="5">
        <v>14</v>
      </c>
    </row>
    <row r="328" s="1" customFormat="1" spans="1:6">
      <c r="A328" s="3" t="s">
        <v>812</v>
      </c>
      <c r="B328" s="4">
        <v>8607</v>
      </c>
      <c r="C328" s="3" t="s">
        <v>703</v>
      </c>
      <c r="D328" s="3" t="s">
        <v>14</v>
      </c>
      <c r="E328" s="5">
        <v>2462.67987334556</v>
      </c>
      <c r="F328" s="5">
        <v>56</v>
      </c>
    </row>
    <row r="329" s="1" customFormat="1" spans="1:6">
      <c r="A329" s="3" t="s">
        <v>812</v>
      </c>
      <c r="B329" s="4">
        <v>8630</v>
      </c>
      <c r="C329" s="3" t="s">
        <v>610</v>
      </c>
      <c r="D329" s="3" t="s">
        <v>14</v>
      </c>
      <c r="E329" s="5">
        <v>1081.31525533809</v>
      </c>
      <c r="F329" s="5">
        <v>24</v>
      </c>
    </row>
    <row r="330" s="1" customFormat="1" spans="1:6">
      <c r="A330" s="3" t="s">
        <v>812</v>
      </c>
      <c r="B330" s="4">
        <v>8657</v>
      </c>
      <c r="C330" s="3" t="s">
        <v>766</v>
      </c>
      <c r="D330" s="3" t="s">
        <v>14</v>
      </c>
      <c r="E330" s="5">
        <v>821.42242429158</v>
      </c>
      <c r="F330" s="5">
        <v>20</v>
      </c>
    </row>
    <row r="331" s="1" customFormat="1" spans="1:6">
      <c r="A331" s="3" t="s">
        <v>812</v>
      </c>
      <c r="B331" s="4">
        <v>8686</v>
      </c>
      <c r="C331" s="3" t="s">
        <v>738</v>
      </c>
      <c r="D331" s="3" t="s">
        <v>14</v>
      </c>
      <c r="E331" s="5">
        <v>657.14540878457</v>
      </c>
      <c r="F331" s="5">
        <v>17</v>
      </c>
    </row>
    <row r="332" s="1" customFormat="1" spans="1:6">
      <c r="A332" s="3" t="s">
        <v>812</v>
      </c>
      <c r="B332" s="4">
        <v>8711</v>
      </c>
      <c r="C332" s="3" t="s">
        <v>748</v>
      </c>
      <c r="D332" s="3" t="s">
        <v>14</v>
      </c>
      <c r="E332" s="5">
        <v>1070.59218965649</v>
      </c>
      <c r="F332" s="5">
        <v>28</v>
      </c>
    </row>
    <row r="333" s="1" customFormat="1" spans="1:6">
      <c r="A333" s="3" t="s">
        <v>812</v>
      </c>
      <c r="B333" s="4">
        <v>1295</v>
      </c>
      <c r="C333" s="3" t="s">
        <v>672</v>
      </c>
      <c r="D333" s="3" t="s">
        <v>14</v>
      </c>
      <c r="E333" s="5">
        <v>276.15084842091</v>
      </c>
      <c r="F333" s="5">
        <v>6</v>
      </c>
    </row>
    <row r="334" s="1" customFormat="1" spans="1:6">
      <c r="A334" s="3" t="s">
        <v>812</v>
      </c>
      <c r="B334" s="4">
        <v>8732</v>
      </c>
      <c r="C334" s="3" t="s">
        <v>600</v>
      </c>
      <c r="D334" s="3" t="s">
        <v>14</v>
      </c>
      <c r="E334" s="5">
        <v>218.14159292034</v>
      </c>
      <c r="F334" s="5">
        <v>5</v>
      </c>
    </row>
    <row r="335" s="1" customFormat="1" spans="1:6">
      <c r="A335" s="3" t="s">
        <v>812</v>
      </c>
      <c r="B335" s="4">
        <v>1607</v>
      </c>
      <c r="C335" s="3" t="s">
        <v>695</v>
      </c>
      <c r="D335" s="3" t="s">
        <v>14</v>
      </c>
      <c r="E335" s="5">
        <v>312.1222700333</v>
      </c>
      <c r="F335" s="5">
        <v>9</v>
      </c>
    </row>
    <row r="336" s="1" customFormat="1" spans="1:6">
      <c r="A336" s="3" t="s">
        <v>812</v>
      </c>
      <c r="B336" s="4">
        <v>8602</v>
      </c>
      <c r="C336" s="3" t="s">
        <v>794</v>
      </c>
      <c r="D336" s="3" t="s">
        <v>15</v>
      </c>
      <c r="E336" s="5">
        <v>1224.94998782164</v>
      </c>
      <c r="F336" s="5">
        <v>37</v>
      </c>
    </row>
    <row r="337" s="1" customFormat="1" spans="1:6">
      <c r="A337" s="3" t="s">
        <v>812</v>
      </c>
      <c r="B337" s="4">
        <v>8625</v>
      </c>
      <c r="C337" s="3" t="s">
        <v>734</v>
      </c>
      <c r="D337" s="3" t="s">
        <v>15</v>
      </c>
      <c r="E337" s="5">
        <v>1663.8099050092</v>
      </c>
      <c r="F337" s="5">
        <v>48</v>
      </c>
    </row>
    <row r="338" s="1" customFormat="1" spans="1:6">
      <c r="A338" s="3" t="s">
        <v>812</v>
      </c>
      <c r="B338" s="4">
        <v>8653</v>
      </c>
      <c r="C338" s="3" t="s">
        <v>788</v>
      </c>
      <c r="D338" s="3" t="s">
        <v>15</v>
      </c>
      <c r="E338" s="5">
        <v>632.08914508403</v>
      </c>
      <c r="F338" s="5">
        <v>16</v>
      </c>
    </row>
    <row r="339" s="1" customFormat="1" spans="1:6">
      <c r="A339" s="3" t="s">
        <v>812</v>
      </c>
      <c r="B339" s="4">
        <v>8681</v>
      </c>
      <c r="C339" s="3" t="s">
        <v>616</v>
      </c>
      <c r="D339" s="3" t="s">
        <v>15</v>
      </c>
      <c r="E339" s="5">
        <v>693.92587480706</v>
      </c>
      <c r="F339" s="5">
        <v>28</v>
      </c>
    </row>
    <row r="340" s="1" customFormat="1" spans="1:6">
      <c r="A340" s="3" t="s">
        <v>812</v>
      </c>
      <c r="B340" s="4">
        <v>8705</v>
      </c>
      <c r="C340" s="3" t="s">
        <v>716</v>
      </c>
      <c r="D340" s="3" t="s">
        <v>15</v>
      </c>
      <c r="E340" s="5">
        <v>881.06998457415</v>
      </c>
      <c r="F340" s="5">
        <v>21</v>
      </c>
    </row>
    <row r="341" s="1" customFormat="1" spans="1:6">
      <c r="A341" s="3" t="s">
        <v>812</v>
      </c>
      <c r="B341" s="4">
        <v>1278</v>
      </c>
      <c r="C341" s="3" t="s">
        <v>771</v>
      </c>
      <c r="D341" s="3" t="s">
        <v>15</v>
      </c>
      <c r="E341" s="5">
        <v>337.59292035395</v>
      </c>
      <c r="F341" s="5">
        <v>11</v>
      </c>
    </row>
    <row r="342" s="1" customFormat="1" spans="1:6">
      <c r="A342" s="3" t="s">
        <v>812</v>
      </c>
      <c r="B342" s="4">
        <v>8726</v>
      </c>
      <c r="C342" s="3" t="s">
        <v>798</v>
      </c>
      <c r="D342" s="3" t="s">
        <v>15</v>
      </c>
      <c r="E342" s="5">
        <v>911.28318584076</v>
      </c>
      <c r="F342" s="5">
        <v>25</v>
      </c>
    </row>
    <row r="343" s="1" customFormat="1" spans="1:6">
      <c r="A343" s="3" t="s">
        <v>812</v>
      </c>
      <c r="B343" s="4">
        <v>1566</v>
      </c>
      <c r="C343" s="3" t="s">
        <v>786</v>
      </c>
      <c r="D343" s="3" t="s">
        <v>15</v>
      </c>
      <c r="E343" s="5">
        <v>730.71056263696</v>
      </c>
      <c r="F343" s="5">
        <v>21</v>
      </c>
    </row>
    <row r="344" s="1" customFormat="1" spans="1:6">
      <c r="A344" s="3" t="s">
        <v>812</v>
      </c>
      <c r="B344" s="4">
        <v>8755</v>
      </c>
      <c r="C344" s="3" t="s">
        <v>741</v>
      </c>
      <c r="D344" s="3" t="s">
        <v>15</v>
      </c>
      <c r="E344" s="5">
        <v>370.51879516114</v>
      </c>
      <c r="F344" s="5">
        <v>11</v>
      </c>
    </row>
    <row r="345" s="1" customFormat="1" spans="1:6">
      <c r="A345" s="3" t="s">
        <v>812</v>
      </c>
      <c r="B345" s="4">
        <v>2130</v>
      </c>
      <c r="C345" s="3" t="s">
        <v>657</v>
      </c>
      <c r="D345" s="3" t="s">
        <v>14</v>
      </c>
      <c r="E345" s="5">
        <v>864.3864577413</v>
      </c>
      <c r="F345" s="5">
        <v>19</v>
      </c>
    </row>
    <row r="346" s="1" customFormat="1" spans="1:6">
      <c r="A346" s="3" t="s">
        <v>812</v>
      </c>
      <c r="B346" s="4">
        <v>8615</v>
      </c>
      <c r="C346" s="3" t="s">
        <v>589</v>
      </c>
      <c r="D346" s="3" t="s">
        <v>14</v>
      </c>
      <c r="E346" s="5">
        <v>2157.01857595194</v>
      </c>
      <c r="F346" s="5">
        <v>46</v>
      </c>
    </row>
    <row r="347" s="1" customFormat="1" spans="1:6">
      <c r="A347" s="3" t="s">
        <v>812</v>
      </c>
      <c r="B347" s="4">
        <v>8644</v>
      </c>
      <c r="C347" s="3" t="s">
        <v>618</v>
      </c>
      <c r="D347" s="3" t="s">
        <v>14</v>
      </c>
      <c r="E347" s="5">
        <v>618.31135828528</v>
      </c>
      <c r="F347" s="5">
        <v>13</v>
      </c>
    </row>
    <row r="348" s="1" customFormat="1" spans="1:6">
      <c r="A348" s="3" t="s">
        <v>812</v>
      </c>
      <c r="B348" s="4">
        <v>8671</v>
      </c>
      <c r="C348" s="3" t="s">
        <v>598</v>
      </c>
      <c r="D348" s="3" t="s">
        <v>14</v>
      </c>
      <c r="E348" s="5">
        <v>3672.51311195902</v>
      </c>
      <c r="F348" s="5">
        <v>77</v>
      </c>
    </row>
    <row r="349" s="1" customFormat="1" spans="1:6">
      <c r="A349" s="3" t="s">
        <v>812</v>
      </c>
      <c r="B349" s="4">
        <v>8695</v>
      </c>
      <c r="C349" s="3" t="s">
        <v>609</v>
      </c>
      <c r="D349" s="3" t="s">
        <v>14</v>
      </c>
      <c r="E349" s="5">
        <v>1333.68255256961</v>
      </c>
      <c r="F349" s="5">
        <v>27</v>
      </c>
    </row>
    <row r="350" s="1" customFormat="1" spans="1:6">
      <c r="A350" s="3" t="s">
        <v>812</v>
      </c>
      <c r="B350" s="4">
        <v>1082</v>
      </c>
      <c r="C350" s="3" t="s">
        <v>698</v>
      </c>
      <c r="D350" s="3" t="s">
        <v>14</v>
      </c>
      <c r="E350" s="5">
        <v>1264.84907039049</v>
      </c>
      <c r="F350" s="5">
        <v>30</v>
      </c>
    </row>
    <row r="351" s="1" customFormat="1" spans="1:6">
      <c r="A351" s="3" t="s">
        <v>812</v>
      </c>
      <c r="B351" s="4">
        <v>8720</v>
      </c>
      <c r="C351" s="3" t="s">
        <v>679</v>
      </c>
      <c r="D351" s="3" t="s">
        <v>14</v>
      </c>
      <c r="E351" s="5">
        <v>2452.194365511</v>
      </c>
      <c r="F351" s="5">
        <v>63</v>
      </c>
    </row>
    <row r="352" s="1" customFormat="1" spans="1:6">
      <c r="A352" s="3" t="s">
        <v>812</v>
      </c>
      <c r="B352" s="4">
        <v>1461</v>
      </c>
      <c r="C352" s="3" t="s">
        <v>625</v>
      </c>
      <c r="D352" s="3" t="s">
        <v>14</v>
      </c>
      <c r="E352" s="5">
        <v>140.19469026547</v>
      </c>
      <c r="F352" s="5">
        <v>3</v>
      </c>
    </row>
    <row r="353" s="1" customFormat="1" spans="1:6">
      <c r="A353" s="3" t="s">
        <v>812</v>
      </c>
      <c r="B353" s="4">
        <v>8748</v>
      </c>
      <c r="C353" s="3" t="s">
        <v>702</v>
      </c>
      <c r="D353" s="3" t="s">
        <v>14</v>
      </c>
      <c r="E353" s="5">
        <v>617.66371681413</v>
      </c>
      <c r="F353" s="5">
        <v>17</v>
      </c>
    </row>
    <row r="354" s="1" customFormat="1" spans="1:6">
      <c r="A354" s="3" t="s">
        <v>812</v>
      </c>
      <c r="B354" s="4">
        <v>8811</v>
      </c>
      <c r="C354" s="3" t="s">
        <v>557</v>
      </c>
      <c r="D354" s="3" t="s">
        <v>14</v>
      </c>
      <c r="E354" s="5">
        <v>706.70861411051</v>
      </c>
      <c r="F354" s="5">
        <v>23</v>
      </c>
    </row>
    <row r="355" s="1" customFormat="1" spans="1:6">
      <c r="A355" s="3" t="s">
        <v>812</v>
      </c>
      <c r="B355" s="4">
        <v>8610</v>
      </c>
      <c r="C355" s="3" t="s">
        <v>797</v>
      </c>
      <c r="D355" s="3" t="s">
        <v>15</v>
      </c>
      <c r="E355" s="5">
        <v>709.10481448407</v>
      </c>
      <c r="F355" s="5">
        <v>21</v>
      </c>
    </row>
    <row r="356" s="1" customFormat="1" spans="1:6">
      <c r="A356" s="3" t="s">
        <v>812</v>
      </c>
      <c r="B356" s="4">
        <v>8634</v>
      </c>
      <c r="C356" s="3" t="s">
        <v>760</v>
      </c>
      <c r="D356" s="3" t="s">
        <v>15</v>
      </c>
      <c r="E356" s="5">
        <v>574.93407485589</v>
      </c>
      <c r="F356" s="5">
        <v>9</v>
      </c>
    </row>
    <row r="357" s="1" customFormat="1" spans="1:6">
      <c r="A357" s="3" t="s">
        <v>812</v>
      </c>
      <c r="B357" s="4">
        <v>8661</v>
      </c>
      <c r="C357" s="3" t="s">
        <v>623</v>
      </c>
      <c r="D357" s="3" t="s">
        <v>15</v>
      </c>
      <c r="E357" s="5">
        <v>2269.81821872189</v>
      </c>
      <c r="F357" s="5">
        <v>64</v>
      </c>
    </row>
    <row r="358" s="1" customFormat="1" spans="1:6">
      <c r="A358" s="3" t="s">
        <v>812</v>
      </c>
      <c r="B358" s="4">
        <v>8691</v>
      </c>
      <c r="C358" s="3" t="s">
        <v>602</v>
      </c>
      <c r="D358" s="3" t="s">
        <v>15</v>
      </c>
      <c r="E358" s="5">
        <v>1025.41657871228</v>
      </c>
      <c r="F358" s="5">
        <v>28</v>
      </c>
    </row>
    <row r="359" s="1" customFormat="1" spans="1:6">
      <c r="A359" s="3" t="s">
        <v>812</v>
      </c>
      <c r="B359" s="4">
        <v>1049</v>
      </c>
      <c r="C359" s="3" t="s">
        <v>694</v>
      </c>
      <c r="D359" s="3" t="s">
        <v>15</v>
      </c>
      <c r="E359" s="5">
        <v>75.66371681416</v>
      </c>
      <c r="F359" s="5">
        <v>2</v>
      </c>
    </row>
    <row r="360" s="1" customFormat="1" spans="1:6">
      <c r="A360" s="3" t="s">
        <v>812</v>
      </c>
      <c r="B360" s="4">
        <v>8715</v>
      </c>
      <c r="C360" s="3" t="s">
        <v>755</v>
      </c>
      <c r="D360" s="3" t="s">
        <v>15</v>
      </c>
      <c r="E360" s="5">
        <v>545.92904116261</v>
      </c>
      <c r="F360" s="5">
        <v>18</v>
      </c>
    </row>
    <row r="361" s="1" customFormat="1" spans="1:6">
      <c r="A361" s="3" t="s">
        <v>812</v>
      </c>
      <c r="B361" s="4">
        <v>1369</v>
      </c>
      <c r="C361" s="3" t="s">
        <v>770</v>
      </c>
      <c r="D361" s="3" t="s">
        <v>15</v>
      </c>
      <c r="E361" s="5">
        <v>447.62947958105</v>
      </c>
      <c r="F361" s="5">
        <v>12</v>
      </c>
    </row>
    <row r="362" s="1" customFormat="1" spans="1:6">
      <c r="A362" s="3" t="s">
        <v>812</v>
      </c>
      <c r="B362" s="4">
        <v>8737</v>
      </c>
      <c r="C362" s="3" t="s">
        <v>785</v>
      </c>
      <c r="D362" s="3" t="s">
        <v>15</v>
      </c>
      <c r="E362" s="5">
        <v>137.16992774215</v>
      </c>
      <c r="F362" s="5">
        <v>4</v>
      </c>
    </row>
    <row r="363" s="1" customFormat="1" spans="1:6">
      <c r="A363" s="3" t="s">
        <v>812</v>
      </c>
      <c r="B363" s="4">
        <v>1741</v>
      </c>
      <c r="C363" s="3" t="s">
        <v>592</v>
      </c>
      <c r="D363" s="3" t="s">
        <v>15</v>
      </c>
      <c r="E363" s="5">
        <v>1826.47548916134</v>
      </c>
      <c r="F363" s="5">
        <v>49</v>
      </c>
    </row>
    <row r="364" s="1" customFormat="1" spans="1:6">
      <c r="A364" s="3" t="s">
        <v>812</v>
      </c>
      <c r="B364" s="4">
        <v>8604</v>
      </c>
      <c r="C364" s="3" t="s">
        <v>718</v>
      </c>
      <c r="D364" s="3" t="s">
        <v>14</v>
      </c>
      <c r="E364" s="5">
        <v>1036.814159292</v>
      </c>
      <c r="F364" s="5">
        <v>27</v>
      </c>
    </row>
    <row r="365" s="1" customFormat="1" spans="1:6">
      <c r="A365" s="3" t="s">
        <v>812</v>
      </c>
      <c r="B365" s="4">
        <v>8628</v>
      </c>
      <c r="C365" s="3" t="s">
        <v>622</v>
      </c>
      <c r="D365" s="3" t="s">
        <v>14</v>
      </c>
      <c r="E365" s="5">
        <v>4603.77940245178</v>
      </c>
      <c r="F365" s="5">
        <v>111</v>
      </c>
    </row>
    <row r="366" s="1" customFormat="1" spans="1:6">
      <c r="A366" s="3" t="s">
        <v>812</v>
      </c>
      <c r="B366" s="4">
        <v>8655</v>
      </c>
      <c r="C366" s="3" t="s">
        <v>611</v>
      </c>
      <c r="D366" s="3" t="s">
        <v>14</v>
      </c>
      <c r="E366" s="5">
        <v>363.02589916376</v>
      </c>
      <c r="F366" s="5">
        <v>6</v>
      </c>
    </row>
    <row r="367" s="1" customFormat="1" spans="1:6">
      <c r="A367" s="3" t="s">
        <v>812</v>
      </c>
      <c r="B367" s="4">
        <v>8684</v>
      </c>
      <c r="C367" s="3" t="s">
        <v>709</v>
      </c>
      <c r="D367" s="3" t="s">
        <v>14</v>
      </c>
      <c r="E367" s="5">
        <v>3215.03953884861</v>
      </c>
      <c r="F367" s="5">
        <v>77</v>
      </c>
    </row>
    <row r="368" s="1" customFormat="1" spans="1:6">
      <c r="A368" s="3" t="s">
        <v>812</v>
      </c>
      <c r="B368" s="4">
        <v>8709</v>
      </c>
      <c r="C368" s="3" t="s">
        <v>605</v>
      </c>
      <c r="D368" s="3" t="s">
        <v>14</v>
      </c>
      <c r="E368" s="5">
        <v>977.90452220498</v>
      </c>
      <c r="F368" s="5">
        <v>25</v>
      </c>
    </row>
    <row r="369" s="1" customFormat="1" spans="1:6">
      <c r="A369" s="3" t="s">
        <v>812</v>
      </c>
      <c r="B369" s="4">
        <v>1293</v>
      </c>
      <c r="C369" s="3" t="s">
        <v>627</v>
      </c>
      <c r="D369" s="3" t="s">
        <v>14</v>
      </c>
      <c r="E369" s="5">
        <v>25.22123893805</v>
      </c>
      <c r="F369" s="5">
        <v>1</v>
      </c>
    </row>
    <row r="370" s="1" customFormat="1" spans="1:6">
      <c r="A370" s="3" t="s">
        <v>812</v>
      </c>
      <c r="B370" s="4">
        <v>8730</v>
      </c>
      <c r="C370" s="3" t="s">
        <v>749</v>
      </c>
      <c r="D370" s="3" t="s">
        <v>14</v>
      </c>
      <c r="E370" s="5">
        <v>154.31030283349</v>
      </c>
      <c r="F370" s="5">
        <v>4</v>
      </c>
    </row>
    <row r="371" s="1" customFormat="1" spans="1:6">
      <c r="A371" s="3" t="s">
        <v>812</v>
      </c>
      <c r="B371" s="4">
        <v>1594</v>
      </c>
      <c r="C371" s="3" t="s">
        <v>740</v>
      </c>
      <c r="D371" s="3" t="s">
        <v>14</v>
      </c>
      <c r="E371" s="5">
        <v>2661.29252252963</v>
      </c>
      <c r="F371" s="5">
        <v>65</v>
      </c>
    </row>
    <row r="372" s="1" customFormat="1" spans="1:6">
      <c r="A372" s="3" t="s">
        <v>812</v>
      </c>
      <c r="B372" s="4">
        <v>8765</v>
      </c>
      <c r="C372" s="3" t="s">
        <v>767</v>
      </c>
      <c r="D372" s="3" t="s">
        <v>15</v>
      </c>
      <c r="E372" s="5">
        <v>549.60639766172</v>
      </c>
      <c r="F372" s="5">
        <v>13</v>
      </c>
    </row>
    <row r="373" s="1" customFormat="1" spans="1:6">
      <c r="A373" s="3" t="s">
        <v>812</v>
      </c>
      <c r="B373" s="4">
        <v>8600</v>
      </c>
      <c r="C373" s="3" t="s">
        <v>601</v>
      </c>
      <c r="D373" s="3" t="s">
        <v>15</v>
      </c>
      <c r="E373" s="5">
        <v>356.2389380531</v>
      </c>
      <c r="F373" s="5">
        <v>11</v>
      </c>
    </row>
    <row r="374" s="1" customFormat="1" spans="1:6">
      <c r="A374" s="3" t="s">
        <v>812</v>
      </c>
      <c r="B374" s="4">
        <v>8622</v>
      </c>
      <c r="C374" s="3" t="s">
        <v>729</v>
      </c>
      <c r="D374" s="3" t="s">
        <v>15</v>
      </c>
      <c r="E374" s="5">
        <v>1289.76106194689</v>
      </c>
      <c r="F374" s="5">
        <v>33</v>
      </c>
    </row>
    <row r="375" s="1" customFormat="1" spans="1:6">
      <c r="A375" s="3" t="s">
        <v>812</v>
      </c>
      <c r="B375" s="4">
        <v>8647</v>
      </c>
      <c r="C375" s="3" t="s">
        <v>595</v>
      </c>
      <c r="D375" s="3" t="s">
        <v>15</v>
      </c>
      <c r="E375" s="5">
        <v>391.9869286352</v>
      </c>
      <c r="F375" s="5">
        <v>11</v>
      </c>
    </row>
    <row r="376" s="1" customFormat="1" spans="1:6">
      <c r="A376" s="3" t="s">
        <v>812</v>
      </c>
      <c r="B376" s="4">
        <v>8678</v>
      </c>
      <c r="C376" s="3" t="s">
        <v>757</v>
      </c>
      <c r="D376" s="3" t="s">
        <v>15</v>
      </c>
      <c r="E376" s="5">
        <v>1242.40884955742</v>
      </c>
      <c r="F376" s="5">
        <v>30</v>
      </c>
    </row>
    <row r="377" s="1" customFormat="1" spans="1:6">
      <c r="A377" s="3" t="s">
        <v>812</v>
      </c>
      <c r="B377" s="4">
        <v>8700</v>
      </c>
      <c r="C377" s="3" t="s">
        <v>591</v>
      </c>
      <c r="D377" s="3" t="s">
        <v>15</v>
      </c>
      <c r="E377" s="5">
        <v>225.50442477877</v>
      </c>
      <c r="F377" s="5">
        <v>7</v>
      </c>
    </row>
    <row r="378" s="1" customFormat="1" spans="1:6">
      <c r="A378" s="3" t="s">
        <v>812</v>
      </c>
      <c r="B378" s="4">
        <v>1133</v>
      </c>
      <c r="C378" s="3" t="s">
        <v>775</v>
      </c>
      <c r="D378" s="3" t="s">
        <v>15</v>
      </c>
      <c r="E378" s="5">
        <v>432.36283185843</v>
      </c>
      <c r="F378" s="5">
        <v>11</v>
      </c>
    </row>
    <row r="379" s="1" customFormat="1" spans="1:6">
      <c r="A379" s="3" t="s">
        <v>812</v>
      </c>
      <c r="B379" s="4">
        <v>8724</v>
      </c>
      <c r="C379" s="3" t="s">
        <v>722</v>
      </c>
      <c r="D379" s="3" t="s">
        <v>15</v>
      </c>
      <c r="E379" s="5">
        <v>88.47787610616</v>
      </c>
      <c r="F379" s="5">
        <v>3</v>
      </c>
    </row>
    <row r="380" s="1" customFormat="1" spans="1:6">
      <c r="A380" s="3" t="s">
        <v>812</v>
      </c>
      <c r="B380" s="4">
        <v>1543</v>
      </c>
      <c r="C380" s="3" t="s">
        <v>750</v>
      </c>
      <c r="D380" s="3" t="s">
        <v>15</v>
      </c>
      <c r="E380" s="5">
        <v>269.70796460177</v>
      </c>
      <c r="F380" s="5">
        <v>6</v>
      </c>
    </row>
    <row r="381" s="1" customFormat="1" spans="1:6">
      <c r="A381" s="3" t="s">
        <v>812</v>
      </c>
      <c r="B381" s="4">
        <v>8751</v>
      </c>
      <c r="C381" s="3" t="s">
        <v>759</v>
      </c>
      <c r="D381" s="3" t="s">
        <v>15</v>
      </c>
      <c r="E381" s="5">
        <v>571.50807826579</v>
      </c>
      <c r="F381" s="5">
        <v>17</v>
      </c>
    </row>
    <row r="382" s="1" customFormat="1" spans="1:6">
      <c r="A382" s="3" t="s">
        <v>812</v>
      </c>
      <c r="B382" s="4">
        <v>8613</v>
      </c>
      <c r="C382" s="3" t="s">
        <v>752</v>
      </c>
      <c r="D382" s="3" t="s">
        <v>14</v>
      </c>
      <c r="E382" s="5">
        <v>296.41990744498</v>
      </c>
      <c r="F382" s="5">
        <v>8</v>
      </c>
    </row>
    <row r="383" s="1" customFormat="1" spans="1:6">
      <c r="A383" s="3" t="s">
        <v>812</v>
      </c>
      <c r="B383" s="4">
        <v>8638</v>
      </c>
      <c r="C383" s="3" t="s">
        <v>778</v>
      </c>
      <c r="D383" s="3" t="s">
        <v>14</v>
      </c>
      <c r="E383" s="5">
        <v>2876.96094828257</v>
      </c>
      <c r="F383" s="5">
        <v>73</v>
      </c>
    </row>
    <row r="384" s="1" customFormat="1" spans="1:6">
      <c r="A384" s="3" t="s">
        <v>812</v>
      </c>
      <c r="B384" s="4">
        <v>8665</v>
      </c>
      <c r="C384" s="3" t="s">
        <v>783</v>
      </c>
      <c r="D384" s="3" t="s">
        <v>14</v>
      </c>
      <c r="E384" s="5">
        <v>1772.41844605009</v>
      </c>
      <c r="F384" s="5">
        <v>42</v>
      </c>
    </row>
    <row r="385" s="1" customFormat="1" spans="1:6">
      <c r="A385" s="3" t="s">
        <v>812</v>
      </c>
      <c r="B385" s="4">
        <v>8693</v>
      </c>
      <c r="C385" s="3" t="s">
        <v>736</v>
      </c>
      <c r="D385" s="3" t="s">
        <v>14</v>
      </c>
      <c r="E385" s="5">
        <v>339.23845092143</v>
      </c>
      <c r="F385" s="5">
        <v>10</v>
      </c>
    </row>
    <row r="386" s="1" customFormat="1" spans="1:6">
      <c r="A386" s="3" t="s">
        <v>812</v>
      </c>
      <c r="B386" s="4">
        <v>1070</v>
      </c>
      <c r="C386" s="3" t="s">
        <v>634</v>
      </c>
      <c r="D386" s="3" t="s">
        <v>14</v>
      </c>
      <c r="E386" s="5">
        <v>744.07323211823</v>
      </c>
      <c r="F386" s="5">
        <v>11</v>
      </c>
    </row>
    <row r="387" s="1" customFormat="1" spans="1:6">
      <c r="A387" s="3" t="s">
        <v>812</v>
      </c>
      <c r="B387" s="4">
        <v>8717</v>
      </c>
      <c r="C387" s="3" t="s">
        <v>728</v>
      </c>
      <c r="D387" s="3" t="s">
        <v>14</v>
      </c>
      <c r="E387" s="5">
        <v>510.69903385562</v>
      </c>
      <c r="F387" s="5">
        <v>13</v>
      </c>
    </row>
    <row r="388" s="1" customFormat="1" spans="1:6">
      <c r="A388" s="3" t="s">
        <v>812</v>
      </c>
      <c r="B388" s="4">
        <v>1386</v>
      </c>
      <c r="C388" s="3" t="s">
        <v>596</v>
      </c>
      <c r="D388" s="3" t="s">
        <v>14</v>
      </c>
      <c r="E388" s="5">
        <v>69.64601769911</v>
      </c>
      <c r="F388" s="5">
        <v>1</v>
      </c>
    </row>
    <row r="389" s="1" customFormat="1" spans="1:6">
      <c r="A389" s="3" t="s">
        <v>812</v>
      </c>
      <c r="B389" s="4">
        <v>8744</v>
      </c>
      <c r="C389" s="3" t="s">
        <v>617</v>
      </c>
      <c r="D389" s="3" t="s">
        <v>14</v>
      </c>
      <c r="E389" s="5">
        <v>819.28635219611</v>
      </c>
      <c r="F389" s="5">
        <v>20</v>
      </c>
    </row>
    <row r="390" s="1" customFormat="1" spans="1:6">
      <c r="A390" s="3" t="s">
        <v>812</v>
      </c>
      <c r="B390" s="4">
        <v>1837</v>
      </c>
      <c r="C390" s="3" t="s">
        <v>680</v>
      </c>
      <c r="D390" s="3" t="s">
        <v>14</v>
      </c>
      <c r="E390" s="5">
        <v>3241.69310708767</v>
      </c>
      <c r="F390" s="5">
        <v>76</v>
      </c>
    </row>
    <row r="391" s="1" customFormat="1" spans="1:6">
      <c r="A391" s="3" t="s">
        <v>812</v>
      </c>
      <c r="B391" s="4">
        <v>8772</v>
      </c>
      <c r="C391" s="3" t="s">
        <v>614</v>
      </c>
      <c r="D391" s="3" t="s">
        <v>14</v>
      </c>
      <c r="E391" s="5">
        <v>372.48924251026</v>
      </c>
      <c r="F391" s="5">
        <v>9</v>
      </c>
    </row>
    <row r="392" s="1" customFormat="1" spans="1:6">
      <c r="A392" s="3" t="s">
        <v>812</v>
      </c>
      <c r="B392" s="4">
        <v>8608</v>
      </c>
      <c r="C392" s="3" t="s">
        <v>712</v>
      </c>
      <c r="D392" s="3" t="s">
        <v>15</v>
      </c>
      <c r="E392" s="5">
        <v>1670.23918161893</v>
      </c>
      <c r="F392" s="5">
        <v>48</v>
      </c>
    </row>
    <row r="393" s="1" customFormat="1" spans="1:6">
      <c r="A393" s="3" t="s">
        <v>812</v>
      </c>
      <c r="B393" s="4">
        <v>8632</v>
      </c>
      <c r="C393" s="3" t="s">
        <v>747</v>
      </c>
      <c r="D393" s="3" t="s">
        <v>15</v>
      </c>
      <c r="E393" s="5">
        <v>1205.87608995681</v>
      </c>
      <c r="F393" s="5">
        <v>34</v>
      </c>
    </row>
    <row r="394" s="1" customFormat="1" spans="1:6">
      <c r="A394" s="3" t="s">
        <v>812</v>
      </c>
      <c r="B394" s="4">
        <v>8658</v>
      </c>
      <c r="C394" s="3" t="s">
        <v>711</v>
      </c>
      <c r="D394" s="3" t="s">
        <v>15</v>
      </c>
      <c r="E394" s="5">
        <v>854.02760412439</v>
      </c>
      <c r="F394" s="5">
        <v>15</v>
      </c>
    </row>
    <row r="395" s="1" customFormat="1" spans="1:6">
      <c r="A395" s="3" t="s">
        <v>812</v>
      </c>
      <c r="B395" s="4">
        <v>8687</v>
      </c>
      <c r="C395" s="3" t="s">
        <v>804</v>
      </c>
      <c r="D395" s="3" t="s">
        <v>15</v>
      </c>
      <c r="E395" s="5">
        <v>589.26548672561</v>
      </c>
      <c r="F395" s="5">
        <v>15</v>
      </c>
    </row>
    <row r="396" s="1" customFormat="1" spans="1:6">
      <c r="A396" s="3" t="s">
        <v>812</v>
      </c>
      <c r="B396" s="4">
        <v>8713</v>
      </c>
      <c r="C396" s="3" t="s">
        <v>784</v>
      </c>
      <c r="D396" s="3" t="s">
        <v>15</v>
      </c>
      <c r="E396" s="5">
        <v>80.87610619467</v>
      </c>
      <c r="F396" s="5">
        <v>3</v>
      </c>
    </row>
    <row r="397" s="1" customFormat="1" spans="1:6">
      <c r="A397" s="3" t="s">
        <v>812</v>
      </c>
      <c r="B397" s="4">
        <v>1299</v>
      </c>
      <c r="C397" s="3" t="s">
        <v>615</v>
      </c>
      <c r="D397" s="3" t="s">
        <v>15</v>
      </c>
      <c r="E397" s="5">
        <v>408.03020215961</v>
      </c>
      <c r="F397" s="5">
        <v>10</v>
      </c>
    </row>
    <row r="398" s="1" customFormat="1" spans="1:6">
      <c r="A398" s="3" t="s">
        <v>812</v>
      </c>
      <c r="B398" s="4">
        <v>8735</v>
      </c>
      <c r="C398" s="3" t="s">
        <v>721</v>
      </c>
      <c r="D398" s="3" t="s">
        <v>15</v>
      </c>
      <c r="E398" s="5">
        <v>102.55752212389</v>
      </c>
      <c r="F398" s="5">
        <v>3</v>
      </c>
    </row>
    <row r="399" s="1" customFormat="1" spans="1:6">
      <c r="A399" s="3" t="s">
        <v>812</v>
      </c>
      <c r="B399" s="4">
        <v>1608</v>
      </c>
      <c r="C399" s="3" t="s">
        <v>696</v>
      </c>
      <c r="D399" s="3" t="s">
        <v>15</v>
      </c>
      <c r="E399" s="5">
        <v>45.13274336284</v>
      </c>
      <c r="F399" s="5">
        <v>2</v>
      </c>
    </row>
    <row r="400" s="1" customFormat="1" spans="1:6">
      <c r="A400" s="3" t="s">
        <v>812</v>
      </c>
      <c r="B400" s="4">
        <v>8602</v>
      </c>
      <c r="C400" s="3" t="s">
        <v>794</v>
      </c>
      <c r="D400" s="3" t="s">
        <v>14</v>
      </c>
      <c r="E400" s="5">
        <v>1682.73491921727</v>
      </c>
      <c r="F400" s="5">
        <v>38</v>
      </c>
    </row>
    <row r="401" s="1" customFormat="1" spans="1:6">
      <c r="A401" s="3" t="s">
        <v>812</v>
      </c>
      <c r="B401" s="4">
        <v>8625</v>
      </c>
      <c r="C401" s="3" t="s">
        <v>734</v>
      </c>
      <c r="D401" s="3" t="s">
        <v>14</v>
      </c>
      <c r="E401" s="5">
        <v>2227.17057725087</v>
      </c>
      <c r="F401" s="5">
        <v>57</v>
      </c>
    </row>
    <row r="402" s="1" customFormat="1" spans="1:6">
      <c r="A402" s="3" t="s">
        <v>812</v>
      </c>
      <c r="B402" s="4">
        <v>8653</v>
      </c>
      <c r="C402" s="3" t="s">
        <v>788</v>
      </c>
      <c r="D402" s="3" t="s">
        <v>14</v>
      </c>
      <c r="E402" s="5">
        <v>222.65405537063</v>
      </c>
      <c r="F402" s="5">
        <v>7</v>
      </c>
    </row>
    <row r="403" s="1" customFormat="1" spans="1:6">
      <c r="A403" s="3" t="s">
        <v>812</v>
      </c>
      <c r="B403" s="4">
        <v>8681</v>
      </c>
      <c r="C403" s="3" t="s">
        <v>616</v>
      </c>
      <c r="D403" s="3" t="s">
        <v>14</v>
      </c>
      <c r="E403" s="5">
        <v>2102.26987091002</v>
      </c>
      <c r="F403" s="5">
        <v>54</v>
      </c>
    </row>
    <row r="404" s="1" customFormat="1" spans="1:6">
      <c r="A404" s="3" t="s">
        <v>812</v>
      </c>
      <c r="B404" s="4">
        <v>8705</v>
      </c>
      <c r="C404" s="3" t="s">
        <v>716</v>
      </c>
      <c r="D404" s="3" t="s">
        <v>14</v>
      </c>
      <c r="E404" s="5">
        <v>367.72753105455</v>
      </c>
      <c r="F404" s="5">
        <v>10</v>
      </c>
    </row>
    <row r="405" s="1" customFormat="1" spans="1:6">
      <c r="A405" s="3" t="s">
        <v>812</v>
      </c>
      <c r="B405" s="4">
        <v>1278</v>
      </c>
      <c r="C405" s="3" t="s">
        <v>771</v>
      </c>
      <c r="D405" s="3" t="s">
        <v>14</v>
      </c>
      <c r="E405" s="5">
        <v>615.74896484525</v>
      </c>
      <c r="F405" s="5">
        <v>16</v>
      </c>
    </row>
    <row r="406" s="1" customFormat="1" spans="1:6">
      <c r="A406" s="3" t="s">
        <v>812</v>
      </c>
      <c r="B406" s="4">
        <v>8726</v>
      </c>
      <c r="C406" s="3" t="s">
        <v>798</v>
      </c>
      <c r="D406" s="3" t="s">
        <v>14</v>
      </c>
      <c r="E406" s="5">
        <v>1149.62003734666</v>
      </c>
      <c r="F406" s="5">
        <v>25</v>
      </c>
    </row>
    <row r="407" s="1" customFormat="1" spans="1:6">
      <c r="A407" s="3" t="s">
        <v>812</v>
      </c>
      <c r="B407" s="4">
        <v>1566</v>
      </c>
      <c r="C407" s="3" t="s">
        <v>786</v>
      </c>
      <c r="D407" s="3" t="s">
        <v>14</v>
      </c>
      <c r="E407" s="5">
        <v>270.26548672563</v>
      </c>
      <c r="F407" s="5">
        <v>6</v>
      </c>
    </row>
    <row r="408" s="1" customFormat="1" spans="1:6">
      <c r="A408" s="3" t="s">
        <v>812</v>
      </c>
      <c r="B408" s="4">
        <v>8755</v>
      </c>
      <c r="C408" s="3" t="s">
        <v>741</v>
      </c>
      <c r="D408" s="3" t="s">
        <v>14</v>
      </c>
      <c r="E408" s="5">
        <v>399.46902654862</v>
      </c>
      <c r="F408" s="5">
        <v>9</v>
      </c>
    </row>
    <row r="409" s="1" customFormat="1" spans="1:6">
      <c r="A409" s="3" t="s">
        <v>812</v>
      </c>
      <c r="B409" s="4">
        <v>2207</v>
      </c>
      <c r="C409" s="3" t="s">
        <v>733</v>
      </c>
      <c r="D409" s="3" t="s">
        <v>15</v>
      </c>
      <c r="E409" s="5">
        <v>443.13858894205</v>
      </c>
      <c r="F409" s="5">
        <v>11</v>
      </c>
    </row>
    <row r="410" s="1" customFormat="1" spans="1:6">
      <c r="A410" s="3" t="s">
        <v>812</v>
      </c>
      <c r="B410" s="4">
        <v>8617</v>
      </c>
      <c r="C410" s="3" t="s">
        <v>587</v>
      </c>
      <c r="D410" s="3" t="s">
        <v>15</v>
      </c>
      <c r="E410" s="5">
        <v>171.41592920352</v>
      </c>
      <c r="F410" s="5">
        <v>5</v>
      </c>
    </row>
    <row r="411" s="1" customFormat="1" spans="1:6">
      <c r="A411" s="3" t="s">
        <v>812</v>
      </c>
      <c r="B411" s="4">
        <v>8645</v>
      </c>
      <c r="C411" s="3" t="s">
        <v>774</v>
      </c>
      <c r="D411" s="3" t="s">
        <v>15</v>
      </c>
      <c r="E411" s="5">
        <v>660.53148493944</v>
      </c>
      <c r="F411" s="5">
        <v>21</v>
      </c>
    </row>
    <row r="412" s="1" customFormat="1" spans="1:6">
      <c r="A412" s="3" t="s">
        <v>812</v>
      </c>
      <c r="B412" s="4">
        <v>8674</v>
      </c>
      <c r="C412" s="3" t="s">
        <v>701</v>
      </c>
      <c r="D412" s="3" t="s">
        <v>15</v>
      </c>
      <c r="E412" s="5">
        <v>951.79434927331</v>
      </c>
      <c r="F412" s="5">
        <v>26</v>
      </c>
    </row>
    <row r="413" s="1" customFormat="1" spans="1:6">
      <c r="A413" s="3" t="s">
        <v>812</v>
      </c>
      <c r="B413" s="4">
        <v>8697</v>
      </c>
      <c r="C413" s="3" t="s">
        <v>603</v>
      </c>
      <c r="D413" s="3" t="s">
        <v>15</v>
      </c>
      <c r="E413" s="5">
        <v>1236.11959080949</v>
      </c>
      <c r="F413" s="5">
        <v>36</v>
      </c>
    </row>
    <row r="414" s="1" customFormat="1" spans="1:6">
      <c r="A414" s="3" t="s">
        <v>812</v>
      </c>
      <c r="B414" s="4">
        <v>1088</v>
      </c>
      <c r="C414" s="3" t="s">
        <v>663</v>
      </c>
      <c r="D414" s="3" t="s">
        <v>15</v>
      </c>
      <c r="E414" s="5">
        <v>117.37752699522</v>
      </c>
      <c r="F414" s="5">
        <v>4</v>
      </c>
    </row>
    <row r="415" s="1" customFormat="1" spans="1:6">
      <c r="A415" s="3" t="s">
        <v>812</v>
      </c>
      <c r="B415" s="4">
        <v>8722</v>
      </c>
      <c r="C415" s="3" t="s">
        <v>699</v>
      </c>
      <c r="D415" s="3" t="s">
        <v>15</v>
      </c>
      <c r="E415" s="5">
        <v>260.63905983599</v>
      </c>
      <c r="F415" s="5">
        <v>7</v>
      </c>
    </row>
    <row r="416" s="1" customFormat="1" spans="1:6">
      <c r="A416" s="3" t="s">
        <v>812</v>
      </c>
      <c r="B416" s="4">
        <v>1479</v>
      </c>
      <c r="C416" s="3" t="s">
        <v>758</v>
      </c>
      <c r="D416" s="3" t="s">
        <v>15</v>
      </c>
      <c r="E416" s="5">
        <v>129.20353982301</v>
      </c>
      <c r="F416" s="5">
        <v>4</v>
      </c>
    </row>
    <row r="417" s="1" customFormat="1" spans="1:6">
      <c r="A417" s="3" t="s">
        <v>812</v>
      </c>
      <c r="B417" s="4">
        <v>8749</v>
      </c>
      <c r="C417" s="3" t="s">
        <v>765</v>
      </c>
      <c r="D417" s="3" t="s">
        <v>15</v>
      </c>
      <c r="E417" s="5">
        <v>51.67256637169</v>
      </c>
      <c r="F417" s="5">
        <v>2</v>
      </c>
    </row>
    <row r="418" s="1" customFormat="1" spans="1:6">
      <c r="A418" s="3" t="s">
        <v>812</v>
      </c>
      <c r="B418" s="4">
        <v>8610</v>
      </c>
      <c r="C418" s="3" t="s">
        <v>797</v>
      </c>
      <c r="D418" s="3" t="s">
        <v>14</v>
      </c>
      <c r="E418" s="5">
        <v>976.24583908414</v>
      </c>
      <c r="F418" s="5">
        <v>21</v>
      </c>
    </row>
    <row r="419" s="1" customFormat="1" spans="1:6">
      <c r="A419" s="3" t="s">
        <v>812</v>
      </c>
      <c r="B419" s="4">
        <v>8634</v>
      </c>
      <c r="C419" s="3" t="s">
        <v>760</v>
      </c>
      <c r="D419" s="3" t="s">
        <v>14</v>
      </c>
      <c r="E419" s="5">
        <v>494.86725663719</v>
      </c>
      <c r="F419" s="5">
        <v>11</v>
      </c>
    </row>
    <row r="420" s="1" customFormat="1" spans="1:6">
      <c r="A420" s="3" t="s">
        <v>812</v>
      </c>
      <c r="B420" s="4">
        <v>8661</v>
      </c>
      <c r="C420" s="3" t="s">
        <v>623</v>
      </c>
      <c r="D420" s="3" t="s">
        <v>14</v>
      </c>
      <c r="E420" s="5">
        <v>3469.16586831188</v>
      </c>
      <c r="F420" s="5">
        <v>87</v>
      </c>
    </row>
    <row r="421" s="1" customFormat="1" spans="1:6">
      <c r="A421" s="3" t="s">
        <v>812</v>
      </c>
      <c r="B421" s="4">
        <v>8691</v>
      </c>
      <c r="C421" s="3" t="s">
        <v>602</v>
      </c>
      <c r="D421" s="3" t="s">
        <v>14</v>
      </c>
      <c r="E421" s="5">
        <v>774.93870260612</v>
      </c>
      <c r="F421" s="5">
        <v>21</v>
      </c>
    </row>
    <row r="422" s="1" customFormat="1" spans="1:6">
      <c r="A422" s="3" t="s">
        <v>812</v>
      </c>
      <c r="B422" s="4">
        <v>1049</v>
      </c>
      <c r="C422" s="3" t="s">
        <v>694</v>
      </c>
      <c r="D422" s="3" t="s">
        <v>14</v>
      </c>
      <c r="E422" s="5">
        <v>217.78863359583</v>
      </c>
      <c r="F422" s="5">
        <v>4</v>
      </c>
    </row>
    <row r="423" s="1" customFormat="1" spans="1:6">
      <c r="A423" s="3" t="s">
        <v>812</v>
      </c>
      <c r="B423" s="4">
        <v>8715</v>
      </c>
      <c r="C423" s="3" t="s">
        <v>755</v>
      </c>
      <c r="D423" s="3" t="s">
        <v>14</v>
      </c>
      <c r="E423" s="5">
        <v>1993.8369732889</v>
      </c>
      <c r="F423" s="5">
        <v>51</v>
      </c>
    </row>
    <row r="424" s="1" customFormat="1" spans="1:6">
      <c r="A424" s="3" t="s">
        <v>812</v>
      </c>
      <c r="B424" s="4">
        <v>1369</v>
      </c>
      <c r="C424" s="3" t="s">
        <v>770</v>
      </c>
      <c r="D424" s="3" t="s">
        <v>14</v>
      </c>
      <c r="E424" s="5">
        <v>54.74303807745</v>
      </c>
      <c r="F424" s="5">
        <v>2</v>
      </c>
    </row>
    <row r="425" s="1" customFormat="1" spans="1:6">
      <c r="A425" s="3" t="s">
        <v>812</v>
      </c>
      <c r="B425" s="4">
        <v>8737</v>
      </c>
      <c r="C425" s="3" t="s">
        <v>785</v>
      </c>
      <c r="D425" s="3" t="s">
        <v>14</v>
      </c>
      <c r="E425" s="5">
        <v>78.25931639196</v>
      </c>
      <c r="F425" s="5">
        <v>2</v>
      </c>
    </row>
    <row r="426" s="1" customFormat="1" spans="1:6">
      <c r="A426" s="3" t="s">
        <v>812</v>
      </c>
      <c r="B426" s="4">
        <v>1741</v>
      </c>
      <c r="C426" s="3" t="s">
        <v>592</v>
      </c>
      <c r="D426" s="3" t="s">
        <v>14</v>
      </c>
      <c r="E426" s="5">
        <v>3432.00237882585</v>
      </c>
      <c r="F426" s="5">
        <v>86</v>
      </c>
    </row>
    <row r="427" s="1" customFormat="1" spans="1:6">
      <c r="A427" s="3" t="s">
        <v>812</v>
      </c>
      <c r="B427" s="4">
        <v>8606</v>
      </c>
      <c r="C427" s="3" t="s">
        <v>746</v>
      </c>
      <c r="D427" s="3" t="s">
        <v>15</v>
      </c>
      <c r="E427" s="5">
        <v>666.95274823415</v>
      </c>
      <c r="F427" s="5">
        <v>16</v>
      </c>
    </row>
    <row r="428" s="1" customFormat="1" spans="1:6">
      <c r="A428" s="3" t="s">
        <v>812</v>
      </c>
      <c r="B428" s="4">
        <v>8629</v>
      </c>
      <c r="C428" s="3" t="s">
        <v>763</v>
      </c>
      <c r="D428" s="3" t="s">
        <v>15</v>
      </c>
      <c r="E428" s="5">
        <v>470.82869205164</v>
      </c>
      <c r="F428" s="5">
        <v>12</v>
      </c>
    </row>
    <row r="429" s="1" customFormat="1" spans="1:6">
      <c r="A429" s="3" t="s">
        <v>812</v>
      </c>
      <c r="B429" s="4">
        <v>8656</v>
      </c>
      <c r="C429" s="3" t="s">
        <v>779</v>
      </c>
      <c r="D429" s="3" t="s">
        <v>15</v>
      </c>
      <c r="E429" s="5">
        <v>1009.19776731336</v>
      </c>
      <c r="F429" s="5">
        <v>23</v>
      </c>
    </row>
    <row r="430" s="1" customFormat="1" spans="1:6">
      <c r="A430" s="3" t="s">
        <v>812</v>
      </c>
      <c r="B430" s="4">
        <v>8685</v>
      </c>
      <c r="C430" s="3" t="s">
        <v>739</v>
      </c>
      <c r="D430" s="3" t="s">
        <v>15</v>
      </c>
      <c r="E430" s="5">
        <v>1359.41965576032</v>
      </c>
      <c r="F430" s="5">
        <v>39</v>
      </c>
    </row>
    <row r="431" s="1" customFormat="1" spans="1:6">
      <c r="A431" s="3" t="s">
        <v>812</v>
      </c>
      <c r="B431" s="4">
        <v>8710</v>
      </c>
      <c r="C431" s="3" t="s">
        <v>737</v>
      </c>
      <c r="D431" s="3" t="s">
        <v>15</v>
      </c>
      <c r="E431" s="5">
        <v>442.50442477877</v>
      </c>
      <c r="F431" s="5">
        <v>11</v>
      </c>
    </row>
    <row r="432" s="1" customFormat="1" spans="1:6">
      <c r="A432" s="3" t="s">
        <v>812</v>
      </c>
      <c r="B432" s="4">
        <v>1294</v>
      </c>
      <c r="C432" s="3" t="s">
        <v>690</v>
      </c>
      <c r="D432" s="3" t="s">
        <v>15</v>
      </c>
      <c r="E432" s="5">
        <v>297.08532921979</v>
      </c>
      <c r="F432" s="5">
        <v>7</v>
      </c>
    </row>
    <row r="433" s="1" customFormat="1" spans="1:6">
      <c r="A433" s="3" t="s">
        <v>812</v>
      </c>
      <c r="B433" s="4">
        <v>8731</v>
      </c>
      <c r="C433" s="3" t="s">
        <v>743</v>
      </c>
      <c r="D433" s="3" t="s">
        <v>15</v>
      </c>
      <c r="E433" s="5">
        <v>462.30640578055</v>
      </c>
      <c r="F433" s="5">
        <v>13</v>
      </c>
    </row>
    <row r="434" s="1" customFormat="1" spans="1:6">
      <c r="A434" s="3" t="s">
        <v>812</v>
      </c>
      <c r="B434" s="4">
        <v>1604</v>
      </c>
      <c r="C434" s="3" t="s">
        <v>790</v>
      </c>
      <c r="D434" s="3" t="s">
        <v>15</v>
      </c>
      <c r="E434" s="5">
        <v>867.17041487376</v>
      </c>
      <c r="F434" s="5">
        <v>21</v>
      </c>
    </row>
    <row r="435" s="1" customFormat="1" spans="1:6">
      <c r="A435" s="3" t="s">
        <v>812</v>
      </c>
      <c r="B435" s="4">
        <v>8765</v>
      </c>
      <c r="C435" s="3" t="s">
        <v>767</v>
      </c>
      <c r="D435" s="3" t="s">
        <v>14</v>
      </c>
      <c r="E435" s="5">
        <v>474.95575221232</v>
      </c>
      <c r="F435" s="5">
        <v>15</v>
      </c>
    </row>
    <row r="436" s="1" customFormat="1" spans="1:6">
      <c r="A436" s="3" t="s">
        <v>812</v>
      </c>
      <c r="B436" s="4">
        <v>8600</v>
      </c>
      <c r="C436" s="3" t="s">
        <v>601</v>
      </c>
      <c r="D436" s="3" t="s">
        <v>14</v>
      </c>
      <c r="E436" s="5">
        <v>615.55622310623</v>
      </c>
      <c r="F436" s="5">
        <v>13</v>
      </c>
    </row>
    <row r="437" s="1" customFormat="1" spans="1:6">
      <c r="A437" s="3" t="s">
        <v>812</v>
      </c>
      <c r="B437" s="4">
        <v>8622</v>
      </c>
      <c r="C437" s="3" t="s">
        <v>729</v>
      </c>
      <c r="D437" s="3" t="s">
        <v>14</v>
      </c>
      <c r="E437" s="5">
        <v>2118.07907769735</v>
      </c>
      <c r="F437" s="5">
        <v>56</v>
      </c>
    </row>
    <row r="438" s="1" customFormat="1" spans="1:6">
      <c r="A438" s="3" t="s">
        <v>812</v>
      </c>
      <c r="B438" s="4">
        <v>8647</v>
      </c>
      <c r="C438" s="3" t="s">
        <v>595</v>
      </c>
      <c r="D438" s="3" t="s">
        <v>14</v>
      </c>
      <c r="E438" s="5">
        <v>562.45433141182</v>
      </c>
      <c r="F438" s="5">
        <v>14</v>
      </c>
    </row>
    <row r="439" s="1" customFormat="1" spans="1:6">
      <c r="A439" s="3" t="s">
        <v>812</v>
      </c>
      <c r="B439" s="4">
        <v>8678</v>
      </c>
      <c r="C439" s="3" t="s">
        <v>757</v>
      </c>
      <c r="D439" s="3" t="s">
        <v>14</v>
      </c>
      <c r="E439" s="5">
        <v>1130.10619469026</v>
      </c>
      <c r="F439" s="5">
        <v>32</v>
      </c>
    </row>
    <row r="440" s="1" customFormat="1" spans="1:6">
      <c r="A440" s="3" t="s">
        <v>812</v>
      </c>
      <c r="B440" s="4">
        <v>8700</v>
      </c>
      <c r="C440" s="3" t="s">
        <v>591</v>
      </c>
      <c r="D440" s="3" t="s">
        <v>14</v>
      </c>
      <c r="E440" s="5">
        <v>432.38856864493</v>
      </c>
      <c r="F440" s="5">
        <v>12</v>
      </c>
    </row>
    <row r="441" s="1" customFormat="1" spans="1:6">
      <c r="A441" s="3" t="s">
        <v>812</v>
      </c>
      <c r="B441" s="4">
        <v>1133</v>
      </c>
      <c r="C441" s="3" t="s">
        <v>775</v>
      </c>
      <c r="D441" s="3" t="s">
        <v>14</v>
      </c>
      <c r="E441" s="5">
        <v>158.14159292035</v>
      </c>
      <c r="F441" s="5">
        <v>5</v>
      </c>
    </row>
    <row r="442" s="1" customFormat="1" spans="1:6">
      <c r="A442" s="3" t="s">
        <v>812</v>
      </c>
      <c r="B442" s="4">
        <v>8724</v>
      </c>
      <c r="C442" s="3" t="s">
        <v>722</v>
      </c>
      <c r="D442" s="3" t="s">
        <v>14</v>
      </c>
      <c r="E442" s="5">
        <v>201.65056426074</v>
      </c>
      <c r="F442" s="5">
        <v>4</v>
      </c>
    </row>
    <row r="443" s="1" customFormat="1" spans="1:6">
      <c r="A443" s="3" t="s">
        <v>812</v>
      </c>
      <c r="B443" s="4">
        <v>1543</v>
      </c>
      <c r="C443" s="3" t="s">
        <v>750</v>
      </c>
      <c r="D443" s="3" t="s">
        <v>14</v>
      </c>
      <c r="E443" s="5">
        <v>150.61946902656</v>
      </c>
      <c r="F443" s="5">
        <v>2</v>
      </c>
    </row>
    <row r="444" s="1" customFormat="1" spans="1:6">
      <c r="A444" s="3" t="s">
        <v>812</v>
      </c>
      <c r="B444" s="4">
        <v>8751</v>
      </c>
      <c r="C444" s="3" t="s">
        <v>759</v>
      </c>
      <c r="D444" s="3" t="s">
        <v>14</v>
      </c>
      <c r="E444" s="5">
        <v>118.7610619469</v>
      </c>
      <c r="F444" s="5">
        <v>2</v>
      </c>
    </row>
    <row r="445" s="1" customFormat="1" spans="1:6">
      <c r="A445" s="3" t="s">
        <v>812</v>
      </c>
      <c r="B445" s="4">
        <v>8614</v>
      </c>
      <c r="C445" s="3" t="s">
        <v>604</v>
      </c>
      <c r="D445" s="3" t="s">
        <v>15</v>
      </c>
      <c r="E445" s="5">
        <v>153.5132743363</v>
      </c>
      <c r="F445" s="5">
        <v>3</v>
      </c>
    </row>
    <row r="446" s="1" customFormat="1" spans="1:6">
      <c r="A446" s="3" t="s">
        <v>812</v>
      </c>
      <c r="B446" s="4">
        <v>8642</v>
      </c>
      <c r="C446" s="3" t="s">
        <v>782</v>
      </c>
      <c r="D446" s="3" t="s">
        <v>15</v>
      </c>
      <c r="E446" s="5">
        <v>204.49557522124</v>
      </c>
      <c r="F446" s="5">
        <v>6</v>
      </c>
    </row>
    <row r="447" s="1" customFormat="1" spans="1:6">
      <c r="A447" s="3" t="s">
        <v>812</v>
      </c>
      <c r="B447" s="4">
        <v>8668</v>
      </c>
      <c r="C447" s="3" t="s">
        <v>710</v>
      </c>
      <c r="D447" s="3" t="s">
        <v>15</v>
      </c>
      <c r="E447" s="5">
        <v>796.9263051068</v>
      </c>
      <c r="F447" s="5">
        <v>21</v>
      </c>
    </row>
    <row r="448" s="1" customFormat="1" spans="1:6">
      <c r="A448" s="3" t="s">
        <v>812</v>
      </c>
      <c r="B448" s="4">
        <v>8694</v>
      </c>
      <c r="C448" s="3" t="s">
        <v>799</v>
      </c>
      <c r="D448" s="3" t="s">
        <v>15</v>
      </c>
      <c r="E448" s="5">
        <v>1360.54095964914</v>
      </c>
      <c r="F448" s="5">
        <v>38</v>
      </c>
    </row>
    <row r="449" s="1" customFormat="1" spans="1:6">
      <c r="A449" s="3" t="s">
        <v>812</v>
      </c>
      <c r="B449" s="4">
        <v>1075</v>
      </c>
      <c r="C449" s="3" t="s">
        <v>633</v>
      </c>
      <c r="D449" s="3" t="s">
        <v>15</v>
      </c>
      <c r="E449" s="5">
        <v>166.27433628319</v>
      </c>
      <c r="F449" s="5">
        <v>4</v>
      </c>
    </row>
    <row r="450" s="1" customFormat="1" spans="1:6">
      <c r="A450" s="3" t="s">
        <v>812</v>
      </c>
      <c r="B450" s="4">
        <v>8719</v>
      </c>
      <c r="C450" s="3" t="s">
        <v>713</v>
      </c>
      <c r="D450" s="3" t="s">
        <v>15</v>
      </c>
      <c r="E450" s="5">
        <v>105.48591377769</v>
      </c>
      <c r="F450" s="5">
        <v>5</v>
      </c>
    </row>
    <row r="451" s="1" customFormat="1" spans="1:6">
      <c r="A451" s="3" t="s">
        <v>812</v>
      </c>
      <c r="B451" s="4">
        <v>1445</v>
      </c>
      <c r="C451" s="3" t="s">
        <v>594</v>
      </c>
      <c r="D451" s="3" t="s">
        <v>15</v>
      </c>
      <c r="E451" s="5">
        <v>849.60461151256</v>
      </c>
      <c r="F451" s="5">
        <v>21</v>
      </c>
    </row>
    <row r="452" s="1" customFormat="1" spans="1:6">
      <c r="A452" s="3" t="s">
        <v>812</v>
      </c>
      <c r="B452" s="4">
        <v>8747</v>
      </c>
      <c r="C452" s="3" t="s">
        <v>731</v>
      </c>
      <c r="D452" s="3" t="s">
        <v>15</v>
      </c>
      <c r="E452" s="5">
        <v>249.86283185841</v>
      </c>
      <c r="F452" s="5">
        <v>7</v>
      </c>
    </row>
    <row r="453" s="1" customFormat="1" spans="1:6">
      <c r="A453" s="3" t="s">
        <v>812</v>
      </c>
      <c r="B453" s="4">
        <v>1880</v>
      </c>
      <c r="C453" s="3" t="s">
        <v>715</v>
      </c>
      <c r="D453" s="3" t="s">
        <v>15</v>
      </c>
      <c r="E453" s="5">
        <v>836.53081107401</v>
      </c>
      <c r="F453" s="5">
        <v>22</v>
      </c>
    </row>
    <row r="454" s="1" customFormat="1" spans="1:6">
      <c r="A454" s="3" t="s">
        <v>812</v>
      </c>
      <c r="B454" s="4">
        <v>8773</v>
      </c>
      <c r="C454" s="3" t="s">
        <v>612</v>
      </c>
      <c r="D454" s="3" t="s">
        <v>15</v>
      </c>
      <c r="E454" s="5">
        <v>938.13420475756</v>
      </c>
      <c r="F454" s="5">
        <v>26</v>
      </c>
    </row>
    <row r="455" s="1" customFormat="1" spans="1:6">
      <c r="A455" s="3" t="s">
        <v>812</v>
      </c>
      <c r="B455" s="4">
        <v>8608</v>
      </c>
      <c r="C455" s="3" t="s">
        <v>712</v>
      </c>
      <c r="D455" s="3" t="s">
        <v>14</v>
      </c>
      <c r="E455" s="5">
        <v>1012.7704798245</v>
      </c>
      <c r="F455" s="5">
        <v>28</v>
      </c>
    </row>
    <row r="456" s="1" customFormat="1" spans="1:6">
      <c r="A456" s="3" t="s">
        <v>812</v>
      </c>
      <c r="B456" s="4">
        <v>8632</v>
      </c>
      <c r="C456" s="3" t="s">
        <v>747</v>
      </c>
      <c r="D456" s="3" t="s">
        <v>14</v>
      </c>
      <c r="E456" s="5">
        <v>1081.72087358936</v>
      </c>
      <c r="F456" s="5">
        <v>31</v>
      </c>
    </row>
    <row r="457" s="1" customFormat="1" spans="1:6">
      <c r="A457" s="3" t="s">
        <v>812</v>
      </c>
      <c r="B457" s="4">
        <v>8658</v>
      </c>
      <c r="C457" s="3" t="s">
        <v>711</v>
      </c>
      <c r="D457" s="3" t="s">
        <v>14</v>
      </c>
      <c r="E457" s="5">
        <v>806.6017699114</v>
      </c>
      <c r="F457" s="5">
        <v>21</v>
      </c>
    </row>
    <row r="458" s="1" customFormat="1" spans="1:6">
      <c r="A458" s="3" t="s">
        <v>812</v>
      </c>
      <c r="B458" s="4">
        <v>8687</v>
      </c>
      <c r="C458" s="3" t="s">
        <v>804</v>
      </c>
      <c r="D458" s="3" t="s">
        <v>14</v>
      </c>
      <c r="E458" s="5">
        <v>716.63185840706</v>
      </c>
      <c r="F458" s="5">
        <v>20</v>
      </c>
    </row>
    <row r="459" s="1" customFormat="1" spans="1:6">
      <c r="A459" s="3" t="s">
        <v>812</v>
      </c>
      <c r="B459" s="4">
        <v>8713</v>
      </c>
      <c r="C459" s="3" t="s">
        <v>784</v>
      </c>
      <c r="D459" s="3" t="s">
        <v>14</v>
      </c>
      <c r="E459" s="5">
        <v>62.74336283183</v>
      </c>
      <c r="F459" s="5">
        <v>2</v>
      </c>
    </row>
    <row r="460" s="1" customFormat="1" spans="1:6">
      <c r="A460" s="3" t="s">
        <v>812</v>
      </c>
      <c r="B460" s="4">
        <v>1299</v>
      </c>
      <c r="C460" s="3" t="s">
        <v>615</v>
      </c>
      <c r="D460" s="3" t="s">
        <v>14</v>
      </c>
      <c r="E460" s="5">
        <v>1770.05123000734</v>
      </c>
      <c r="F460" s="5">
        <v>39</v>
      </c>
    </row>
    <row r="461" s="1" customFormat="1" spans="1:6">
      <c r="A461" s="3" t="s">
        <v>812</v>
      </c>
      <c r="B461" s="4">
        <v>8735</v>
      </c>
      <c r="C461" s="3" t="s">
        <v>721</v>
      </c>
      <c r="D461" s="3" t="s">
        <v>14</v>
      </c>
      <c r="E461" s="5">
        <v>165.84070796458</v>
      </c>
      <c r="F461" s="5">
        <v>4</v>
      </c>
    </row>
    <row r="462" s="1" customFormat="1" spans="1:6">
      <c r="A462" s="3" t="s">
        <v>812</v>
      </c>
      <c r="B462" s="4">
        <v>1608</v>
      </c>
      <c r="C462" s="3" t="s">
        <v>696</v>
      </c>
      <c r="D462" s="3" t="s">
        <v>14</v>
      </c>
      <c r="E462" s="5">
        <v>866.51246245023</v>
      </c>
      <c r="F462" s="5">
        <v>20</v>
      </c>
    </row>
    <row r="463" s="1" customFormat="1" spans="1:6">
      <c r="A463" s="3" t="s">
        <v>812</v>
      </c>
      <c r="B463" s="4">
        <v>8603</v>
      </c>
      <c r="C463" s="3" t="s">
        <v>801</v>
      </c>
      <c r="D463" s="3" t="s">
        <v>15</v>
      </c>
      <c r="E463" s="5">
        <v>931.18251197537</v>
      </c>
      <c r="F463" s="5">
        <v>22</v>
      </c>
    </row>
    <row r="464" s="1" customFormat="1" spans="1:6">
      <c r="A464" s="3" t="s">
        <v>812</v>
      </c>
      <c r="B464" s="4">
        <v>8626</v>
      </c>
      <c r="C464" s="3" t="s">
        <v>791</v>
      </c>
      <c r="D464" s="3" t="s">
        <v>15</v>
      </c>
      <c r="E464" s="5">
        <v>535.73875943811</v>
      </c>
      <c r="F464" s="5">
        <v>15</v>
      </c>
    </row>
    <row r="465" s="1" customFormat="1" spans="1:6">
      <c r="A465" s="3" t="s">
        <v>812</v>
      </c>
      <c r="B465" s="4">
        <v>8654</v>
      </c>
      <c r="C465" s="3" t="s">
        <v>706</v>
      </c>
      <c r="D465" s="3" t="s">
        <v>15</v>
      </c>
      <c r="E465" s="5">
        <v>1298.75903223179</v>
      </c>
      <c r="F465" s="5">
        <v>42</v>
      </c>
    </row>
    <row r="466" s="1" customFormat="1" spans="1:6">
      <c r="A466" s="3" t="s">
        <v>812</v>
      </c>
      <c r="B466" s="4">
        <v>8682</v>
      </c>
      <c r="C466" s="3" t="s">
        <v>803</v>
      </c>
      <c r="D466" s="3" t="s">
        <v>15</v>
      </c>
      <c r="E466" s="5">
        <v>271.93805309735</v>
      </c>
      <c r="F466" s="5">
        <v>7</v>
      </c>
    </row>
    <row r="467" s="1" customFormat="1" spans="1:6">
      <c r="A467" s="3" t="s">
        <v>812</v>
      </c>
      <c r="B467" s="4">
        <v>8707</v>
      </c>
      <c r="C467" s="3" t="s">
        <v>761</v>
      </c>
      <c r="D467" s="3" t="s">
        <v>15</v>
      </c>
      <c r="E467" s="5">
        <v>755.67256637167</v>
      </c>
      <c r="F467" s="5">
        <v>20</v>
      </c>
    </row>
    <row r="468" s="1" customFormat="1" spans="1:6">
      <c r="A468" s="3" t="s">
        <v>812</v>
      </c>
      <c r="B468" s="4">
        <v>1280</v>
      </c>
      <c r="C468" s="3" t="s">
        <v>664</v>
      </c>
      <c r="D468" s="3" t="s">
        <v>15</v>
      </c>
      <c r="E468" s="5">
        <v>189.01769911504</v>
      </c>
      <c r="F468" s="5">
        <v>5</v>
      </c>
    </row>
    <row r="469" s="1" customFormat="1" spans="1:6">
      <c r="A469" s="3" t="s">
        <v>812</v>
      </c>
      <c r="B469" s="4">
        <v>8729</v>
      </c>
      <c r="C469" s="3" t="s">
        <v>754</v>
      </c>
      <c r="D469" s="3" t="s">
        <v>15</v>
      </c>
      <c r="E469" s="5">
        <v>1228.49135341398</v>
      </c>
      <c r="F469" s="5">
        <v>33</v>
      </c>
    </row>
    <row r="470" s="1" customFormat="1" spans="1:6">
      <c r="A470" s="3" t="s">
        <v>812</v>
      </c>
      <c r="B470" s="4">
        <v>1578</v>
      </c>
      <c r="C470" s="3" t="s">
        <v>608</v>
      </c>
      <c r="D470" s="3" t="s">
        <v>15</v>
      </c>
      <c r="E470" s="5">
        <v>127.78761061946</v>
      </c>
      <c r="F470" s="5">
        <v>4</v>
      </c>
    </row>
    <row r="471" s="1" customFormat="1" spans="1:6">
      <c r="A471" s="3" t="s">
        <v>812</v>
      </c>
      <c r="B471" s="4">
        <v>8756</v>
      </c>
      <c r="C471" s="3" t="s">
        <v>772</v>
      </c>
      <c r="D471" s="3" t="s">
        <v>15</v>
      </c>
      <c r="E471" s="5">
        <v>886.15718113178</v>
      </c>
      <c r="F471" s="5">
        <v>23</v>
      </c>
    </row>
    <row r="472" s="1" customFormat="1" spans="1:6">
      <c r="A472" s="3" t="s">
        <v>812</v>
      </c>
      <c r="B472" s="4">
        <v>2207</v>
      </c>
      <c r="C472" s="3" t="s">
        <v>733</v>
      </c>
      <c r="D472" s="3" t="s">
        <v>14</v>
      </c>
      <c r="E472" s="5">
        <v>457.19249817321</v>
      </c>
      <c r="F472" s="5">
        <v>13</v>
      </c>
    </row>
    <row r="473" s="1" customFormat="1" spans="1:6">
      <c r="A473" s="3" t="s">
        <v>812</v>
      </c>
      <c r="B473" s="4">
        <v>8617</v>
      </c>
      <c r="C473" s="3" t="s">
        <v>587</v>
      </c>
      <c r="D473" s="3" t="s">
        <v>14</v>
      </c>
      <c r="E473" s="5">
        <v>877.99033855642</v>
      </c>
      <c r="F473" s="5">
        <v>21</v>
      </c>
    </row>
    <row r="474" s="1" customFormat="1" spans="1:6">
      <c r="A474" s="3" t="s">
        <v>812</v>
      </c>
      <c r="B474" s="4">
        <v>8645</v>
      </c>
      <c r="C474" s="3" t="s">
        <v>774</v>
      </c>
      <c r="D474" s="3" t="s">
        <v>14</v>
      </c>
      <c r="E474" s="5">
        <v>294.74466184942</v>
      </c>
      <c r="F474" s="5">
        <v>7</v>
      </c>
    </row>
    <row r="475" s="1" customFormat="1" spans="1:6">
      <c r="A475" s="3" t="s">
        <v>812</v>
      </c>
      <c r="B475" s="4">
        <v>8674</v>
      </c>
      <c r="C475" s="3" t="s">
        <v>701</v>
      </c>
      <c r="D475" s="3" t="s">
        <v>14</v>
      </c>
      <c r="E475" s="5">
        <v>364.93464317607</v>
      </c>
      <c r="F475" s="5">
        <v>7</v>
      </c>
    </row>
    <row r="476" s="1" customFormat="1" spans="1:6">
      <c r="A476" s="3" t="s">
        <v>812</v>
      </c>
      <c r="B476" s="4">
        <v>8697</v>
      </c>
      <c r="C476" s="3" t="s">
        <v>603</v>
      </c>
      <c r="D476" s="3" t="s">
        <v>14</v>
      </c>
      <c r="E476" s="5">
        <v>1160.17845254517</v>
      </c>
      <c r="F476" s="5">
        <v>31</v>
      </c>
    </row>
    <row r="477" s="1" customFormat="1" spans="1:6">
      <c r="A477" s="3" t="s">
        <v>812</v>
      </c>
      <c r="B477" s="4">
        <v>1088</v>
      </c>
      <c r="C477" s="3" t="s">
        <v>663</v>
      </c>
      <c r="D477" s="3" t="s">
        <v>14</v>
      </c>
      <c r="E477" s="5">
        <v>136.10619469024</v>
      </c>
      <c r="F477" s="5">
        <v>4</v>
      </c>
    </row>
    <row r="478" s="1" customFormat="1" spans="1:6">
      <c r="A478" s="3" t="s">
        <v>812</v>
      </c>
      <c r="B478" s="4">
        <v>8722</v>
      </c>
      <c r="C478" s="3" t="s">
        <v>699</v>
      </c>
      <c r="D478" s="3" t="s">
        <v>14</v>
      </c>
      <c r="E478" s="5">
        <v>36.10619469026</v>
      </c>
      <c r="F478" s="5">
        <v>1</v>
      </c>
    </row>
    <row r="479" s="1" customFormat="1" spans="1:6">
      <c r="A479" s="3" t="s">
        <v>812</v>
      </c>
      <c r="B479" s="4">
        <v>1479</v>
      </c>
      <c r="C479" s="3" t="s">
        <v>758</v>
      </c>
      <c r="D479" s="3" t="s">
        <v>14</v>
      </c>
      <c r="E479" s="5">
        <v>24.42477876106</v>
      </c>
      <c r="F479" s="5">
        <v>1</v>
      </c>
    </row>
    <row r="480" s="1" customFormat="1" spans="1:6">
      <c r="A480" s="3" t="s">
        <v>812</v>
      </c>
      <c r="B480" s="4">
        <v>8749</v>
      </c>
      <c r="C480" s="3" t="s">
        <v>765</v>
      </c>
      <c r="D480" s="3" t="s">
        <v>14</v>
      </c>
      <c r="E480" s="5">
        <v>187.52212389381</v>
      </c>
      <c r="F480" s="5">
        <v>4</v>
      </c>
    </row>
    <row r="481" s="1" customFormat="1" spans="1:6">
      <c r="A481" s="3" t="s">
        <v>812</v>
      </c>
      <c r="B481" s="4">
        <v>8612</v>
      </c>
      <c r="C481" s="3" t="s">
        <v>620</v>
      </c>
      <c r="D481" s="3" t="s">
        <v>15</v>
      </c>
      <c r="E481" s="5">
        <v>862.26678574322</v>
      </c>
      <c r="F481" s="5">
        <v>23</v>
      </c>
    </row>
    <row r="482" s="1" customFormat="1" spans="1:6">
      <c r="A482" s="3" t="s">
        <v>812</v>
      </c>
      <c r="B482" s="4">
        <v>8637</v>
      </c>
      <c r="C482" s="3" t="s">
        <v>588</v>
      </c>
      <c r="D482" s="3" t="s">
        <v>15</v>
      </c>
      <c r="E482" s="5">
        <v>870.23195583334</v>
      </c>
      <c r="F482" s="5">
        <v>21</v>
      </c>
    </row>
    <row r="483" s="1" customFormat="1" spans="1:6">
      <c r="A483" s="3" t="s">
        <v>812</v>
      </c>
      <c r="B483" s="4">
        <v>8664</v>
      </c>
      <c r="C483" s="3" t="s">
        <v>781</v>
      </c>
      <c r="D483" s="3" t="s">
        <v>15</v>
      </c>
      <c r="E483" s="5">
        <v>182.54867256637</v>
      </c>
      <c r="F483" s="5">
        <v>4</v>
      </c>
    </row>
    <row r="484" s="1" customFormat="1" spans="1:6">
      <c r="A484" s="3" t="s">
        <v>812</v>
      </c>
      <c r="B484" s="4">
        <v>8692</v>
      </c>
      <c r="C484" s="3" t="s">
        <v>700</v>
      </c>
      <c r="D484" s="3" t="s">
        <v>15</v>
      </c>
      <c r="E484" s="5">
        <v>525.78058780543</v>
      </c>
      <c r="F484" s="5">
        <v>16</v>
      </c>
    </row>
    <row r="485" s="1" customFormat="1" spans="1:6">
      <c r="A485" s="3" t="s">
        <v>812</v>
      </c>
      <c r="B485" s="4">
        <v>1055</v>
      </c>
      <c r="C485" s="3" t="s">
        <v>693</v>
      </c>
      <c r="D485" s="3" t="s">
        <v>15</v>
      </c>
      <c r="E485" s="5">
        <v>569.72566371681</v>
      </c>
      <c r="F485" s="5">
        <v>15</v>
      </c>
    </row>
    <row r="486" s="1" customFormat="1" spans="1:6">
      <c r="A486" s="3" t="s">
        <v>812</v>
      </c>
      <c r="B486" s="4">
        <v>8716</v>
      </c>
      <c r="C486" s="3" t="s">
        <v>780</v>
      </c>
      <c r="D486" s="3" t="s">
        <v>15</v>
      </c>
      <c r="E486" s="5">
        <v>1366.75481042459</v>
      </c>
      <c r="F486" s="5">
        <v>46</v>
      </c>
    </row>
    <row r="487" s="1" customFormat="1" spans="1:6">
      <c r="A487" s="3" t="s">
        <v>812</v>
      </c>
      <c r="B487" s="4">
        <v>1380</v>
      </c>
      <c r="C487" s="3" t="s">
        <v>684</v>
      </c>
      <c r="D487" s="3" t="s">
        <v>15</v>
      </c>
      <c r="E487" s="5">
        <v>1032.45035317043</v>
      </c>
      <c r="F487" s="5">
        <v>16</v>
      </c>
    </row>
    <row r="488" s="1" customFormat="1" spans="1:6">
      <c r="A488" s="3" t="s">
        <v>812</v>
      </c>
      <c r="B488" s="4">
        <v>8740</v>
      </c>
      <c r="C488" s="3" t="s">
        <v>744</v>
      </c>
      <c r="D488" s="3" t="s">
        <v>15</v>
      </c>
      <c r="E488" s="5">
        <v>582.93342534707</v>
      </c>
      <c r="F488" s="5">
        <v>14</v>
      </c>
    </row>
    <row r="489" s="1" customFormat="1" spans="1:6">
      <c r="A489" s="3" t="s">
        <v>812</v>
      </c>
      <c r="B489" s="4">
        <v>1752</v>
      </c>
      <c r="C489" s="3" t="s">
        <v>656</v>
      </c>
      <c r="D489" s="3" t="s">
        <v>15</v>
      </c>
      <c r="E489" s="5">
        <v>144.85840707964</v>
      </c>
      <c r="F489" s="5">
        <v>4</v>
      </c>
    </row>
    <row r="490" s="1" customFormat="1" spans="1:6">
      <c r="A490" s="3" t="s">
        <v>812</v>
      </c>
      <c r="B490" s="4">
        <v>8766</v>
      </c>
      <c r="C490" s="3" t="s">
        <v>762</v>
      </c>
      <c r="D490" s="3" t="s">
        <v>15</v>
      </c>
      <c r="E490" s="5">
        <v>467.5810668182</v>
      </c>
      <c r="F490" s="5">
        <v>13</v>
      </c>
    </row>
    <row r="491" s="1" customFormat="1" spans="1:6">
      <c r="A491" s="3" t="s">
        <v>812</v>
      </c>
      <c r="B491" s="4">
        <v>8606</v>
      </c>
      <c r="C491" s="3" t="s">
        <v>746</v>
      </c>
      <c r="D491" s="3" t="s">
        <v>14</v>
      </c>
      <c r="E491" s="5">
        <v>748.62953641304</v>
      </c>
      <c r="F491" s="5">
        <v>17</v>
      </c>
    </row>
    <row r="492" s="1" customFormat="1" spans="1:6">
      <c r="A492" s="3" t="s">
        <v>812</v>
      </c>
      <c r="B492" s="4">
        <v>8629</v>
      </c>
      <c r="C492" s="3" t="s">
        <v>763</v>
      </c>
      <c r="D492" s="3" t="s">
        <v>14</v>
      </c>
      <c r="E492" s="5">
        <v>207.12105220423</v>
      </c>
      <c r="F492" s="5">
        <v>5</v>
      </c>
    </row>
    <row r="493" s="1" customFormat="1" spans="1:6">
      <c r="A493" s="3" t="s">
        <v>812</v>
      </c>
      <c r="B493" s="4">
        <v>8656</v>
      </c>
      <c r="C493" s="3" t="s">
        <v>779</v>
      </c>
      <c r="D493" s="3" t="s">
        <v>14</v>
      </c>
      <c r="E493" s="5">
        <v>500.69026548668</v>
      </c>
      <c r="F493" s="5">
        <v>9</v>
      </c>
    </row>
    <row r="494" s="1" customFormat="1" spans="1:6">
      <c r="A494" s="3" t="s">
        <v>812</v>
      </c>
      <c r="B494" s="4">
        <v>8685</v>
      </c>
      <c r="C494" s="3" t="s">
        <v>739</v>
      </c>
      <c r="D494" s="3" t="s">
        <v>14</v>
      </c>
      <c r="E494" s="5">
        <v>1595.97710481441</v>
      </c>
      <c r="F494" s="5">
        <v>43</v>
      </c>
    </row>
    <row r="495" s="1" customFormat="1" spans="1:6">
      <c r="A495" s="3" t="s">
        <v>812</v>
      </c>
      <c r="B495" s="4">
        <v>8710</v>
      </c>
      <c r="C495" s="3" t="s">
        <v>737</v>
      </c>
      <c r="D495" s="3" t="s">
        <v>14</v>
      </c>
      <c r="E495" s="5">
        <v>196.86108630348</v>
      </c>
      <c r="F495" s="5">
        <v>5</v>
      </c>
    </row>
    <row r="496" s="1" customFormat="1" spans="1:6">
      <c r="A496" s="3" t="s">
        <v>812</v>
      </c>
      <c r="B496" s="4">
        <v>1294</v>
      </c>
      <c r="C496" s="3" t="s">
        <v>690</v>
      </c>
      <c r="D496" s="3" t="s">
        <v>14</v>
      </c>
      <c r="E496" s="5">
        <v>159.73451327435</v>
      </c>
      <c r="F496" s="5">
        <v>2</v>
      </c>
    </row>
    <row r="497" s="1" customFormat="1" spans="1:6">
      <c r="A497" s="3" t="s">
        <v>812</v>
      </c>
      <c r="B497" s="4">
        <v>8731</v>
      </c>
      <c r="C497" s="3" t="s">
        <v>743</v>
      </c>
      <c r="D497" s="3" t="s">
        <v>14</v>
      </c>
      <c r="E497" s="5">
        <v>967.25257773797</v>
      </c>
      <c r="F497" s="5">
        <v>19</v>
      </c>
    </row>
    <row r="498" s="1" customFormat="1" spans="1:6">
      <c r="A498" s="3" t="s">
        <v>812</v>
      </c>
      <c r="B498" s="4">
        <v>1604</v>
      </c>
      <c r="C498" s="3" t="s">
        <v>790</v>
      </c>
      <c r="D498" s="3" t="s">
        <v>14</v>
      </c>
      <c r="E498" s="5">
        <v>1749.46220670618</v>
      </c>
      <c r="F498" s="5">
        <v>45</v>
      </c>
    </row>
    <row r="499" s="1" customFormat="1" spans="1:6">
      <c r="A499" s="3" t="s">
        <v>812</v>
      </c>
      <c r="B499" s="4">
        <v>8601</v>
      </c>
      <c r="C499" s="3" t="s">
        <v>795</v>
      </c>
      <c r="D499" s="3" t="s">
        <v>15</v>
      </c>
      <c r="E499" s="5">
        <v>374.0340992125</v>
      </c>
      <c r="F499" s="5">
        <v>9</v>
      </c>
    </row>
    <row r="500" s="1" customFormat="1" spans="1:6">
      <c r="A500" s="3" t="s">
        <v>812</v>
      </c>
      <c r="B500" s="4">
        <v>8623</v>
      </c>
      <c r="C500" s="3" t="s">
        <v>723</v>
      </c>
      <c r="D500" s="3" t="s">
        <v>15</v>
      </c>
      <c r="E500" s="5">
        <v>710.1061946903</v>
      </c>
      <c r="F500" s="5">
        <v>14</v>
      </c>
    </row>
    <row r="501" s="1" customFormat="1" spans="1:6">
      <c r="A501" s="3" t="s">
        <v>812</v>
      </c>
      <c r="B501" s="4">
        <v>8651</v>
      </c>
      <c r="C501" s="3" t="s">
        <v>787</v>
      </c>
      <c r="D501" s="3" t="s">
        <v>15</v>
      </c>
      <c r="E501" s="5">
        <v>2039.50661687079</v>
      </c>
      <c r="F501" s="5">
        <v>51</v>
      </c>
    </row>
    <row r="502" s="1" customFormat="1" spans="1:6">
      <c r="A502" s="3" t="s">
        <v>812</v>
      </c>
      <c r="B502" s="4">
        <v>8680</v>
      </c>
      <c r="C502" s="3" t="s">
        <v>800</v>
      </c>
      <c r="D502" s="3" t="s">
        <v>15</v>
      </c>
      <c r="E502" s="5">
        <v>332.89380530971</v>
      </c>
      <c r="F502" s="5">
        <v>9</v>
      </c>
    </row>
    <row r="503" s="1" customFormat="1" spans="1:6">
      <c r="A503" s="3" t="s">
        <v>812</v>
      </c>
      <c r="B503" s="4">
        <v>8704</v>
      </c>
      <c r="C503" s="3" t="s">
        <v>719</v>
      </c>
      <c r="D503" s="3" t="s">
        <v>15</v>
      </c>
      <c r="E503" s="5">
        <v>675.57887472597</v>
      </c>
      <c r="F503" s="5">
        <v>19</v>
      </c>
    </row>
    <row r="504" s="1" customFormat="1" spans="1:6">
      <c r="A504" s="3" t="s">
        <v>812</v>
      </c>
      <c r="B504" s="4">
        <v>1146</v>
      </c>
      <c r="C504" s="3" t="s">
        <v>673</v>
      </c>
      <c r="D504" s="3" t="s">
        <v>15</v>
      </c>
      <c r="E504" s="5">
        <v>416.25363318983</v>
      </c>
      <c r="F504" s="5">
        <v>10</v>
      </c>
    </row>
    <row r="505" s="1" customFormat="1" spans="1:6">
      <c r="A505" s="3" t="s">
        <v>812</v>
      </c>
      <c r="B505" s="4">
        <v>8725</v>
      </c>
      <c r="C505" s="3" t="s">
        <v>708</v>
      </c>
      <c r="D505" s="3" t="s">
        <v>15</v>
      </c>
      <c r="E505" s="5">
        <v>361.22562312248</v>
      </c>
      <c r="F505" s="5">
        <v>11</v>
      </c>
    </row>
    <row r="506" s="1" customFormat="1" spans="1:6">
      <c r="A506" s="3" t="s">
        <v>812</v>
      </c>
      <c r="B506" s="4">
        <v>1550</v>
      </c>
      <c r="C506" s="3" t="s">
        <v>753</v>
      </c>
      <c r="D506" s="3" t="s">
        <v>15</v>
      </c>
      <c r="E506" s="5">
        <v>472.56336770305</v>
      </c>
      <c r="F506" s="5">
        <v>12</v>
      </c>
    </row>
    <row r="507" s="1" customFormat="1" spans="1:6">
      <c r="A507" s="3" t="s">
        <v>812</v>
      </c>
      <c r="B507" s="4">
        <v>8754</v>
      </c>
      <c r="C507" s="3" t="s">
        <v>732</v>
      </c>
      <c r="D507" s="3" t="s">
        <v>15</v>
      </c>
      <c r="E507" s="5">
        <v>129.36283185841</v>
      </c>
      <c r="F507" s="5">
        <v>3</v>
      </c>
    </row>
    <row r="508" s="1" customFormat="1" spans="1:6">
      <c r="A508" s="3" t="s">
        <v>812</v>
      </c>
      <c r="B508" s="4">
        <v>1880</v>
      </c>
      <c r="C508" s="3" t="s">
        <v>715</v>
      </c>
      <c r="D508" s="3" t="s">
        <v>14</v>
      </c>
      <c r="E508" s="5">
        <v>986.71559633019</v>
      </c>
      <c r="F508" s="5">
        <v>28</v>
      </c>
    </row>
    <row r="509" s="1" customFormat="1" spans="1:6">
      <c r="A509" s="3" t="s">
        <v>812</v>
      </c>
      <c r="B509" s="4">
        <v>8614</v>
      </c>
      <c r="C509" s="3" t="s">
        <v>604</v>
      </c>
      <c r="D509" s="3" t="s">
        <v>14</v>
      </c>
      <c r="E509" s="5">
        <v>57.5221238938</v>
      </c>
      <c r="F509" s="5">
        <v>1</v>
      </c>
    </row>
    <row r="510" s="1" customFormat="1" spans="1:6">
      <c r="A510" s="3" t="s">
        <v>812</v>
      </c>
      <c r="B510" s="4">
        <v>8642</v>
      </c>
      <c r="C510" s="3" t="s">
        <v>782</v>
      </c>
      <c r="D510" s="3" t="s">
        <v>14</v>
      </c>
      <c r="E510" s="5">
        <v>274.77876106195</v>
      </c>
      <c r="F510" s="5">
        <v>6</v>
      </c>
    </row>
    <row r="511" s="1" customFormat="1" spans="1:6">
      <c r="A511" s="3" t="s">
        <v>812</v>
      </c>
      <c r="B511" s="4">
        <v>8668</v>
      </c>
      <c r="C511" s="3" t="s">
        <v>710</v>
      </c>
      <c r="D511" s="3" t="s">
        <v>14</v>
      </c>
      <c r="E511" s="5">
        <v>682.80668994066</v>
      </c>
      <c r="F511" s="5">
        <v>15</v>
      </c>
    </row>
    <row r="512" s="1" customFormat="1" spans="1:6">
      <c r="A512" s="3" t="s">
        <v>812</v>
      </c>
      <c r="B512" s="4">
        <v>8694</v>
      </c>
      <c r="C512" s="3" t="s">
        <v>799</v>
      </c>
      <c r="D512" s="3" t="s">
        <v>14</v>
      </c>
      <c r="E512" s="5">
        <v>2464.45277259068</v>
      </c>
      <c r="F512" s="5">
        <v>59</v>
      </c>
    </row>
    <row r="513" s="1" customFormat="1" spans="1:6">
      <c r="A513" s="3" t="s">
        <v>812</v>
      </c>
      <c r="B513" s="4">
        <v>1075</v>
      </c>
      <c r="C513" s="3" t="s">
        <v>633</v>
      </c>
      <c r="D513" s="3" t="s">
        <v>14</v>
      </c>
      <c r="E513" s="5">
        <v>506.35381992369</v>
      </c>
      <c r="F513" s="5">
        <v>9</v>
      </c>
    </row>
    <row r="514" s="1" customFormat="1" spans="1:6">
      <c r="A514" s="3" t="s">
        <v>812</v>
      </c>
      <c r="B514" s="4">
        <v>8719</v>
      </c>
      <c r="C514" s="3" t="s">
        <v>713</v>
      </c>
      <c r="D514" s="3" t="s">
        <v>14</v>
      </c>
      <c r="E514" s="5">
        <v>196.68750507426</v>
      </c>
      <c r="F514" s="5">
        <v>6</v>
      </c>
    </row>
    <row r="515" s="1" customFormat="1" spans="1:6">
      <c r="A515" s="3" t="s">
        <v>812</v>
      </c>
      <c r="B515" s="4">
        <v>1445</v>
      </c>
      <c r="C515" s="3" t="s">
        <v>594</v>
      </c>
      <c r="D515" s="3" t="s">
        <v>14</v>
      </c>
      <c r="E515" s="5">
        <v>1582.49817325643</v>
      </c>
      <c r="F515" s="5">
        <v>31</v>
      </c>
    </row>
    <row r="516" s="1" customFormat="1" spans="1:6">
      <c r="A516" s="3" t="s">
        <v>812</v>
      </c>
      <c r="B516" s="4">
        <v>8747</v>
      </c>
      <c r="C516" s="3" t="s">
        <v>731</v>
      </c>
      <c r="D516" s="3" t="s">
        <v>14</v>
      </c>
      <c r="E516" s="5">
        <v>810.53649427618</v>
      </c>
      <c r="F516" s="5">
        <v>21</v>
      </c>
    </row>
  </sheetData>
  <autoFilter ref="A2:F516"/>
  <mergeCells count="4">
    <mergeCell ref="A1:A2"/>
    <mergeCell ref="B1:B2"/>
    <mergeCell ref="C1:C2"/>
    <mergeCell ref="D1:D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汇总</vt:lpstr>
      <vt:lpstr>门店汇总</vt:lpstr>
      <vt:lpstr>美团日报</vt:lpstr>
      <vt:lpstr>饿了么日报</vt:lpstr>
      <vt:lpstr>秒达日报</vt:lpstr>
      <vt:lpstr>线上线下销售</vt:lpstr>
      <vt:lpstr>线上订单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WM</cp:lastModifiedBy>
  <dcterms:created xsi:type="dcterms:W3CDTF">2015-06-07T02:19:00Z</dcterms:created>
  <dcterms:modified xsi:type="dcterms:W3CDTF">2022-03-02T15:40:32Z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2E9BBFB005CD423B9B068A9F1B2060A3</vt:lpwstr>
  </property>
  <property fmtid="{D5CDD505-2E9C-101B-9397-08002B2CF9AE}" pid="3" name="KSOProductBuildVer">
    <vt:lpwstr>2052-4.0.0.6524</vt:lpwstr>
  </property>
</Properties>
</file>