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926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工作表1" sheetId="5" r:id="rId4"/>
    <sheet name="物品" sheetId="2" r:id="rId5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N19" i="3"/>
  <c r="O19" i="3"/>
  <c r="P19" i="3"/>
  <c r="Q19" i="3"/>
  <c r="E19" i="3"/>
  <c r="H19" i="3"/>
  <c r="I19" i="3"/>
  <c r="K19" i="3"/>
  <c r="L19" i="3"/>
  <c r="B18" i="3"/>
  <c r="E18" i="3"/>
  <c r="E16" i="3"/>
  <c r="E17" i="3"/>
  <c r="A19" i="3"/>
  <c r="B12" i="3"/>
  <c r="E12" i="3"/>
  <c r="B10" i="3"/>
  <c r="E10" i="3"/>
  <c r="B11" i="3"/>
  <c r="E11" i="3"/>
  <c r="E8" i="3"/>
  <c r="E9" i="3"/>
  <c r="A12" i="3"/>
  <c r="H12" i="3"/>
  <c r="N12" i="3"/>
  <c r="O12" i="3"/>
  <c r="P12" i="3"/>
  <c r="Q12" i="3"/>
  <c r="I12" i="3"/>
  <c r="K12" i="3"/>
  <c r="L12" i="3"/>
  <c r="L12" i="5"/>
  <c r="M12" i="5"/>
  <c r="N12" i="5"/>
  <c r="O12" i="5"/>
  <c r="D12" i="5"/>
  <c r="C12" i="5"/>
  <c r="B12" i="5"/>
  <c r="C8" i="5"/>
  <c r="B8" i="5"/>
  <c r="C9" i="5"/>
  <c r="B9" i="5"/>
  <c r="C10" i="5"/>
  <c r="B10" i="5"/>
  <c r="C11" i="5"/>
  <c r="B11" i="5"/>
  <c r="A12" i="5"/>
  <c r="C16" i="5"/>
  <c r="C17" i="5"/>
  <c r="C18" i="5"/>
  <c r="C19" i="5"/>
  <c r="C23" i="5"/>
  <c r="C24" i="5"/>
  <c r="C25" i="5"/>
  <c r="B16" i="5"/>
  <c r="B17" i="5"/>
  <c r="B18" i="5"/>
  <c r="B19" i="5"/>
  <c r="B23" i="5"/>
  <c r="B24" i="5"/>
  <c r="B25" i="5"/>
  <c r="A16" i="5"/>
  <c r="A17" i="5"/>
  <c r="A18" i="5"/>
  <c r="A19" i="5"/>
  <c r="A23" i="5"/>
  <c r="A24" i="5"/>
  <c r="A25" i="5"/>
  <c r="A9" i="5"/>
  <c r="A10" i="5"/>
  <c r="A11" i="5"/>
  <c r="A8" i="5"/>
  <c r="I26" i="3"/>
  <c r="B25" i="3"/>
  <c r="D8" i="5"/>
  <c r="D9" i="5"/>
  <c r="D10" i="5"/>
  <c r="D11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D16" i="5"/>
  <c r="L16" i="5"/>
  <c r="M16" i="5"/>
  <c r="N16" i="5"/>
  <c r="O16" i="5"/>
  <c r="D17" i="5"/>
  <c r="L17" i="5"/>
  <c r="M17" i="5"/>
  <c r="N17" i="5"/>
  <c r="O17" i="5"/>
  <c r="D18" i="5"/>
  <c r="L18" i="5"/>
  <c r="M18" i="5"/>
  <c r="N18" i="5"/>
  <c r="O18" i="5"/>
  <c r="D19" i="5"/>
  <c r="L19" i="5"/>
  <c r="M19" i="5"/>
  <c r="N19" i="5"/>
  <c r="O19" i="5"/>
  <c r="D23" i="5"/>
  <c r="L23" i="5"/>
  <c r="M23" i="5"/>
  <c r="N23" i="5"/>
  <c r="O23" i="5"/>
  <c r="D24" i="5"/>
  <c r="L24" i="5"/>
  <c r="M24" i="5"/>
  <c r="N24" i="5"/>
  <c r="O24" i="5"/>
  <c r="D25" i="5"/>
  <c r="L25" i="5"/>
  <c r="M25" i="5"/>
  <c r="N25" i="5"/>
  <c r="O25" i="5"/>
  <c r="N25" i="3"/>
  <c r="O25" i="3"/>
  <c r="P25" i="3"/>
  <c r="Q25" i="3"/>
  <c r="I25" i="3"/>
  <c r="B24" i="3"/>
  <c r="N24" i="3"/>
  <c r="O24" i="3"/>
  <c r="P24" i="3"/>
  <c r="Q24" i="3"/>
  <c r="I24" i="3"/>
  <c r="B23" i="3"/>
  <c r="N23" i="3"/>
  <c r="O23" i="3"/>
  <c r="P23" i="3"/>
  <c r="Q23" i="3"/>
  <c r="I23" i="3"/>
  <c r="N20" i="3"/>
  <c r="O20" i="3"/>
  <c r="P20" i="3"/>
  <c r="Q20" i="3"/>
  <c r="I20" i="3"/>
  <c r="N18" i="3"/>
  <c r="O18" i="3"/>
  <c r="P18" i="3"/>
  <c r="Q18" i="3"/>
  <c r="I18" i="3"/>
  <c r="B17" i="3"/>
  <c r="N17" i="3"/>
  <c r="O17" i="3"/>
  <c r="P17" i="3"/>
  <c r="Q17" i="3"/>
  <c r="I17" i="3"/>
  <c r="B16" i="3"/>
  <c r="N16" i="3"/>
  <c r="O16" i="3"/>
  <c r="P16" i="3"/>
  <c r="Q16" i="3"/>
  <c r="I16" i="3"/>
  <c r="B9" i="3"/>
  <c r="N9" i="3"/>
  <c r="O9" i="3"/>
  <c r="P9" i="3"/>
  <c r="Q9" i="3"/>
  <c r="I9" i="3"/>
  <c r="N10" i="3"/>
  <c r="O10" i="3"/>
  <c r="P10" i="3"/>
  <c r="Q10" i="3"/>
  <c r="I10" i="3"/>
  <c r="N11" i="3"/>
  <c r="O11" i="3"/>
  <c r="P11" i="3"/>
  <c r="Q11" i="3"/>
  <c r="I11" i="3"/>
  <c r="B8" i="3"/>
  <c r="N8" i="3"/>
  <c r="O8" i="3"/>
  <c r="P8" i="3"/>
  <c r="Q8" i="3"/>
  <c r="I8" i="3"/>
  <c r="N13" i="3"/>
  <c r="O13" i="3"/>
  <c r="P13" i="3"/>
  <c r="Q13" i="3"/>
  <c r="N14" i="3"/>
  <c r="O14" i="3"/>
  <c r="P14" i="3"/>
  <c r="Q14" i="3"/>
  <c r="N15" i="3"/>
  <c r="O15" i="3"/>
  <c r="P15" i="3"/>
  <c r="Q15" i="3"/>
  <c r="N21" i="3"/>
  <c r="O21" i="3"/>
  <c r="P21" i="3"/>
  <c r="Q21" i="3"/>
  <c r="N22" i="3"/>
  <c r="O22" i="3"/>
  <c r="P22" i="3"/>
  <c r="Q22" i="3"/>
  <c r="A11" i="3"/>
  <c r="H11" i="3"/>
  <c r="K11" i="3"/>
  <c r="L11" i="3"/>
  <c r="E13" i="3"/>
  <c r="E14" i="3"/>
  <c r="E15" i="3"/>
  <c r="E20" i="3"/>
  <c r="E21" i="3"/>
  <c r="E22" i="3"/>
  <c r="E23" i="3"/>
  <c r="E24" i="3"/>
  <c r="E25" i="3"/>
  <c r="E26" i="3"/>
  <c r="A24" i="3"/>
  <c r="A25" i="3"/>
  <c r="A23" i="3"/>
  <c r="A18" i="3"/>
  <c r="A17" i="3"/>
  <c r="A16" i="3"/>
  <c r="A9" i="3"/>
  <c r="A10" i="3"/>
  <c r="A8" i="3"/>
  <c r="H8" i="3"/>
  <c r="K8" i="3"/>
  <c r="L8" i="3"/>
  <c r="H9" i="3"/>
  <c r="K9" i="3"/>
  <c r="L9" i="3"/>
  <c r="H10" i="3"/>
  <c r="K10" i="3"/>
  <c r="L10" i="3"/>
  <c r="H16" i="3"/>
  <c r="K16" i="3"/>
  <c r="L16" i="3"/>
  <c r="H17" i="3"/>
  <c r="K17" i="3"/>
  <c r="L17" i="3"/>
  <c r="H18" i="3"/>
  <c r="K18" i="3"/>
  <c r="L18" i="3"/>
  <c r="H23" i="3"/>
  <c r="K23" i="3"/>
  <c r="L23" i="3"/>
  <c r="H24" i="3"/>
  <c r="K24" i="3"/>
  <c r="L24" i="3"/>
  <c r="H25" i="3"/>
  <c r="K25" i="3"/>
  <c r="L25" i="3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<sst xmlns="http://schemas.openxmlformats.org/spreadsheetml/2006/main" count="303" uniqueCount="236">
  <si>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</si>
  <si>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</si>
  <si>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</si>
  <si>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</si>
  <si>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</si>
  <si>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</si>
  <si>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</si>
  <si>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</si>
  <si>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</si>
  <si>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</si>
  <si>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</si>
  <si>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</si>
  <si>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</si>
  <si>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</si>
  <si>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</si>
  <si>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</si>
  <si>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</si>
  <si>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</si>
  <si>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</si>
  <si>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</si>
  <si>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</si>
  <si>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</si>
  <si>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</si>
  <si>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</si>
  <si>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</si>
  <si>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</si>
  <si>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</si>
  <si>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</si>
  <si>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</si>
  <si>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</si>
  <si>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</si>
  <si>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</si>
  <si>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</si>
  <si>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</si>
  <si>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</si>
  <si>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</si>
  <si>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</si>
  <si>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</si>
  <si>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</si>
  <si>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</si>
  <si>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</si>
  <si>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</si>
  <si>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</si>
  <si>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</si>
  <si>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</si>
  <si>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</si>
  <si>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</si>
  <si>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</si>
  <si>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</si>
  <si>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</si>
  <si>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</si>
  <si>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</si>
  <si>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</si>
  <si>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</si>
  <si>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</si>
  <si>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</si>
  <si>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</si>
  <si>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</si>
  <si>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</si>
  <si>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</si>
  <si>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</si>
  <si>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</si>
  <si>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</si>
  <si>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</si>
  <si>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</si>
  <si>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</si>
  <si>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</si>
  <si>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</si>
  <si>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</si>
  <si>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</si>
  <si>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</si>
  <si>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</si>
  <si>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</si>
  <si>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</si>
  <si>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</si>
  <si>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</si>
  <si>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</si>
  <si>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</si>
  <si>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</si>
  <si>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</si>
  <si>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</si>
  <si>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</si>
  <si>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</si>
  <si>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</si>
  <si>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</si>
  <si>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</si>
  <si>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</si>
  <si>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</si>
  <si>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</si>
  <si>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</si>
  <si>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</si>
  <si>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</si>
  <si>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</si>
  <si>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</si>
  <si>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</si>
  <si>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</si>
  <si>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</si>
  <si>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</si>
  <si>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</si>
  <si>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</si>
  <si>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</si>
  <si>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</si>
  <si>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</si>
  <si>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</si>
  <si>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</si>
  <si>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</si>
  <si>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</si>
  <si>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</si>
  <si>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</si>
  <si>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</si>
  <si>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</si>
  <si>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</si>
  <si>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</si>
  <si>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</si>
  <si>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</si>
  <si>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</si>
  <si>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</si>
  <si>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</si>
  <si>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</si>
  <si>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</si>
  <si>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</si>
  <si>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</si>
  <si>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</si>
  <si>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</si>
  <si>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</si>
  <si>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</si>
  <si>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</si>
  <si>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</si>
  <si>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</si>
  <si>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</si>
  <si>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</si>
  <si>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</si>
  <si>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</si>
  <si>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</si>
  <si>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</si>
  <si>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</si>
  <si>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</si>
  <si>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</si>
  <si>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</si>
  <si>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</si>
  <si>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</si>
  <si>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</si>
  <si>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</si>
  <si>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</si>
  <si>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</si>
  <si>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</si>
  <si>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</si>
  <si>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</si>
  <si>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</si>
  <si>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</si>
  <si>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</si>
  <si>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</si>
  <si>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</si>
  <si>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</si>
  <si>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</si>
  <si>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</si>
  <si>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</si>
  <si>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</si>
  <si>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</si>
  <si>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</si>
  <si>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</si>
  <si>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</si>
  <si>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</si>
  <si>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</si>
  <si>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</si>
  <si>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</si>
  <si>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</si>
  <si>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</si>
  <si>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</si>
  <si>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</si>
  <si>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</si>
  <si>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</si>
  <si>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</si>
  <si>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</si>
  <si>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</si>
  <si>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</si>
  <si>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</si>
  <si>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</si>
  <si>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</si>
  <si>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</si>
  <si>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</si>
  <si>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</si>
  <si>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</si>
  <si>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</si>
  <si>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</si>
  <si>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</si>
  <si>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</si>
  <si>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</si>
  <si>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</si>
  <si>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</si>
  <si>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</si>
  <si>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</si>
  <si>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</si>
  <si>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</si>
  <si>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</si>
  <si>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</si>
  <si>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</si>
  <si>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</si>
  <si>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</si>
  <si>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</si>
  <si>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</si>
  <si>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</si>
  <si>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</si>
  <si>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</si>
  <si>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</si>
  <si>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</si>
  <si>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</si>
  <si>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</si>
  <si>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</si>
  <si>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</si>
  <si>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</si>
  <si>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</si>
  <si>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</si>
  <si>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</si>
  <si>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</si>
  <si>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</si>
  <si>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</si>
  <si>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</si>
  <si>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</si>
  <si>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</si>
  <si>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</si>
  <si>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</si>
  <si>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</si>
  <si>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</si>
  <si>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</si>
  <si>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</si>
  <si>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</si>
  <si>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普通挖矿组</t>
    <rPh sb="0" eb="1">
      <t>pu't</t>
    </rPh>
    <rPh sb="2" eb="3">
      <t>wa'k</t>
    </rPh>
    <rPh sb="4" eb="5">
      <t>zu</t>
    </rPh>
    <phoneticPr fontId="3" type="noConversion"/>
  </si>
  <si>
    <t>中级挖矿组</t>
    <rPh sb="0" eb="1">
      <t>zhong'ji</t>
    </rPh>
    <rPh sb="2" eb="3">
      <t>wa'k</t>
    </rPh>
    <rPh sb="4" eb="5">
      <t>zu</t>
    </rPh>
    <phoneticPr fontId="3" type="noConversion"/>
  </si>
  <si>
    <t>高级挖矿组</t>
    <rPh sb="0" eb="1">
      <t>gao'j</t>
    </rPh>
    <rPh sb="2" eb="3">
      <t>wa'k</t>
    </rPh>
    <rPh sb="4" eb="5">
      <t>zu</t>
    </rPh>
    <phoneticPr fontId="3" type="noConversion"/>
  </si>
  <si>
    <t>装备强化矿石1</t>
    <rPh sb="0" eb="1">
      <t>zhuang'b</t>
    </rPh>
    <rPh sb="2" eb="3">
      <t>qiang'h</t>
    </rPh>
    <rPh sb="4" eb="5">
      <t>kuang's</t>
    </rPh>
    <phoneticPr fontId="1" type="noConversion"/>
  </si>
  <si>
    <t>物品组序号</t>
    <rPh sb="0" eb="1">
      <t>wu'p</t>
    </rPh>
    <rPh sb="2" eb="3">
      <t>zu</t>
    </rPh>
    <rPh sb="3" eb="4">
      <t>xu'hao</t>
    </rPh>
    <phoneticPr fontId="1" type="noConversion"/>
  </si>
  <si>
    <t>物品序号</t>
    <rPh sb="0" eb="1">
      <t>wu'p</t>
    </rPh>
    <rPh sb="2" eb="3">
      <t>xu'hao</t>
    </rPh>
    <phoneticPr fontId="1" type="noConversion"/>
  </si>
  <si>
    <t>权重</t>
    <rPh sb="0" eb="1">
      <t>quan'zhong</t>
    </rPh>
    <phoneticPr fontId="1" type="noConversion"/>
  </si>
  <si>
    <t>期望值</t>
    <rPh sb="0" eb="1">
      <t>qi'wang</t>
    </rPh>
    <rPh sb="2" eb="3">
      <t>zhi</t>
    </rPh>
    <phoneticPr fontId="1" type="noConversion"/>
  </si>
  <si>
    <t>期望值辅助</t>
    <rPh sb="0" eb="1">
      <t>qi'wang</t>
    </rPh>
    <rPh sb="2" eb="3">
      <t>zhi</t>
    </rPh>
    <rPh sb="3" eb="4">
      <t>fu'z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</si>
</sst>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0" fillId="4" borderId="0" xfId="0" applyFill="1"/>
    <xf numFmtId="0" fontId="2" fillId="4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6"/>
  <sheetViews>
    <sheetView tabSelected="1" workbookViewId="0">
      <selection activeCell="D4" sqref="D4"/>
    </sheetView>
  </sheetViews>
  <sheetFormatPr baseColWidth="10" defaultRowHeight="15" x14ac:dyDescent="0.15"/>
  <cols>
    <col min="3" max="3" width="11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340001</v>
      </c>
      <c r="B4" s="3" t="s">
        <v>227</v>
      </c>
      <c r="C4" s="3" t="s">
        <v>227</v>
      </c>
      <c r="D4" s="3" t="str">
        <f>VLOOKUP(A4,奖励测试!A:D,4,FALSE)</f>
        <v>[{"g":60,"i":[{"t":"i","i":26001,"c":3,"tr":0}]},{"g":100,"i":[{"t":"i","i":26001,"c":4,"tr":0}]},{"g":150,"i":[{"t":"i","i":26001,"c":5,"tr":0}]},{"g":120,"i":[{"t":"i","i":26001,"c":6,"tr":0}]},{"g":50,"i":[{"t":"i","i":26001,"c":7,"tr":0}]}]</v>
      </c>
      <c r="E4" s="2">
        <v>0</v>
      </c>
      <c r="F4" s="2">
        <v>0</v>
      </c>
    </row>
    <row r="5" spans="1:6" x14ac:dyDescent="0.15">
      <c r="A5">
        <v>340002</v>
      </c>
      <c r="B5" s="3" t="s">
        <v>228</v>
      </c>
      <c r="C5" s="3" t="s">
        <v>228</v>
      </c>
      <c r="D5" s="3" t="str">
        <f>VLOOKUP(A5,奖励测试!A:D,4,FALSE)</f>
        <v>[{"g":30,"i":[{"t":"i","i":26002,"c":1,"tr":0}]},{"g":50,"i":[{"t":"i","i":26002,"c":2,"tr":0}]},{"g":20,"i":[{"t":"i","i":26002,"c":3,"tr":0}]},{"g":10,"i":[{"t":"i","i":26002,"c":4,"tr":0}]}]</v>
      </c>
      <c r="E5" s="2">
        <v>0</v>
      </c>
      <c r="F5" s="2">
        <v>0</v>
      </c>
    </row>
    <row r="6" spans="1:6" x14ac:dyDescent="0.15">
      <c r="A6">
        <v>340003</v>
      </c>
      <c r="B6" s="3" t="s">
        <v>229</v>
      </c>
      <c r="C6" s="3" t="s">
        <v>229</v>
      </c>
      <c r="D6" s="3" t="str">
        <f>VLOOKUP(A6,奖励测试!A:D,4,FALSE)</f>
        <v>[{"g":50,"i":[{"t":"i","i":26003,"c":1,"tr":0}]},{"g":50,"i":[{"t":"i","i":26003,"c":2,"tr":0}]},{"g":50,"i":[{"t":"i","i":26003,"c":3,"tr":0}]}]</v>
      </c>
      <c r="E6" s="2">
        <v>0</v>
      </c>
      <c r="F6" s="2">
        <v>0</v>
      </c>
    </row>
    <row r="7" spans="1:6" x14ac:dyDescent="0.15">
      <c r="A7" s="2"/>
      <c r="B7" s="1"/>
      <c r="C7" s="1"/>
      <c r="D7" s="1"/>
      <c r="E7" s="2"/>
      <c r="F7" s="2"/>
    </row>
    <row r="8" spans="1:6" x14ac:dyDescent="0.15">
      <c r="A8" s="2"/>
      <c r="B8" s="1"/>
      <c r="C8" s="1"/>
      <c r="D8" s="1"/>
      <c r="E8" s="2"/>
      <c r="F8" s="2"/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2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3"/>
      <c r="C973" s="3"/>
      <c r="D973" s="3"/>
      <c r="E973" s="1"/>
      <c r="F973" s="1"/>
    </row>
    <row r="974" spans="1:6" x14ac:dyDescent="0.15">
      <c r="A974" s="2"/>
      <c r="B974" s="1"/>
      <c r="C974" s="3"/>
      <c r="D974" s="3"/>
      <c r="E974" s="2"/>
      <c r="F974" s="2"/>
    </row>
    <row r="975" spans="1:6" x14ac:dyDescent="0.15">
      <c r="A975" s="2"/>
      <c r="B975" s="1"/>
      <c r="C975" s="3"/>
      <c r="D975" s="3"/>
      <c r="E975" s="2"/>
      <c r="F975" s="2"/>
    </row>
    <row r="976" spans="1:6" x14ac:dyDescent="0.15">
      <c r="A976" s="2"/>
      <c r="B976" s="1"/>
      <c r="C976" s="3"/>
      <c r="D976" s="3"/>
      <c r="E976" s="2"/>
      <c r="F976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zoomScale="110" zoomScaleNormal="110" zoomScalePageLayoutView="110" workbookViewId="0">
      <selection activeCell="D12" sqref="D12"/>
    </sheetView>
  </sheetViews>
  <sheetFormatPr baseColWidth="10" defaultRowHeight="15" x14ac:dyDescent="0.15"/>
  <cols>
    <col min="4" max="4" width="255.83203125" bestFit="1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340001</v>
      </c>
      <c r="B4" s="3" t="s">
        <v>227</v>
      </c>
      <c r="C4" s="3" t="s">
        <v>227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[{"g":60,"i":[{"t":"i","i":26001,"c":3,"tr":0}]},{"g":100,"i":[{"t":"i","i":26001,"c":4,"tr":0}]},{"g":150,"i":[{"t":"i","i":26001,"c":5,"tr":0}]},{"g":120,"i":[{"t":"i","i":26001,"c":6,"tr":0}]},{"g":50,"i":[{"t":"i","i":26001,"c":7,"tr":0}]}]</v>
      </c>
      <c r="E4" s="2">
        <v>0</v>
      </c>
      <c r="F4" s="2">
        <v>0</v>
      </c>
      <c r="G4" t="str">
        <f>VLOOKUP($A4*1000+G$3,奖励辅助!$B:$L,11,FALSE)</f>
        <v>{"g":60,"i":[{"t":"i","i":26001,"c":3,"tr":0}]}</v>
      </c>
      <c r="H4" t="str">
        <f>_xlfn.IFNA(","&amp;VLOOKUP($A4*1000+H$3,奖励辅助!$B:$L,11,FALSE),"")</f>
        <v>,{"g":100,"i":[{"t":"i","i":26001,"c":4,"tr":0}]}</v>
      </c>
      <c r="I4" t="str">
        <f>_xlfn.IFNA(","&amp;VLOOKUP($A4*1000+I$3,奖励辅助!$B:$L,11,FALSE),"")</f>
        <v>,{"g":150,"i":[{"t":"i","i":26001,"c":5,"tr":0}]}</v>
      </c>
      <c r="J4" t="str">
        <f>_xlfn.IFNA(","&amp;VLOOKUP($A4*1000+J$3,奖励辅助!$B:$L,11,FALSE),"")</f>
        <v>,{"g":120,"i":[{"t":"i","i":26001,"c":6,"tr":0}]}</v>
      </c>
      <c r="K4" t="str">
        <f>_xlfn.IFNA(","&amp;VLOOKUP($A4*1000+K$3,奖励辅助!$B:$L,11,FALSE),"")</f>
        <v>,{"g":50,"i":[{"t":"i","i":26001,"c":7,"tr":0}]}</v>
      </c>
      <c r="L4" t="str">
        <f>_xlfn.IFNA(","&amp;VLOOKUP($A4*1000+L$3,奖励辅助!$B:$L,11,FALSE),"")</f>
        <v/>
      </c>
      <c r="M4" t="str">
        <f>_xlfn.IFNA(","&amp;VLOOKUP($A4*1000+M$3,奖励辅助!$B:$L,11,FALSE),"")</f>
        <v/>
      </c>
      <c r="N4" t="str">
        <f>_xlfn.IFNA(","&amp;VLOOKUP($A4*1000+N$3,奖励辅助!$B:$L,11,FALSE),"")</f>
        <v/>
      </c>
      <c r="O4" t="str">
        <f>_xlfn.IFNA(","&amp;VLOOKUP($A4*1000+O$3,奖励辅助!$B:$L,11,FALSE),"")</f>
        <v/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340002</v>
      </c>
      <c r="B5" s="3" t="s">
        <v>228</v>
      </c>
      <c r="C5" s="3" t="s">
        <v>228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[{"g":30,"i":[{"t":"i","i":26002,"c":1,"tr":0}]},{"g":50,"i":[{"t":"i","i":26002,"c":2,"tr":0}]},{"g":20,"i":[{"t":"i","i":26002,"c":3,"tr":0}]},{"g":10,"i":[{"t":"i","i":26002,"c":4,"tr":0}]}]</v>
      </c>
      <c r="E5" s="2">
        <v>0</v>
      </c>
      <c r="F5" s="2">
        <v>0</v>
      </c>
      <c r="G5" t="str">
        <f>_xlfn.IFNA(VLOOKUP($A5*1000+G$3,奖励辅助!$B:$L,11,FALSE),"")</f>
        <v>{"g":30,"i":[{"t":"i","i":26002,"c":1,"tr":0}]}</v>
      </c>
      <c r="H5" t="str">
        <f>_xlfn.IFNA(","&amp;VLOOKUP($A5*1000+H$3,奖励辅助!$B:$L,11,FALSE),"")</f>
        <v>,{"g":50,"i":[{"t":"i","i":26002,"c":2,"tr":0}]}</v>
      </c>
      <c r="I5" t="str">
        <f>_xlfn.IFNA(","&amp;VLOOKUP($A5*1000+I$3,奖励辅助!$B:$L,11,FALSE),"")</f>
        <v>,{"g":20,"i":[{"t":"i","i":26002,"c":3,"tr":0}]}</v>
      </c>
      <c r="J5" t="str">
        <f>_xlfn.IFNA(","&amp;VLOOKUP($A5*1000+J$3,奖励辅助!$B:$L,11,FALSE),"")</f>
        <v>,{"g":10,"i":[{"t":"i","i":26002,"c":4,"tr":0}]}</v>
      </c>
      <c r="K5" t="str">
        <f>_xlfn.IFNA(","&amp;VLOOKUP($A5*1000+K$3,奖励辅助!$B:$L,11,FALSE),"")</f>
        <v/>
      </c>
      <c r="L5" t="str">
        <f>_xlfn.IFNA(","&amp;VLOOKUP($A5*1000+L$3,奖励辅助!$B:$L,11,FALSE),"")</f>
        <v/>
      </c>
      <c r="M5" t="str">
        <f>_xlfn.IFNA(","&amp;VLOOKUP($A5*1000+M$3,奖励辅助!$B:$L,11,FALSE),"")</f>
        <v/>
      </c>
      <c r="N5" t="str">
        <f>_xlfn.IFNA(","&amp;VLOOKUP($A5*1000+N$3,奖励辅助!$B:$L,11,FALSE),"")</f>
        <v/>
      </c>
      <c r="O5" t="str">
        <f>_xlfn.IFNA(","&amp;VLOOKUP($A5*1000+O$3,奖励辅助!$B:$L,11,FALSE),"")</f>
        <v/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340003</v>
      </c>
      <c r="B6" s="3" t="s">
        <v>229</v>
      </c>
      <c r="C6" s="3" t="s">
        <v>229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[{"g":50,"i":[{"t":"i","i":26003,"c":1,"tr":0}]},{"g":50,"i":[{"t":"i","i":26003,"c":2,"tr":0}]},{"g":50,"i":[{"t":"i","i":26003,"c":3,"tr":0}]}]</v>
      </c>
      <c r="E6" s="2">
        <v>0</v>
      </c>
      <c r="F6" s="2">
        <v>0</v>
      </c>
      <c r="G6" t="str">
        <f>_xlfn.IFNA(VLOOKUP($A6*1000+G$3,奖励辅助!$B:$L,11,FALSE),"")</f>
        <v>{"g":50,"i":[{"t":"i","i":26003,"c":1,"tr":0}]}</v>
      </c>
      <c r="H6" t="str">
        <f>_xlfn.IFNA(","&amp;VLOOKUP($A6*1000+H$3,奖励辅助!$B:$L,11,FALSE),"")</f>
        <v>,{"g":50,"i":[{"t":"i","i":26003,"c":2,"tr":0}]}</v>
      </c>
      <c r="I6" t="str">
        <f>_xlfn.IFNA(","&amp;VLOOKUP($A6*1000+I$3,奖励辅助!$B:$L,11,FALSE),"")</f>
        <v>,{"g":50,"i":[{"t":"i","i":26003,"c":3,"tr":0}]}</v>
      </c>
      <c r="J6" t="str">
        <f>_xlfn.IFNA(","&amp;VLOOKUP($A6*1000+J$3,奖励辅助!$B:$L,11,FALSE),"")</f>
        <v/>
      </c>
      <c r="K6" t="str">
        <f>_xlfn.IFNA(","&amp;VLOOKUP($A6*1000+K$3,奖励辅助!$B:$L,11,FALSE),"")</f>
        <v/>
      </c>
      <c r="L6" t="str">
        <f>_xlfn.IFNA(","&amp;VLOOKUP($A6*1000+L$3,奖励辅助!$B:$L,11,FALSE),"")</f>
        <v/>
      </c>
      <c r="M6" t="str">
        <f>_xlfn.IFNA(","&amp;VLOOKUP($A6*1000+M$3,奖励辅助!$B:$L,11,FALSE),"")</f>
        <v/>
      </c>
      <c r="N6" t="str">
        <f>_xlfn.IFNA(","&amp;VLOOKUP($A6*1000+N$3,奖励辅助!$B:$L,11,FALSE),"")</f>
        <v/>
      </c>
      <c r="O6" t="str">
        <f>_xlfn.IFNA(","&amp;VLOOKUP($A6*1000+O$3,奖励辅助!$B:$L,11,FALSE),"")</f>
        <v/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8" spans="1:56" x14ac:dyDescent="0.15">
      <c r="D8" s="3"/>
    </row>
    <row r="21" spans="4:4" x14ac:dyDescent="0.15">
      <c r="D2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G20" sqref="G20"/>
    </sheetView>
  </sheetViews>
  <sheetFormatPr baseColWidth="10" defaultRowHeight="15" x14ac:dyDescent="0.15"/>
  <cols>
    <col min="2" max="2" width="10.83203125" customWidth="1"/>
    <col min="6" max="6" width="10.5" customWidth="1"/>
    <col min="8" max="8" width="15.5" bestFit="1" customWidth="1"/>
    <col min="9" max="9" width="99.5" bestFit="1" customWidth="1"/>
    <col min="10" max="10" width="15.5" bestFit="1" customWidth="1"/>
    <col min="11" max="11" width="3.5" bestFit="1" customWidth="1"/>
    <col min="12" max="12" width="114.5" bestFit="1" customWidth="1"/>
    <col min="14" max="14" width="33.5" bestFit="1" customWidth="1"/>
    <col min="15" max="16" width="34.5" bestFit="1" customWidth="1"/>
  </cols>
  <sheetData>
    <row r="1" spans="1:17" x14ac:dyDescent="0.15">
      <c r="B1">
        <v>1</v>
      </c>
      <c r="C1">
        <v>2</v>
      </c>
      <c r="D1">
        <v>3</v>
      </c>
      <c r="E1">
        <v>4</v>
      </c>
      <c r="G1">
        <v>6</v>
      </c>
      <c r="H1">
        <v>7</v>
      </c>
      <c r="K1">
        <v>10</v>
      </c>
      <c r="L1">
        <v>11</v>
      </c>
    </row>
    <row r="4" spans="1:17" x14ac:dyDescent="0.15">
      <c r="N4">
        <v>1</v>
      </c>
      <c r="O4">
        <v>2</v>
      </c>
      <c r="P4">
        <v>3</v>
      </c>
      <c r="Q4">
        <v>4</v>
      </c>
    </row>
    <row r="5" spans="1:17" x14ac:dyDescent="0.15">
      <c r="H5" s="4" t="s">
        <v>96</v>
      </c>
      <c r="I5" s="4"/>
      <c r="J5" s="4"/>
      <c r="K5" s="4"/>
    </row>
    <row r="6" spans="1:17" x14ac:dyDescent="0.15">
      <c r="H6" s="4" t="s">
        <v>97</v>
      </c>
      <c r="I6" s="4"/>
      <c r="J6" s="4"/>
      <c r="K6" s="4" t="s">
        <v>101</v>
      </c>
    </row>
    <row r="7" spans="1:17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G7" t="s">
        <v>94</v>
      </c>
    </row>
    <row r="8" spans="1:17" x14ac:dyDescent="0.15">
      <c r="A8">
        <f>E8/SUMIF(C:C,C8,E:E)</f>
        <v>0.125</v>
      </c>
      <c r="B8">
        <f>C8*1000+D8</f>
        <v>340001001</v>
      </c>
      <c r="C8">
        <v>340001</v>
      </c>
      <c r="D8">
        <v>1</v>
      </c>
      <c r="E8">
        <f>_xlfn.IFNA(VLOOKUP(B8*100+1,工作表1!$D:$O,工作表1!H$1,FALSE),"")</f>
        <v>60</v>
      </c>
      <c r="G8">
        <v>5</v>
      </c>
      <c r="H8" t="str">
        <f>IF(E8=0,"",H$5&amp;E8&amp;H$6)</f>
        <v>{"g":60,"i":[</v>
      </c>
      <c r="I8" t="str">
        <f>N8&amp;O8&amp;P8&amp;Q8</f>
        <v>{"t":"i","i":26001,"c":3,"tr":0}</v>
      </c>
      <c r="K8" t="str">
        <f>IF(H8="","",K$6)</f>
        <v>]}</v>
      </c>
      <c r="L8" t="str">
        <f>H8&amp;I8&amp;J8&amp;K8</f>
        <v>{"g":60,"i":[{"t":"i","i":26001,"c":3,"tr":0}]}</v>
      </c>
      <c r="N8" t="str">
        <f>_xlfn.IFNA(IF(M8="",VLOOKUP($B8*100+N$4,工作表1!$D:$O,工作表1!$O$1,FALSE),","&amp;VLOOKUP($B8*100+N$4,工作表1!$D:$O,工作表1!$O$1,FALSE)),"")</f>
        <v>{"t":"i","i":26001,"c":3,"tr":0}</v>
      </c>
      <c r="O8" t="str">
        <f>_xlfn.IFNA(IF(N8="",VLOOKUP($B8*100+O$4,工作表1!$D:$O,工作表1!$O$1,FALSE),","&amp;VLOOKUP($B8*100+O$4,工作表1!$D:$O,工作表1!$O$1,FALSE)),"")</f>
        <v/>
      </c>
      <c r="P8" t="str">
        <f>_xlfn.IFNA(IF(O8="",VLOOKUP($B8*100+P$4,工作表1!$D:$O,工作表1!$O$1,FALSE),","&amp;VLOOKUP($B8*100+P$4,工作表1!$D:$O,工作表1!$O$1,FALSE)),"")</f>
        <v/>
      </c>
      <c r="Q8" t="str">
        <f>_xlfn.IFNA(IF(P8="",VLOOKUP($B8*100+Q$4,工作表1!$D:$O,工作表1!$O$1,FALSE),","&amp;VLOOKUP($B8*100+Q$4,工作表1!$D:$O,工作表1!$O$1,FALSE)),"")</f>
        <v/>
      </c>
    </row>
    <row r="9" spans="1:17" x14ac:dyDescent="0.15">
      <c r="A9">
        <f>E9/SUMIF(C:C,C9,E:E)</f>
        <v>0.20833333333333334</v>
      </c>
      <c r="B9">
        <f>C9*1000+D9</f>
        <v>340001002</v>
      </c>
      <c r="C9">
        <v>340001</v>
      </c>
      <c r="D9">
        <v>2</v>
      </c>
      <c r="E9">
        <f>_xlfn.IFNA(VLOOKUP(B9*100+1,工作表1!$D:$O,工作表1!H$1,FALSE),"")</f>
        <v>100</v>
      </c>
      <c r="G9">
        <v>4</v>
      </c>
      <c r="H9" t="str">
        <f t="shared" ref="H9:H18" si="0">IF(E9=0,"",H$5&amp;E9&amp;H$6)</f>
        <v>{"g":100,"i":[</v>
      </c>
      <c r="I9" t="str">
        <f t="shared" ref="I9:I11" si="1">N9&amp;O9&amp;P9&amp;Q9</f>
        <v>{"t":"i","i":26001,"c":4,"tr":0}</v>
      </c>
      <c r="K9" t="str">
        <f t="shared" ref="K9:K18" si="2">IF(H9="","",K$6)</f>
        <v>]}</v>
      </c>
      <c r="L9" t="str">
        <f t="shared" ref="L9:L18" si="3">H9&amp;I9&amp;J9&amp;K9</f>
        <v>{"g":100,"i":[{"t":"i","i":26001,"c":4,"tr":0}]}</v>
      </c>
      <c r="N9" t="str">
        <f>_xlfn.IFNA(IF(M9="",VLOOKUP($B9*100+N$4,工作表1!$D:$O,工作表1!$O$1,FALSE),","&amp;VLOOKUP($B9*100+N$4,工作表1!$D:$O,工作表1!$O$1,FALSE)),"")</f>
        <v>{"t":"i","i":26001,"c":4,"tr":0}</v>
      </c>
      <c r="O9" t="str">
        <f>_xlfn.IFNA(IF(N9="",VLOOKUP($B9*100+O$4,工作表1!$D:$O,工作表1!$O$1,FALSE),","&amp;VLOOKUP($B9*100+O$4,工作表1!$D:$O,工作表1!$O$1,FALSE)),"")</f>
        <v/>
      </c>
      <c r="P9" t="str">
        <f>_xlfn.IFNA(IF(O9="",VLOOKUP($B9*100+P$4,工作表1!$D:$O,工作表1!$O$1,FALSE),","&amp;VLOOKUP($B9*100+P$4,工作表1!$D:$O,工作表1!$O$1,FALSE)),"")</f>
        <v/>
      </c>
      <c r="Q9" t="str">
        <f>_xlfn.IFNA(IF(P9="",VLOOKUP($B9*100+Q$4,工作表1!$D:$O,工作表1!$O$1,FALSE),","&amp;VLOOKUP($B9*100+Q$4,工作表1!$D:$O,工作表1!$O$1,FALSE)),"")</f>
        <v/>
      </c>
    </row>
    <row r="10" spans="1:17" x14ac:dyDescent="0.15">
      <c r="A10">
        <f>E10/SUMIF(C:C,C10,E:E)</f>
        <v>0.3125</v>
      </c>
      <c r="B10">
        <f>C10*1000+D10</f>
        <v>340001003</v>
      </c>
      <c r="C10">
        <v>340001</v>
      </c>
      <c r="D10">
        <v>3</v>
      </c>
      <c r="E10">
        <f>_xlfn.IFNA(VLOOKUP(B10*100+1,工作表1!$D:$O,工作表1!H$1,FALSE),"")</f>
        <v>150</v>
      </c>
      <c r="G10">
        <v>3</v>
      </c>
      <c r="H10" t="str">
        <f t="shared" si="0"/>
        <v>{"g":150,"i":[</v>
      </c>
      <c r="I10" t="str">
        <f t="shared" si="1"/>
        <v>{"t":"i","i":26001,"c":5,"tr":0}</v>
      </c>
      <c r="K10" t="str">
        <f t="shared" si="2"/>
        <v>]}</v>
      </c>
      <c r="L10" t="str">
        <f t="shared" si="3"/>
        <v>{"g":150,"i":[{"t":"i","i":26001,"c":5,"tr":0}]}</v>
      </c>
      <c r="N10" t="str">
        <f>_xlfn.IFNA(IF(M10="",VLOOKUP($B10*100+N$4,工作表1!$D:$O,工作表1!$O$1,FALSE),","&amp;VLOOKUP($B10*100+N$4,工作表1!$D:$O,工作表1!$O$1,FALSE)),"")</f>
        <v>{"t":"i","i":26001,"c":5,"tr":0}</v>
      </c>
      <c r="O10" t="str">
        <f>_xlfn.IFNA(IF(N10="",VLOOKUP($B10*100+O$4,工作表1!$D:$O,工作表1!$O$1,FALSE),","&amp;VLOOKUP($B10*100+O$4,工作表1!$D:$O,工作表1!$O$1,FALSE)),"")</f>
        <v/>
      </c>
      <c r="P10" t="str">
        <f>_xlfn.IFNA(IF(O10="",VLOOKUP($B10*100+P$4,工作表1!$D:$O,工作表1!$O$1,FALSE),","&amp;VLOOKUP($B10*100+P$4,工作表1!$D:$O,工作表1!$O$1,FALSE)),"")</f>
        <v/>
      </c>
      <c r="Q10" t="str">
        <f>_xlfn.IFNA(IF(P10="",VLOOKUP($B10*100+Q$4,工作表1!$D:$O,工作表1!$O$1,FALSE),","&amp;VLOOKUP($B10*100+Q$4,工作表1!$D:$O,工作表1!$O$1,FALSE)),"")</f>
        <v/>
      </c>
    </row>
    <row r="11" spans="1:17" x14ac:dyDescent="0.15">
      <c r="A11">
        <f>E11/SUMIF(C:C,C11,E:E)</f>
        <v>0.25</v>
      </c>
      <c r="B11">
        <f>C11*1000+D11</f>
        <v>340001004</v>
      </c>
      <c r="C11">
        <v>340001</v>
      </c>
      <c r="D11">
        <v>4</v>
      </c>
      <c r="E11">
        <f>_xlfn.IFNA(VLOOKUP(B11*100+1,工作表1!$D:$O,工作表1!H$1,FALSE),"")</f>
        <v>120</v>
      </c>
      <c r="G11">
        <v>3</v>
      </c>
      <c r="H11" t="str">
        <f>IF(E11=0,"",H$5&amp;E11&amp;H$6)</f>
        <v>{"g":120,"i":[</v>
      </c>
      <c r="I11" t="str">
        <f t="shared" si="1"/>
        <v>{"t":"i","i":26001,"c":6,"tr":0}</v>
      </c>
      <c r="K11" t="str">
        <f>IF(H11="","",K$6)</f>
        <v>]}</v>
      </c>
      <c r="L11" t="str">
        <f>H11&amp;I11&amp;J11&amp;K11</f>
        <v>{"g":120,"i":[{"t":"i","i":26001,"c":6,"tr":0}]}</v>
      </c>
      <c r="N11" t="str">
        <f>_xlfn.IFNA(IF(M11="",VLOOKUP($B11*100+N$4,工作表1!$D:$O,工作表1!$O$1,FALSE),","&amp;VLOOKUP($B11*100+N$4,工作表1!$D:$O,工作表1!$O$1,FALSE)),"")</f>
        <v>{"t":"i","i":26001,"c":6,"tr":0}</v>
      </c>
      <c r="O11" t="str">
        <f>_xlfn.IFNA(IF(N11="",VLOOKUP($B11*100+O$4,工作表1!$D:$O,工作表1!$O$1,FALSE),","&amp;VLOOKUP($B11*100+O$4,工作表1!$D:$O,工作表1!$O$1,FALSE)),"")</f>
        <v/>
      </c>
      <c r="P11" t="str">
        <f>_xlfn.IFNA(IF(O11="",VLOOKUP($B11*100+P$4,工作表1!$D:$O,工作表1!$O$1,FALSE),","&amp;VLOOKUP($B11*100+P$4,工作表1!$D:$O,工作表1!$O$1,FALSE)),"")</f>
        <v/>
      </c>
      <c r="Q11" t="str">
        <f>_xlfn.IFNA(IF(P11="",VLOOKUP($B11*100+Q$4,工作表1!$D:$O,工作表1!$O$1,FALSE),","&amp;VLOOKUP($B11*100+Q$4,工作表1!$D:$O,工作表1!$O$1,FALSE)),"")</f>
        <v/>
      </c>
    </row>
    <row r="12" spans="1:17" x14ac:dyDescent="0.15">
      <c r="A12">
        <f>E12/SUMIF(C:C,C12,E:E)</f>
        <v>0.10416666666666667</v>
      </c>
      <c r="B12">
        <f>C12*1000+D12</f>
        <v>340001005</v>
      </c>
      <c r="C12">
        <v>340001</v>
      </c>
      <c r="D12">
        <v>5</v>
      </c>
      <c r="E12">
        <f>_xlfn.IFNA(VLOOKUP(B12*100+1,工作表1!$D:$O,工作表1!H$1,FALSE),"")</f>
        <v>50</v>
      </c>
      <c r="G12">
        <v>3</v>
      </c>
      <c r="H12" t="str">
        <f>IF(E12=0,"",H$5&amp;E12&amp;H$6)</f>
        <v>{"g":50,"i":[</v>
      </c>
      <c r="I12" t="str">
        <f t="shared" ref="I12" si="4">N12&amp;O12&amp;P12&amp;Q12</f>
        <v>{"t":"i","i":26001,"c":7,"tr":0}</v>
      </c>
      <c r="K12" t="str">
        <f>IF(H12="","",K$6)</f>
        <v>]}</v>
      </c>
      <c r="L12" t="str">
        <f>H12&amp;I12&amp;J12&amp;K12</f>
        <v>{"g":50,"i":[{"t":"i","i":26001,"c":7,"tr":0}]}</v>
      </c>
      <c r="N12" t="str">
        <f>_xlfn.IFNA(IF(M12="",VLOOKUP($B12*100+N$4,工作表1!$D:$O,工作表1!$O$1,FALSE),","&amp;VLOOKUP($B12*100+N$4,工作表1!$D:$O,工作表1!$O$1,FALSE)),"")</f>
        <v>{"t":"i","i":26001,"c":7,"tr":0}</v>
      </c>
      <c r="O12" t="str">
        <f>_xlfn.IFNA(IF(N12="",VLOOKUP($B12*100+O$4,工作表1!$D:$O,工作表1!$O$1,FALSE),","&amp;VLOOKUP($B12*100+O$4,工作表1!$D:$O,工作表1!$O$1,FALSE)),"")</f>
        <v/>
      </c>
      <c r="P12" t="str">
        <f>_xlfn.IFNA(IF(O12="",VLOOKUP($B12*100+P$4,工作表1!$D:$O,工作表1!$O$1,FALSE),","&amp;VLOOKUP($B12*100+P$4,工作表1!$D:$O,工作表1!$O$1,FALSE)),"")</f>
        <v/>
      </c>
      <c r="Q12" t="str">
        <f>_xlfn.IFNA(IF(P12="",VLOOKUP($B12*100+Q$4,工作表1!$D:$O,工作表1!$O$1,FALSE),","&amp;VLOOKUP($B12*100+Q$4,工作表1!$D:$O,工作表1!$O$1,FALSE)),"")</f>
        <v/>
      </c>
    </row>
    <row r="13" spans="1:17" x14ac:dyDescent="0.15">
      <c r="E13" t="str">
        <f>_xlfn.IFNA(VLOOKUP(B13*100+1,工作表1!$D:$O,工作表1!H$1,FALSE),"")</f>
        <v/>
      </c>
      <c r="N13" t="str">
        <f>_xlfn.IFNA(IF(M13="",VLOOKUP($B13*100+N$4,工作表1!$D:$O,工作表1!$O$1,FALSE),","&amp;VLOOKUP($B13*100+N$4,工作表1!$D:$O,工作表1!$O$1,FALSE)),"")</f>
        <v/>
      </c>
      <c r="O13" t="str">
        <f>_xlfn.IFNA(IF(N13="",VLOOKUP($B13*100+O$4,工作表1!$D:$O,工作表1!$O$1,FALSE),","&amp;VLOOKUP($B13*100+O$4,工作表1!$D:$O,工作表1!$O$1,FALSE)),"")</f>
        <v/>
      </c>
      <c r="P13" t="str">
        <f>_xlfn.IFNA(IF(O13="",VLOOKUP($B13*100+P$4,工作表1!$D:$O,工作表1!$O$1,FALSE),","&amp;VLOOKUP($B13*100+P$4,工作表1!$D:$O,工作表1!$O$1,FALSE)),"")</f>
        <v/>
      </c>
      <c r="Q13" t="str">
        <f>_xlfn.IFNA(IF(P13="",VLOOKUP($B13*100+Q$4,工作表1!$D:$O,工作表1!$O$1,FALSE),","&amp;VLOOKUP($B13*100+Q$4,工作表1!$D:$O,工作表1!$O$1,FALSE)),"")</f>
        <v/>
      </c>
    </row>
    <row r="14" spans="1:17" s="7" customFormat="1" x14ac:dyDescent="0.15">
      <c r="E14" s="7" t="str">
        <f>_xlfn.IFNA(VLOOKUP(B14*100+1,工作表1!$D:$O,工作表1!H$1,FALSE),"")</f>
        <v/>
      </c>
      <c r="N14" s="7" t="str">
        <f>_xlfn.IFNA(IF(M14="",VLOOKUP($B14*100+N$4,工作表1!$D:$O,工作表1!$O$1,FALSE),","&amp;VLOOKUP($B14*100+N$4,工作表1!$D:$O,工作表1!$O$1,FALSE)),"")</f>
        <v/>
      </c>
      <c r="O14" s="7" t="str">
        <f>_xlfn.IFNA(IF(N14="",VLOOKUP($B14*100+O$4,工作表1!$D:$O,工作表1!$O$1,FALSE),","&amp;VLOOKUP($B14*100+O$4,工作表1!$D:$O,工作表1!$O$1,FALSE)),"")</f>
        <v/>
      </c>
      <c r="P14" s="7" t="str">
        <f>_xlfn.IFNA(IF(O14="",VLOOKUP($B14*100+P$4,工作表1!$D:$O,工作表1!$O$1,FALSE),","&amp;VLOOKUP($B14*100+P$4,工作表1!$D:$O,工作表1!$O$1,FALSE)),"")</f>
        <v/>
      </c>
      <c r="Q14" s="7" t="str">
        <f>_xlfn.IFNA(IF(P14="",VLOOKUP($B14*100+Q$4,工作表1!$D:$O,工作表1!$O$1,FALSE),","&amp;VLOOKUP($B14*100+Q$4,工作表1!$D:$O,工作表1!$O$1,FALSE)),"")</f>
        <v/>
      </c>
    </row>
    <row r="15" spans="1:17" x14ac:dyDescent="0.15">
      <c r="E15" t="str">
        <f>_xlfn.IFNA(VLOOKUP(B15*100+1,工作表1!$D:$O,工作表1!H$1,FALSE),"")</f>
        <v/>
      </c>
      <c r="N15" t="str">
        <f>_xlfn.IFNA(IF(M15="",VLOOKUP($B15*100+N$4,工作表1!$D:$O,工作表1!$O$1,FALSE),","&amp;VLOOKUP($B15*100+N$4,工作表1!$D:$O,工作表1!$O$1,FALSE)),"")</f>
        <v/>
      </c>
      <c r="O15" t="str">
        <f>_xlfn.IFNA(IF(N15="",VLOOKUP($B15*100+O$4,工作表1!$D:$O,工作表1!$O$1,FALSE),","&amp;VLOOKUP($B15*100+O$4,工作表1!$D:$O,工作表1!$O$1,FALSE)),"")</f>
        <v/>
      </c>
      <c r="P15" t="str">
        <f>_xlfn.IFNA(IF(O15="",VLOOKUP($B15*100+P$4,工作表1!$D:$O,工作表1!$O$1,FALSE),","&amp;VLOOKUP($B15*100+P$4,工作表1!$D:$O,工作表1!$O$1,FALSE)),"")</f>
        <v/>
      </c>
      <c r="Q15" t="str">
        <f>_xlfn.IFNA(IF(P15="",VLOOKUP($B15*100+Q$4,工作表1!$D:$O,工作表1!$O$1,FALSE),","&amp;VLOOKUP($B15*100+Q$4,工作表1!$D:$O,工作表1!$O$1,FALSE)),"")</f>
        <v/>
      </c>
    </row>
    <row r="16" spans="1:17" x14ac:dyDescent="0.15">
      <c r="A16">
        <f>E16/SUMIF(C:C,C16,E:E)</f>
        <v>0.27272727272727271</v>
      </c>
      <c r="B16">
        <f>C16*1000+D16</f>
        <v>340002001</v>
      </c>
      <c r="C16">
        <v>340002</v>
      </c>
      <c r="D16">
        <v>1</v>
      </c>
      <c r="E16">
        <f>_xlfn.IFNA(VLOOKUP(B16*100+1,工作表1!$D:$O,工作表1!H$1,FALSE),"")</f>
        <v>30</v>
      </c>
      <c r="G16">
        <v>5</v>
      </c>
      <c r="H16" t="str">
        <f t="shared" si="0"/>
        <v>{"g":30,"i":[</v>
      </c>
      <c r="I16" t="str">
        <f>N16&amp;O16&amp;P16&amp;Q16</f>
        <v>{"t":"i","i":26002,"c":1,"tr":0}</v>
      </c>
      <c r="K16" t="str">
        <f t="shared" si="2"/>
        <v>]}</v>
      </c>
      <c r="L16" t="str">
        <f t="shared" si="3"/>
        <v>{"g":30,"i":[{"t":"i","i":26002,"c":1,"tr":0}]}</v>
      </c>
      <c r="N16" t="str">
        <f>_xlfn.IFNA(IF(M16="",VLOOKUP($B16*100+N$4,工作表1!$D:$O,工作表1!$O$1,FALSE),","&amp;VLOOKUP($B16*100+N$4,工作表1!$D:$O,工作表1!$O$1,FALSE)),"")</f>
        <v>{"t":"i","i":26002,"c":1,"tr":0}</v>
      </c>
      <c r="O16" t="str">
        <f>_xlfn.IFNA(IF(N16="",VLOOKUP($B16*100+O$4,工作表1!$D:$O,工作表1!$O$1,FALSE),","&amp;VLOOKUP($B16*100+O$4,工作表1!$D:$O,工作表1!$O$1,FALSE)),"")</f>
        <v/>
      </c>
      <c r="P16" t="str">
        <f>_xlfn.IFNA(IF(O16="",VLOOKUP($B16*100+P$4,工作表1!$D:$O,工作表1!$O$1,FALSE),","&amp;VLOOKUP($B16*100+P$4,工作表1!$D:$O,工作表1!$O$1,FALSE)),"")</f>
        <v/>
      </c>
      <c r="Q16" t="str">
        <f>_xlfn.IFNA(IF(P16="",VLOOKUP($B16*100+Q$4,工作表1!$D:$O,工作表1!$O$1,FALSE),","&amp;VLOOKUP($B16*100+Q$4,工作表1!$D:$O,工作表1!$O$1,FALSE)),"")</f>
        <v/>
      </c>
    </row>
    <row r="17" spans="1:17" x14ac:dyDescent="0.15">
      <c r="A17">
        <f>E17/SUMIF(C:C,C17,E:E)</f>
        <v>0.45454545454545453</v>
      </c>
      <c r="B17">
        <f t="shared" ref="B17:B23" si="5">C17*1000+D17</f>
        <v>340002002</v>
      </c>
      <c r="C17">
        <v>340002</v>
      </c>
      <c r="D17">
        <v>2</v>
      </c>
      <c r="E17">
        <f>_xlfn.IFNA(VLOOKUP(B17*100+1,工作表1!$D:$O,工作表1!H$1,FALSE),"")</f>
        <v>50</v>
      </c>
      <c r="G17">
        <v>4</v>
      </c>
      <c r="H17" t="str">
        <f t="shared" si="0"/>
        <v>{"g":50,"i":[</v>
      </c>
      <c r="I17" t="str">
        <f t="shared" ref="I17:I20" si="6">N17&amp;O17&amp;P17&amp;Q17</f>
        <v>{"t":"i","i":26002,"c":2,"tr":0}</v>
      </c>
      <c r="K17" t="str">
        <f t="shared" si="2"/>
        <v>]}</v>
      </c>
      <c r="L17" t="str">
        <f t="shared" si="3"/>
        <v>{"g":50,"i":[{"t":"i","i":26002,"c":2,"tr":0}]}</v>
      </c>
      <c r="N17" t="str">
        <f>_xlfn.IFNA(IF(M17="",VLOOKUP($B17*100+N$4,工作表1!$D:$O,工作表1!$O$1,FALSE),","&amp;VLOOKUP($B17*100+N$4,工作表1!$D:$O,工作表1!$O$1,FALSE)),"")</f>
        <v>{"t":"i","i":26002,"c":2,"tr":0}</v>
      </c>
      <c r="O17" t="str">
        <f>_xlfn.IFNA(IF(N17="",VLOOKUP($B17*100+O$4,工作表1!$D:$O,工作表1!$O$1,FALSE),","&amp;VLOOKUP($B17*100+O$4,工作表1!$D:$O,工作表1!$O$1,FALSE)),"")</f>
        <v/>
      </c>
      <c r="P17" t="str">
        <f>_xlfn.IFNA(IF(O17="",VLOOKUP($B17*100+P$4,工作表1!$D:$O,工作表1!$O$1,FALSE),","&amp;VLOOKUP($B17*100+P$4,工作表1!$D:$O,工作表1!$O$1,FALSE)),"")</f>
        <v/>
      </c>
      <c r="Q17" t="str">
        <f>_xlfn.IFNA(IF(P17="",VLOOKUP($B17*100+Q$4,工作表1!$D:$O,工作表1!$O$1,FALSE),","&amp;VLOOKUP($B17*100+Q$4,工作表1!$D:$O,工作表1!$O$1,FALSE)),"")</f>
        <v/>
      </c>
    </row>
    <row r="18" spans="1:17" x14ac:dyDescent="0.15">
      <c r="A18">
        <f>E18/SUMIF(C:C,C18,E:E)</f>
        <v>0.18181818181818182</v>
      </c>
      <c r="B18">
        <f t="shared" si="5"/>
        <v>340002003</v>
      </c>
      <c r="C18">
        <v>340002</v>
      </c>
      <c r="D18">
        <v>3</v>
      </c>
      <c r="E18">
        <f>_xlfn.IFNA(VLOOKUP(B18*100+1,工作表1!$D:$O,工作表1!H$1,FALSE),"")</f>
        <v>20</v>
      </c>
      <c r="G18">
        <v>3</v>
      </c>
      <c r="H18" t="str">
        <f t="shared" si="0"/>
        <v>{"g":20,"i":[</v>
      </c>
      <c r="I18" t="str">
        <f t="shared" si="6"/>
        <v>{"t":"i","i":26002,"c":3,"tr":0}</v>
      </c>
      <c r="K18" t="str">
        <f t="shared" si="2"/>
        <v>]}</v>
      </c>
      <c r="L18" t="str">
        <f t="shared" si="3"/>
        <v>{"g":20,"i":[{"t":"i","i":26002,"c":3,"tr":0}]}</v>
      </c>
      <c r="N18" t="str">
        <f>_xlfn.IFNA(IF(M18="",VLOOKUP($B18*100+N$4,工作表1!$D:$O,工作表1!$O$1,FALSE),","&amp;VLOOKUP($B18*100+N$4,工作表1!$D:$O,工作表1!$O$1,FALSE)),"")</f>
        <v>{"t":"i","i":26002,"c":3,"tr":0}</v>
      </c>
      <c r="O18" t="str">
        <f>_xlfn.IFNA(IF(N18="",VLOOKUP($B18*100+O$4,工作表1!$D:$O,工作表1!$O$1,FALSE),","&amp;VLOOKUP($B18*100+O$4,工作表1!$D:$O,工作表1!$O$1,FALSE)),"")</f>
        <v/>
      </c>
      <c r="P18" t="str">
        <f>_xlfn.IFNA(IF(O18="",VLOOKUP($B18*100+P$4,工作表1!$D:$O,工作表1!$O$1,FALSE),","&amp;VLOOKUP($B18*100+P$4,工作表1!$D:$O,工作表1!$O$1,FALSE)),"")</f>
        <v/>
      </c>
      <c r="Q18" t="str">
        <f>_xlfn.IFNA(IF(P18="",VLOOKUP($B18*100+Q$4,工作表1!$D:$O,工作表1!$O$1,FALSE),","&amp;VLOOKUP($B18*100+Q$4,工作表1!$D:$O,工作表1!$O$1,FALSE)),"")</f>
        <v/>
      </c>
    </row>
    <row r="19" spans="1:17" x14ac:dyDescent="0.15">
      <c r="A19">
        <f>E19/SUMIF(C:C,C19,E:E)</f>
        <v>9.0909090909090912E-2</v>
      </c>
      <c r="B19">
        <f t="shared" ref="B19" si="7">C19*1000+D19</f>
        <v>340002004</v>
      </c>
      <c r="C19">
        <v>340002</v>
      </c>
      <c r="D19">
        <v>4</v>
      </c>
      <c r="E19">
        <f>_xlfn.IFNA(VLOOKUP(B19*100+1,工作表1!$D:$O,工作表1!H$1,FALSE),"")</f>
        <v>10</v>
      </c>
      <c r="G19">
        <v>3</v>
      </c>
      <c r="H19" t="str">
        <f t="shared" ref="H19" si="8">IF(E19=0,"",H$5&amp;E19&amp;H$6)</f>
        <v>{"g":10,"i":[</v>
      </c>
      <c r="I19" t="str">
        <f t="shared" ref="I19" si="9">N19&amp;O19&amp;P19&amp;Q19</f>
        <v>{"t":"i","i":26002,"c":4,"tr":0}</v>
      </c>
      <c r="K19" t="str">
        <f t="shared" ref="K19" si="10">IF(H19="","",K$6)</f>
        <v>]}</v>
      </c>
      <c r="L19" t="str">
        <f t="shared" ref="L19" si="11">H19&amp;I19&amp;J19&amp;K19</f>
        <v>{"g":10,"i":[{"t":"i","i":26002,"c":4,"tr":0}]}</v>
      </c>
      <c r="N19" t="str">
        <f>_xlfn.IFNA(IF(M19="",VLOOKUP($B19*100+N$4,工作表1!$D:$O,工作表1!$O$1,FALSE),","&amp;VLOOKUP($B19*100+N$4,工作表1!$D:$O,工作表1!$O$1,FALSE)),"")</f>
        <v>{"t":"i","i":26002,"c":4,"tr":0}</v>
      </c>
      <c r="O19" t="str">
        <f>_xlfn.IFNA(IF(N19="",VLOOKUP($B19*100+O$4,工作表1!$D:$O,工作表1!$O$1,FALSE),","&amp;VLOOKUP($B19*100+O$4,工作表1!$D:$O,工作表1!$O$1,FALSE)),"")</f>
        <v/>
      </c>
      <c r="P19" t="str">
        <f>_xlfn.IFNA(IF(O19="",VLOOKUP($B19*100+P$4,工作表1!$D:$O,工作表1!$O$1,FALSE),","&amp;VLOOKUP($B19*100+P$4,工作表1!$D:$O,工作表1!$O$1,FALSE)),"")</f>
        <v/>
      </c>
      <c r="Q19" t="str">
        <f>_xlfn.IFNA(IF(P19="",VLOOKUP($B19*100+Q$4,工作表1!$D:$O,工作表1!$O$1,FALSE),","&amp;VLOOKUP($B19*100+Q$4,工作表1!$D:$O,工作表1!$O$1,FALSE)),"")</f>
        <v/>
      </c>
    </row>
    <row r="20" spans="1:17" x14ac:dyDescent="0.15">
      <c r="E20" t="str">
        <f>_xlfn.IFNA(VLOOKUP(B20*100+1,工作表1!$D:$O,工作表1!H$1,FALSE),"")</f>
        <v/>
      </c>
      <c r="I20" t="str">
        <f t="shared" si="6"/>
        <v/>
      </c>
      <c r="N20" t="str">
        <f>_xlfn.IFNA(IF(M20="",VLOOKUP($B20*100+N$4,工作表1!$D:$O,工作表1!$O$1,FALSE),","&amp;VLOOKUP($B20*100+N$4,工作表1!$D:$O,工作表1!$O$1,FALSE)),"")</f>
        <v/>
      </c>
      <c r="O20" t="str">
        <f>_xlfn.IFNA(IF(N20="",VLOOKUP($B20*100+O$4,工作表1!$D:$O,工作表1!$O$1,FALSE),","&amp;VLOOKUP($B20*100+O$4,工作表1!$D:$O,工作表1!$O$1,FALSE)),"")</f>
        <v/>
      </c>
      <c r="P20" t="str">
        <f>_xlfn.IFNA(IF(O20="",VLOOKUP($B20*100+P$4,工作表1!$D:$O,工作表1!$O$1,FALSE),","&amp;VLOOKUP($B20*100+P$4,工作表1!$D:$O,工作表1!$O$1,FALSE)),"")</f>
        <v/>
      </c>
      <c r="Q20" t="str">
        <f>_xlfn.IFNA(IF(P20="",VLOOKUP($B20*100+Q$4,工作表1!$D:$O,工作表1!$O$1,FALSE),","&amp;VLOOKUP($B20*100+Q$4,工作表1!$D:$O,工作表1!$O$1,FALSE)),"")</f>
        <v/>
      </c>
    </row>
    <row r="21" spans="1:17" s="7" customFormat="1" x14ac:dyDescent="0.15">
      <c r="E21" s="7" t="str">
        <f>_xlfn.IFNA(VLOOKUP(B21*100+1,工作表1!$D:$O,工作表1!H$1,FALSE),"")</f>
        <v/>
      </c>
      <c r="N21" s="7" t="str">
        <f>_xlfn.IFNA(IF(M21="",VLOOKUP($B21*100+N$4,工作表1!$D:$O,工作表1!$O$1,FALSE),","&amp;VLOOKUP($B21*100+N$4,工作表1!$D:$O,工作表1!$O$1,FALSE)),"")</f>
        <v/>
      </c>
      <c r="O21" s="7" t="str">
        <f>_xlfn.IFNA(IF(N21="",VLOOKUP($B21*100+O$4,工作表1!$D:$O,工作表1!$O$1,FALSE),","&amp;VLOOKUP($B21*100+O$4,工作表1!$D:$O,工作表1!$O$1,FALSE)),"")</f>
        <v/>
      </c>
      <c r="P21" s="7" t="str">
        <f>_xlfn.IFNA(IF(O21="",VLOOKUP($B21*100+P$4,工作表1!$D:$O,工作表1!$O$1,FALSE),","&amp;VLOOKUP($B21*100+P$4,工作表1!$D:$O,工作表1!$O$1,FALSE)),"")</f>
        <v/>
      </c>
      <c r="Q21" s="7" t="str">
        <f>_xlfn.IFNA(IF(P21="",VLOOKUP($B21*100+Q$4,工作表1!$D:$O,工作表1!$O$1,FALSE),","&amp;VLOOKUP($B21*100+Q$4,工作表1!$D:$O,工作表1!$O$1,FALSE)),"")</f>
        <v/>
      </c>
    </row>
    <row r="22" spans="1:17" x14ac:dyDescent="0.15">
      <c r="E22" t="str">
        <f>_xlfn.IFNA(VLOOKUP(B22*100+1,工作表1!$D:$O,工作表1!H$1,FALSE),"")</f>
        <v/>
      </c>
      <c r="N22" t="str">
        <f>_xlfn.IFNA(IF(M22="",VLOOKUP($B22*100+N$4,工作表1!$D:$O,工作表1!$O$1,FALSE),","&amp;VLOOKUP($B22*100+N$4,工作表1!$D:$O,工作表1!$O$1,FALSE)),"")</f>
        <v/>
      </c>
      <c r="O22" t="str">
        <f>_xlfn.IFNA(IF(N22="",VLOOKUP($B22*100+O$4,工作表1!$D:$O,工作表1!$O$1,FALSE),","&amp;VLOOKUP($B22*100+O$4,工作表1!$D:$O,工作表1!$O$1,FALSE)),"")</f>
        <v/>
      </c>
      <c r="P22" t="str">
        <f>_xlfn.IFNA(IF(O22="",VLOOKUP($B22*100+P$4,工作表1!$D:$O,工作表1!$O$1,FALSE),","&amp;VLOOKUP($B22*100+P$4,工作表1!$D:$O,工作表1!$O$1,FALSE)),"")</f>
        <v/>
      </c>
      <c r="Q22" t="str">
        <f>_xlfn.IFNA(IF(P22="",VLOOKUP($B22*100+Q$4,工作表1!$D:$O,工作表1!$O$1,FALSE),","&amp;VLOOKUP($B22*100+Q$4,工作表1!$D:$O,工作表1!$O$1,FALSE)),"")</f>
        <v/>
      </c>
    </row>
    <row r="23" spans="1:17" x14ac:dyDescent="0.15">
      <c r="A23">
        <f>E23/SUMIF(C:C,C23,E:E)</f>
        <v>0.33333333333333331</v>
      </c>
      <c r="B23">
        <f t="shared" si="5"/>
        <v>340003001</v>
      </c>
      <c r="C23">
        <v>340003</v>
      </c>
      <c r="D23">
        <v>1</v>
      </c>
      <c r="E23">
        <f>_xlfn.IFNA(VLOOKUP(B23*100+1,工作表1!$D:$O,工作表1!H$1,FALSE),"")</f>
        <v>50</v>
      </c>
      <c r="G23">
        <v>5</v>
      </c>
      <c r="H23" t="str">
        <f>IF(E23=0,"",H$5&amp;E23&amp;H$6)</f>
        <v>{"g":50,"i":[</v>
      </c>
      <c r="I23" t="str">
        <f>N23&amp;O23&amp;P23&amp;Q23</f>
        <v>{"t":"i","i":26003,"c":1,"tr":0}</v>
      </c>
      <c r="K23" t="str">
        <f>IF(H23="","",K$6)</f>
        <v>]}</v>
      </c>
      <c r="L23" t="str">
        <f>H23&amp;I23&amp;J23&amp;K23</f>
        <v>{"g":50,"i":[{"t":"i","i":26003,"c":1,"tr":0}]}</v>
      </c>
      <c r="N23" t="str">
        <f>_xlfn.IFNA(IF(M23="",VLOOKUP($B23*100+N$4,工作表1!$D:$O,工作表1!$O$1,FALSE),","&amp;VLOOKUP($B23*100+N$4,工作表1!$D:$O,工作表1!$O$1,FALSE)),"")</f>
        <v>{"t":"i","i":26003,"c":1,"tr":0}</v>
      </c>
      <c r="O23" t="str">
        <f>_xlfn.IFNA(IF(N23="",VLOOKUP($B23*100+O$4,工作表1!$D:$O,工作表1!$O$1,FALSE),","&amp;VLOOKUP($B23*100+O$4,工作表1!$D:$O,工作表1!$O$1,FALSE)),"")</f>
        <v/>
      </c>
      <c r="P23" t="str">
        <f>_xlfn.IFNA(IF(O23="",VLOOKUP($B23*100+P$4,工作表1!$D:$O,工作表1!$O$1,FALSE),","&amp;VLOOKUP($B23*100+P$4,工作表1!$D:$O,工作表1!$O$1,FALSE)),"")</f>
        <v/>
      </c>
      <c r="Q23" t="str">
        <f>_xlfn.IFNA(IF(P23="",VLOOKUP($B23*100+Q$4,工作表1!$D:$O,工作表1!$O$1,FALSE),","&amp;VLOOKUP($B23*100+Q$4,工作表1!$D:$O,工作表1!$O$1,FALSE)),"")</f>
        <v/>
      </c>
    </row>
    <row r="24" spans="1:17" x14ac:dyDescent="0.15">
      <c r="A24">
        <f>E24/SUMIF(C:C,C24,E:E)</f>
        <v>0.33333333333333331</v>
      </c>
      <c r="B24">
        <f>C24*1000+D24</f>
        <v>340003002</v>
      </c>
      <c r="C24">
        <v>340003</v>
      </c>
      <c r="D24">
        <v>2</v>
      </c>
      <c r="E24">
        <f>_xlfn.IFNA(VLOOKUP(B24*100+1,工作表1!$D:$O,工作表1!H$1,FALSE),"")</f>
        <v>50</v>
      </c>
      <c r="G24">
        <v>4</v>
      </c>
      <c r="H24" t="str">
        <f>IF(E24=0,"",H$5&amp;E24&amp;H$6)</f>
        <v>{"g":50,"i":[</v>
      </c>
      <c r="I24" t="str">
        <f t="shared" ref="I24:I26" si="12">N24&amp;O24&amp;P24&amp;Q24</f>
        <v>{"t":"i","i":26003,"c":2,"tr":0}</v>
      </c>
      <c r="K24" t="str">
        <f>IF(H24="","",K$6)</f>
        <v>]}</v>
      </c>
      <c r="L24" t="str">
        <f>H24&amp;I24&amp;J24&amp;K24</f>
        <v>{"g":50,"i":[{"t":"i","i":26003,"c":2,"tr":0}]}</v>
      </c>
      <c r="N24" t="str">
        <f>_xlfn.IFNA(IF(M24="",VLOOKUP($B24*100+N$4,工作表1!$D:$O,工作表1!$O$1,FALSE),","&amp;VLOOKUP($B24*100+N$4,工作表1!$D:$O,工作表1!$O$1,FALSE)),"")</f>
        <v>{"t":"i","i":26003,"c":2,"tr":0}</v>
      </c>
      <c r="O24" t="str">
        <f>_xlfn.IFNA(IF(N24="",VLOOKUP($B24*100+O$4,工作表1!$D:$O,工作表1!$O$1,FALSE),","&amp;VLOOKUP($B24*100+O$4,工作表1!$D:$O,工作表1!$O$1,FALSE)),"")</f>
        <v/>
      </c>
      <c r="P24" t="str">
        <f>_xlfn.IFNA(IF(O24="",VLOOKUP($B24*100+P$4,工作表1!$D:$O,工作表1!$O$1,FALSE),","&amp;VLOOKUP($B24*100+P$4,工作表1!$D:$O,工作表1!$O$1,FALSE)),"")</f>
        <v/>
      </c>
      <c r="Q24" t="str">
        <f>_xlfn.IFNA(IF(P24="",VLOOKUP($B24*100+Q$4,工作表1!$D:$O,工作表1!$O$1,FALSE),","&amp;VLOOKUP($B24*100+Q$4,工作表1!$D:$O,工作表1!$O$1,FALSE)),"")</f>
        <v/>
      </c>
    </row>
    <row r="25" spans="1:17" x14ac:dyDescent="0.15">
      <c r="A25">
        <f>E25/SUMIF(C:C,C25,E:E)</f>
        <v>0.33333333333333331</v>
      </c>
      <c r="B25">
        <f>C25*1000+D25</f>
        <v>340003003</v>
      </c>
      <c r="C25">
        <v>340003</v>
      </c>
      <c r="D25">
        <v>3</v>
      </c>
      <c r="E25">
        <f>_xlfn.IFNA(VLOOKUP(B25*100+1,工作表1!$D:$O,工作表1!H$1,FALSE),"")</f>
        <v>50</v>
      </c>
      <c r="G25">
        <v>3</v>
      </c>
      <c r="H25" t="str">
        <f>IF(E25=0,"",H$5&amp;E25&amp;H$6)</f>
        <v>{"g":50,"i":[</v>
      </c>
      <c r="I25" t="str">
        <f t="shared" si="12"/>
        <v>{"t":"i","i":26003,"c":3,"tr":0}</v>
      </c>
      <c r="K25" t="str">
        <f>IF(H25="","",K$6)</f>
        <v>]}</v>
      </c>
      <c r="L25" t="str">
        <f>H25&amp;I25&amp;J25&amp;K25</f>
        <v>{"g":50,"i":[{"t":"i","i":26003,"c":3,"tr":0}]}</v>
      </c>
      <c r="N25" t="str">
        <f>_xlfn.IFNA(IF(M25="",VLOOKUP($B25*100+N$4,工作表1!$D:$O,工作表1!$O$1,FALSE),","&amp;VLOOKUP($B25*100+N$4,工作表1!$D:$O,工作表1!$O$1,FALSE)),"")</f>
        <v>{"t":"i","i":26003,"c":3,"tr":0}</v>
      </c>
      <c r="O25" t="str">
        <f>_xlfn.IFNA(IF(N25="",VLOOKUP($B25*100+O$4,工作表1!$D:$O,工作表1!$O$1,FALSE),","&amp;VLOOKUP($B25*100+O$4,工作表1!$D:$O,工作表1!$O$1,FALSE)),"")</f>
        <v/>
      </c>
      <c r="P25" t="str">
        <f>_xlfn.IFNA(IF(O25="",VLOOKUP($B25*100+P$4,工作表1!$D:$O,工作表1!$O$1,FALSE),","&amp;VLOOKUP($B25*100+P$4,工作表1!$D:$O,工作表1!$O$1,FALSE)),"")</f>
        <v/>
      </c>
      <c r="Q25" t="str">
        <f>_xlfn.IFNA(IF(P25="",VLOOKUP($B25*100+Q$4,工作表1!$D:$O,工作表1!$O$1,FALSE),","&amp;VLOOKUP($B25*100+Q$4,工作表1!$D:$O,工作表1!$O$1,FALSE)),"")</f>
        <v/>
      </c>
    </row>
    <row r="26" spans="1:17" x14ac:dyDescent="0.15">
      <c r="E26" t="str">
        <f>_xlfn.IFNA(VLOOKUP(B26*100+1,工作表1!$D:$O,工作表1!H$1,FALSE),"")</f>
        <v/>
      </c>
      <c r="F26" s="1"/>
      <c r="I26" t="str">
        <f t="shared" si="12"/>
        <v/>
      </c>
    </row>
    <row r="27" spans="1:17" s="7" customFormat="1" x14ac:dyDescent="0.15">
      <c r="F27" s="8"/>
    </row>
    <row r="28" spans="1:17" x14ac:dyDescent="0.15">
      <c r="F2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H24" sqref="H24"/>
    </sheetView>
  </sheetViews>
  <sheetFormatPr baseColWidth="10" defaultRowHeight="15" x14ac:dyDescent="0.15"/>
  <cols>
    <col min="2" max="2" width="0" hidden="1" customWidth="1"/>
    <col min="4" max="4" width="12.5" bestFit="1" customWidth="1"/>
    <col min="6" max="6" width="11.5" style="5" bestFit="1" customWidth="1"/>
    <col min="7" max="8" width="10.83203125" style="5"/>
    <col min="9" max="9" width="39" style="5" customWidth="1"/>
    <col min="10" max="10" width="10.83203125" style="5"/>
    <col min="11" max="11" width="15.5" bestFit="1" customWidth="1"/>
    <col min="12" max="12" width="19.5" bestFit="1" customWidth="1"/>
    <col min="13" max="13" width="15.5" bestFit="1" customWidth="1"/>
    <col min="14" max="14" width="3.5" bestFit="1" customWidth="1"/>
  </cols>
  <sheetData>
    <row r="1" spans="1:23" x14ac:dyDescent="0.15"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5" spans="1:23" x14ac:dyDescent="0.15">
      <c r="K5" s="4"/>
      <c r="L5" s="4"/>
      <c r="M5" s="4" t="s">
        <v>99</v>
      </c>
      <c r="N5" s="4"/>
    </row>
    <row r="6" spans="1:23" x14ac:dyDescent="0.15">
      <c r="K6" s="4"/>
      <c r="L6" s="4" t="s">
        <v>98</v>
      </c>
      <c r="M6" s="4" t="s">
        <v>100</v>
      </c>
      <c r="N6" s="4" t="s">
        <v>101</v>
      </c>
    </row>
    <row r="7" spans="1:23" x14ac:dyDescent="0.15">
      <c r="A7" t="s">
        <v>234</v>
      </c>
      <c r="B7" t="s">
        <v>235</v>
      </c>
      <c r="C7" t="s">
        <v>226</v>
      </c>
      <c r="D7" t="s">
        <v>95</v>
      </c>
      <c r="E7" t="s">
        <v>91</v>
      </c>
      <c r="F7" s="5" t="s">
        <v>231</v>
      </c>
      <c r="G7" s="5" t="s">
        <v>232</v>
      </c>
      <c r="H7" s="5" t="s">
        <v>233</v>
      </c>
      <c r="I7" s="5" t="s">
        <v>93</v>
      </c>
      <c r="J7" s="5" t="s">
        <v>94</v>
      </c>
      <c r="U7">
        <v>5.4</v>
      </c>
      <c r="V7">
        <v>2.0769230769230766</v>
      </c>
      <c r="W7">
        <v>1.3909090909090911</v>
      </c>
    </row>
    <row r="8" spans="1:23" x14ac:dyDescent="0.15">
      <c r="A8">
        <f>SUMIF(E:E,E8,B:B)</f>
        <v>5.0000000000000009</v>
      </c>
      <c r="B8">
        <f>C8*J8</f>
        <v>0.375</v>
      </c>
      <c r="C8">
        <f>H8/SUMIF(E:E,E8,H:H)</f>
        <v>0.125</v>
      </c>
      <c r="D8">
        <f>E8*100000+F8*100+G8</f>
        <v>34000100101</v>
      </c>
      <c r="E8">
        <v>340001</v>
      </c>
      <c r="F8" s="5">
        <v>1</v>
      </c>
      <c r="G8" s="5">
        <v>1</v>
      </c>
      <c r="H8" s="5">
        <v>60</v>
      </c>
      <c r="I8" s="5" t="s">
        <v>230</v>
      </c>
      <c r="J8" s="5">
        <v>3</v>
      </c>
      <c r="L8" t="str">
        <f>L$6&amp;VLOOKUP(I8,物品!B:C,2,FALSE)</f>
        <v>{"t":"i","i":26001</v>
      </c>
      <c r="M8" t="str">
        <f>M$5&amp;J8&amp;M$6</f>
        <v>,"c":3,"tr":0}</v>
      </c>
      <c r="N8" t="str">
        <f>IF(K8="","",N$6)</f>
        <v/>
      </c>
      <c r="O8" t="str">
        <f>K8&amp;L8&amp;M8&amp;N8</f>
        <v>{"t":"i","i":26001,"c":3,"tr":0}</v>
      </c>
    </row>
    <row r="9" spans="1:23" x14ac:dyDescent="0.15">
      <c r="A9">
        <f>SUMIF(E:E,E9,B:B)</f>
        <v>5.0000000000000009</v>
      </c>
      <c r="B9">
        <f t="shared" ref="B9:B25" si="0">C9*J9</f>
        <v>0.83333333333333337</v>
      </c>
      <c r="C9">
        <f>H9/SUMIF(E:E,E9,H:H)</f>
        <v>0.20833333333333334</v>
      </c>
      <c r="D9">
        <f>E9*100000+F9*100+G9</f>
        <v>34000100201</v>
      </c>
      <c r="E9">
        <v>340001</v>
      </c>
      <c r="F9" s="5">
        <v>2</v>
      </c>
      <c r="G9" s="5">
        <v>1</v>
      </c>
      <c r="H9" s="5">
        <v>100</v>
      </c>
      <c r="I9" s="5" t="s">
        <v>230</v>
      </c>
      <c r="J9" s="5">
        <v>4</v>
      </c>
      <c r="L9" t="str">
        <f>L$6&amp;VLOOKUP(I9,物品!B:C,2,FALSE)</f>
        <v>{"t":"i","i":26001</v>
      </c>
      <c r="M9" t="str">
        <f>M$5&amp;J9&amp;M$6</f>
        <v>,"c":4,"tr":0}</v>
      </c>
      <c r="N9" t="str">
        <f>IF(K9="","",N$6)</f>
        <v/>
      </c>
      <c r="O9" t="str">
        <f>K9&amp;L9&amp;M9&amp;N9</f>
        <v>{"t":"i","i":26001,"c":4,"tr":0}</v>
      </c>
    </row>
    <row r="10" spans="1:23" x14ac:dyDescent="0.15">
      <c r="A10">
        <f>SUMIF(E:E,E10,B:B)</f>
        <v>5.0000000000000009</v>
      </c>
      <c r="B10">
        <f t="shared" si="0"/>
        <v>1.5625</v>
      </c>
      <c r="C10">
        <f>H10/SUMIF(E:E,E10,H:H)</f>
        <v>0.3125</v>
      </c>
      <c r="D10">
        <f>E10*100000+F10*100+G10</f>
        <v>34000100301</v>
      </c>
      <c r="E10">
        <v>340001</v>
      </c>
      <c r="F10" s="5">
        <v>3</v>
      </c>
      <c r="G10" s="5">
        <v>1</v>
      </c>
      <c r="H10" s="5">
        <v>150</v>
      </c>
      <c r="I10" s="5" t="s">
        <v>230</v>
      </c>
      <c r="J10" s="5">
        <v>5</v>
      </c>
      <c r="L10" t="str">
        <f>L$6&amp;VLOOKUP(I10,物品!B:C,2,FALSE)</f>
        <v>{"t":"i","i":26001</v>
      </c>
      <c r="M10" t="str">
        <f>M$5&amp;J10&amp;M$6</f>
        <v>,"c":5,"tr":0}</v>
      </c>
      <c r="N10" t="str">
        <f>IF(K10="","",N$6)</f>
        <v/>
      </c>
      <c r="O10" t="str">
        <f>K10&amp;L10&amp;M10&amp;N10</f>
        <v>{"t":"i","i":26001,"c":5,"tr":0}</v>
      </c>
    </row>
    <row r="11" spans="1:23" x14ac:dyDescent="0.15">
      <c r="A11">
        <f>SUMIF(E:E,E11,B:B)</f>
        <v>5.0000000000000009</v>
      </c>
      <c r="B11">
        <f t="shared" si="0"/>
        <v>1.5</v>
      </c>
      <c r="C11">
        <f>H11/SUMIF(E:E,E11,H:H)</f>
        <v>0.25</v>
      </c>
      <c r="D11">
        <f>E11*100000+F11*100+G11</f>
        <v>34000100401</v>
      </c>
      <c r="E11">
        <v>340001</v>
      </c>
      <c r="F11" s="5">
        <v>4</v>
      </c>
      <c r="G11" s="5">
        <v>1</v>
      </c>
      <c r="H11" s="5">
        <v>120</v>
      </c>
      <c r="I11" s="5" t="s">
        <v>230</v>
      </c>
      <c r="J11" s="5">
        <v>6</v>
      </c>
      <c r="L11" t="str">
        <f>L$6&amp;VLOOKUP(I11,物品!B:C,2,FALSE)</f>
        <v>{"t":"i","i":26001</v>
      </c>
      <c r="M11" t="str">
        <f>M$5&amp;J11&amp;M$6</f>
        <v>,"c":6,"tr":0}</v>
      </c>
      <c r="N11" t="str">
        <f>IF(K11="","",N$6)</f>
        <v/>
      </c>
      <c r="O11" t="str">
        <f>K11&amp;L11&amp;M11&amp;N11</f>
        <v>{"t":"i","i":26001,"c":6,"tr":0}</v>
      </c>
    </row>
    <row r="12" spans="1:23" x14ac:dyDescent="0.15">
      <c r="A12">
        <f>SUMIF(E:E,E12,B:B)</f>
        <v>5.0000000000000009</v>
      </c>
      <c r="B12">
        <f t="shared" ref="B12" si="1">C12*J12</f>
        <v>0.72916666666666674</v>
      </c>
      <c r="C12">
        <f>H12/SUMIF(E:E,E12,H:H)</f>
        <v>0.10416666666666667</v>
      </c>
      <c r="D12">
        <f>E12*100000+F12*100+G12</f>
        <v>34000100501</v>
      </c>
      <c r="E12">
        <v>340001</v>
      </c>
      <c r="F12" s="5">
        <v>5</v>
      </c>
      <c r="G12" s="5">
        <v>1</v>
      </c>
      <c r="H12" s="5">
        <v>50</v>
      </c>
      <c r="I12" s="5" t="s">
        <v>230</v>
      </c>
      <c r="J12" s="5">
        <v>7</v>
      </c>
      <c r="L12" t="str">
        <f>L$6&amp;VLOOKUP(I12,物品!B:C,2,FALSE)</f>
        <v>{"t":"i","i":26001</v>
      </c>
      <c r="M12" t="str">
        <f>M$5&amp;J12&amp;M$6</f>
        <v>,"c":7,"tr":0}</v>
      </c>
      <c r="N12" t="str">
        <f>IF(K12="","",N$6)</f>
        <v/>
      </c>
      <c r="O12" t="str">
        <f>K12&amp;L12&amp;M12&amp;N12</f>
        <v>{"t":"i","i":26001,"c":7,"tr":0}</v>
      </c>
    </row>
    <row r="14" spans="1:23" s="7" customFormat="1" x14ac:dyDescent="0.15">
      <c r="A14"/>
      <c r="B14"/>
      <c r="C14"/>
    </row>
    <row r="16" spans="1:23" x14ac:dyDescent="0.15">
      <c r="A16">
        <f>SUMIF(E:E,E16,B:B)</f>
        <v>2.0909090909090908</v>
      </c>
      <c r="B16">
        <f t="shared" si="0"/>
        <v>0.27272727272727271</v>
      </c>
      <c r="C16">
        <f>H16/SUMIF(E:E,E16,H:H)</f>
        <v>0.27272727272727271</v>
      </c>
      <c r="D16">
        <f t="shared" ref="D16:D19" si="2">E16*100000+F16*100+G16</f>
        <v>34000200101</v>
      </c>
      <c r="E16">
        <v>340002</v>
      </c>
      <c r="F16" s="5">
        <v>1</v>
      </c>
      <c r="G16" s="5">
        <v>1</v>
      </c>
      <c r="H16" s="5">
        <v>30</v>
      </c>
      <c r="I16" s="5" t="s">
        <v>211</v>
      </c>
      <c r="J16" s="5">
        <v>1</v>
      </c>
      <c r="L16" t="str">
        <f>L$6&amp;VLOOKUP(I16,物品!B:C,2,FALSE)</f>
        <v>{"t":"i","i":26002</v>
      </c>
      <c r="M16" t="str">
        <f t="shared" ref="M16:M19" si="3">M$5&amp;J16&amp;M$6</f>
        <v>,"c":1,"tr":0}</v>
      </c>
      <c r="N16" t="str">
        <f t="shared" ref="N16:N19" si="4">IF(K16="","",N$6)</f>
        <v/>
      </c>
      <c r="O16" t="str">
        <f t="shared" ref="O16:O19" si="5">K16&amp;L16&amp;M16&amp;N16</f>
        <v>{"t":"i","i":26002,"c":1,"tr":0}</v>
      </c>
    </row>
    <row r="17" spans="1:15" x14ac:dyDescent="0.15">
      <c r="A17">
        <f>SUMIF(E:E,E17,B:B)</f>
        <v>2.0909090909090908</v>
      </c>
      <c r="B17">
        <f t="shared" si="0"/>
        <v>0.90909090909090906</v>
      </c>
      <c r="C17">
        <f>H17/SUMIF(E:E,E17,H:H)</f>
        <v>0.45454545454545453</v>
      </c>
      <c r="D17">
        <f t="shared" si="2"/>
        <v>34000200201</v>
      </c>
      <c r="E17">
        <v>340002</v>
      </c>
      <c r="F17" s="5">
        <v>2</v>
      </c>
      <c r="G17" s="5">
        <v>1</v>
      </c>
      <c r="H17" s="5">
        <v>50</v>
      </c>
      <c r="I17" s="5" t="s">
        <v>211</v>
      </c>
      <c r="J17" s="5">
        <v>2</v>
      </c>
      <c r="L17" t="str">
        <f>L$6&amp;VLOOKUP(I17,物品!B:C,2,FALSE)</f>
        <v>{"t":"i","i":26002</v>
      </c>
      <c r="M17" t="str">
        <f t="shared" si="3"/>
        <v>,"c":2,"tr":0}</v>
      </c>
      <c r="N17" t="str">
        <f t="shared" si="4"/>
        <v/>
      </c>
      <c r="O17" t="str">
        <f t="shared" si="5"/>
        <v>{"t":"i","i":26002,"c":2,"tr":0}</v>
      </c>
    </row>
    <row r="18" spans="1:15" x14ac:dyDescent="0.15">
      <c r="A18">
        <f>SUMIF(E:E,E18,B:B)</f>
        <v>2.0909090909090908</v>
      </c>
      <c r="B18">
        <f t="shared" si="0"/>
        <v>0.54545454545454541</v>
      </c>
      <c r="C18">
        <f>H18/SUMIF(E:E,E18,H:H)</f>
        <v>0.18181818181818182</v>
      </c>
      <c r="D18">
        <f t="shared" si="2"/>
        <v>34000200301</v>
      </c>
      <c r="E18">
        <v>340002</v>
      </c>
      <c r="F18" s="5">
        <v>3</v>
      </c>
      <c r="G18" s="5">
        <v>1</v>
      </c>
      <c r="H18" s="5">
        <v>20</v>
      </c>
      <c r="I18" s="5" t="s">
        <v>211</v>
      </c>
      <c r="J18" s="5">
        <v>3</v>
      </c>
      <c r="L18" t="str">
        <f>L$6&amp;VLOOKUP(I18,物品!B:C,2,FALSE)</f>
        <v>{"t":"i","i":26002</v>
      </c>
      <c r="M18" t="str">
        <f t="shared" si="3"/>
        <v>,"c":3,"tr":0}</v>
      </c>
      <c r="N18" t="str">
        <f t="shared" si="4"/>
        <v/>
      </c>
      <c r="O18" t="str">
        <f t="shared" si="5"/>
        <v>{"t":"i","i":26002,"c":3,"tr":0}</v>
      </c>
    </row>
    <row r="19" spans="1:15" x14ac:dyDescent="0.15">
      <c r="A19">
        <f>SUMIF(E:E,E19,B:B)</f>
        <v>2.0909090909090908</v>
      </c>
      <c r="B19">
        <f t="shared" si="0"/>
        <v>0.36363636363636365</v>
      </c>
      <c r="C19">
        <f>H19/SUMIF(E:E,E19,H:H)</f>
        <v>9.0909090909090912E-2</v>
      </c>
      <c r="D19">
        <f t="shared" si="2"/>
        <v>34000200401</v>
      </c>
      <c r="E19">
        <v>340002</v>
      </c>
      <c r="F19" s="5">
        <v>4</v>
      </c>
      <c r="G19" s="5">
        <v>1</v>
      </c>
      <c r="H19" s="5">
        <v>10</v>
      </c>
      <c r="I19" s="5" t="s">
        <v>211</v>
      </c>
      <c r="J19" s="5">
        <v>4</v>
      </c>
      <c r="L19" t="str">
        <f>L$6&amp;VLOOKUP(I19,物品!B:C,2,FALSE)</f>
        <v>{"t":"i","i":26002</v>
      </c>
      <c r="M19" t="str">
        <f t="shared" si="3"/>
        <v>,"c":4,"tr":0}</v>
      </c>
      <c r="N19" t="str">
        <f t="shared" si="4"/>
        <v/>
      </c>
      <c r="O19" t="str">
        <f t="shared" si="5"/>
        <v>{"t":"i","i":26002,"c":4,"tr":0}</v>
      </c>
    </row>
    <row r="21" spans="1:15" s="7" customFormat="1" x14ac:dyDescent="0.15">
      <c r="A21"/>
      <c r="B21"/>
      <c r="C21"/>
    </row>
    <row r="23" spans="1:15" x14ac:dyDescent="0.15">
      <c r="A23">
        <f>SUMIF(E:E,E23,B:B)</f>
        <v>2</v>
      </c>
      <c r="B23">
        <f t="shared" si="0"/>
        <v>0.33333333333333331</v>
      </c>
      <c r="C23">
        <f>H23/SUMIF(E:E,E23,H:H)</f>
        <v>0.33333333333333331</v>
      </c>
      <c r="D23">
        <f t="shared" ref="D23:D25" si="6">E23*100000+F23*100+G23</f>
        <v>34000300101</v>
      </c>
      <c r="E23">
        <v>340003</v>
      </c>
      <c r="F23" s="5">
        <v>1</v>
      </c>
      <c r="G23" s="5">
        <v>1</v>
      </c>
      <c r="H23" s="5">
        <v>50</v>
      </c>
      <c r="I23" s="5" t="s">
        <v>212</v>
      </c>
      <c r="J23" s="5">
        <v>1</v>
      </c>
      <c r="L23" t="str">
        <f>L$6&amp;VLOOKUP(I23,物品!B:C,2,FALSE)</f>
        <v>{"t":"i","i":26003</v>
      </c>
      <c r="M23" t="str">
        <f t="shared" ref="M23" si="7">M$5&amp;J23&amp;M$6</f>
        <v>,"c":1,"tr":0}</v>
      </c>
      <c r="N23" t="str">
        <f t="shared" ref="N23" si="8">IF(K23="","",N$6)</f>
        <v/>
      </c>
      <c r="O23" t="str">
        <f t="shared" ref="O23" si="9">K23&amp;L23&amp;M23&amp;N23</f>
        <v>{"t":"i","i":26003,"c":1,"tr":0}</v>
      </c>
    </row>
    <row r="24" spans="1:15" x14ac:dyDescent="0.15">
      <c r="A24">
        <f>SUMIF(E:E,E24,B:B)</f>
        <v>2</v>
      </c>
      <c r="B24">
        <f t="shared" si="0"/>
        <v>0.66666666666666663</v>
      </c>
      <c r="C24">
        <f>H24/SUMIF(E:E,E24,H:H)</f>
        <v>0.33333333333333331</v>
      </c>
      <c r="D24">
        <f t="shared" si="6"/>
        <v>34000300201</v>
      </c>
      <c r="E24">
        <v>340003</v>
      </c>
      <c r="F24" s="5">
        <v>2</v>
      </c>
      <c r="G24" s="5">
        <v>1</v>
      </c>
      <c r="H24" s="5">
        <v>50</v>
      </c>
      <c r="I24" s="5" t="s">
        <v>212</v>
      </c>
      <c r="J24" s="5">
        <v>2</v>
      </c>
      <c r="L24" t="str">
        <f>L$6&amp;VLOOKUP(I24,物品!B:C,2,FALSE)</f>
        <v>{"t":"i","i":26003</v>
      </c>
      <c r="M24" t="str">
        <f>M$5&amp;J24&amp;M$6</f>
        <v>,"c":2,"tr":0}</v>
      </c>
      <c r="N24" t="str">
        <f>IF(K24="","",N$6)</f>
        <v/>
      </c>
      <c r="O24" t="str">
        <f>K24&amp;L24&amp;M24&amp;N24</f>
        <v>{"t":"i","i":26003,"c":2,"tr":0}</v>
      </c>
    </row>
    <row r="25" spans="1:15" x14ac:dyDescent="0.15">
      <c r="A25">
        <f>SUMIF(E:E,E25,B:B)</f>
        <v>2</v>
      </c>
      <c r="B25">
        <f t="shared" si="0"/>
        <v>1</v>
      </c>
      <c r="C25">
        <f>H25/SUMIF(E:E,E25,H:H)</f>
        <v>0.33333333333333331</v>
      </c>
      <c r="D25">
        <f t="shared" si="6"/>
        <v>34000300301</v>
      </c>
      <c r="E25">
        <v>340003</v>
      </c>
      <c r="F25" s="5">
        <v>3</v>
      </c>
      <c r="G25" s="5">
        <v>1</v>
      </c>
      <c r="H25" s="5">
        <v>50</v>
      </c>
      <c r="I25" s="5" t="s">
        <v>212</v>
      </c>
      <c r="J25" s="5">
        <v>3</v>
      </c>
      <c r="L25" t="str">
        <f>L$6&amp;VLOOKUP(I25,物品!B:C,2,FALSE)</f>
        <v>{"t":"i","i":26003</v>
      </c>
      <c r="M25" t="str">
        <f>M$5&amp;J25&amp;M$6</f>
        <v>,"c":3,"tr":0}</v>
      </c>
      <c r="N25" t="str">
        <f>IF(K25="","",N$6)</f>
        <v/>
      </c>
      <c r="O25" t="str">
        <f>K25&amp;L25&amp;M25&amp;N25</f>
        <v>{"t":"i","i":26003,"c":3,"tr":0}</v>
      </c>
    </row>
    <row r="26" spans="1:15" x14ac:dyDescent="0.15">
      <c r="I26" s="6"/>
    </row>
    <row r="27" spans="1:15" s="7" customFormat="1" x14ac:dyDescent="0.15">
      <c r="I27" s="8"/>
    </row>
    <row r="28" spans="1:15" x14ac:dyDescent="0.15">
      <c r="I2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B202" sqref="B202"/>
    </sheetView>
  </sheetViews>
  <sheetFormatPr baseColWidth="10" defaultRowHeight="15" x14ac:dyDescent="0.15"/>
  <cols>
    <col min="2" max="2" width="49.33203125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工作表1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2017-07-12T07:32:04Z</dcterms:modified>
</cp:coreProperties>
</file>