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itsacid-my.sharepoint.com/personal/5003201158_student_its_ac_id/Documents/SEMESTER 2/Pemograman Komputer/"/>
    </mc:Choice>
  </mc:AlternateContent>
  <xr:revisionPtr revIDLastSave="2245" documentId="8_{0FA88C4C-BDA0-4E7D-AAA2-EEFD6C3E861A}" xr6:coauthVersionLast="47" xr6:coauthVersionMax="47" xr10:uidLastSave="{FF565D3C-64F3-4526-BE47-3D32DF811A0C}"/>
  <bookViews>
    <workbookView xWindow="-110" yWindow="-110" windowWidth="19420" windowHeight="10300" activeTab="4" xr2:uid="{2A13A2F0-FFD1-4A8F-9D8C-2D9037ACF645}"/>
  </bookViews>
  <sheets>
    <sheet name="Pinjam Buku" sheetId="1" r:id="rId1"/>
    <sheet name="IPK Zahira" sheetId="2" r:id="rId2"/>
    <sheet name="UTS" sheetId="6" r:id="rId3"/>
    <sheet name="Parkiran" sheetId="3" r:id="rId4"/>
    <sheet name="Latihann" sheetId="8" r:id="rId5"/>
    <sheet name="Latihan" sheetId="9" r:id="rId6"/>
    <sheet name="Lat ETS" sheetId="10" r:id="rId7"/>
    <sheet name="Lat ETS lg" sheetId="11" r:id="rId8"/>
  </sheets>
  <calcPr calcId="191029"/>
  <pivotCaches>
    <pivotCache cacheId="0" r:id="rId9"/>
    <pivotCache cacheId="1"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3" l="1"/>
  <c r="K3" i="3"/>
  <c r="J3" i="3"/>
  <c r="L3" i="6"/>
  <c r="K3" i="6"/>
  <c r="E3" i="6"/>
  <c r="C3" i="6"/>
  <c r="P3" i="6" s="1"/>
  <c r="P15" i="6" s="1"/>
  <c r="I2" i="1"/>
  <c r="I3" i="1"/>
  <c r="H2" i="1"/>
  <c r="H3" i="1"/>
  <c r="E2" i="1"/>
  <c r="D3" i="1"/>
  <c r="D4" i="1"/>
  <c r="D5" i="1"/>
  <c r="D6" i="1"/>
  <c r="D7" i="1"/>
  <c r="D8" i="1"/>
  <c r="D9" i="1"/>
  <c r="D10" i="1"/>
  <c r="D11" i="1"/>
  <c r="D2" i="1"/>
  <c r="C3" i="1"/>
  <c r="C4" i="1"/>
  <c r="C5" i="1"/>
  <c r="C6" i="1"/>
  <c r="C7" i="1"/>
  <c r="C8" i="1"/>
  <c r="C9" i="1"/>
  <c r="C10" i="1"/>
  <c r="C11" i="1"/>
  <c r="C2" i="1"/>
  <c r="H11" i="1"/>
  <c r="J4" i="6"/>
  <c r="J3" i="6"/>
  <c r="I9" i="9"/>
  <c r="G13" i="8"/>
  <c r="J2" i="2"/>
  <c r="J3" i="2"/>
  <c r="J4" i="2"/>
  <c r="J5" i="2"/>
  <c r="J6" i="2"/>
  <c r="J7" i="2"/>
  <c r="J8" i="2"/>
  <c r="J9" i="2"/>
  <c r="J10" i="2"/>
  <c r="J11" i="2"/>
  <c r="J12" i="2"/>
  <c r="J13" i="2"/>
  <c r="J14" i="2"/>
  <c r="J15" i="2"/>
  <c r="J16" i="2"/>
  <c r="J17" i="2"/>
  <c r="J18" i="2"/>
  <c r="J19" i="2"/>
  <c r="J20" i="2"/>
  <c r="J21" i="2"/>
  <c r="J22" i="2"/>
  <c r="J23" i="2"/>
  <c r="J24" i="2"/>
  <c r="J25" i="2"/>
  <c r="J26" i="2"/>
  <c r="I2" i="2"/>
  <c r="D3" i="3"/>
  <c r="Q15" i="6"/>
  <c r="P4" i="6"/>
  <c r="P5" i="6"/>
  <c r="P6" i="6"/>
  <c r="P7" i="6"/>
  <c r="P8" i="6"/>
  <c r="P9" i="6"/>
  <c r="P10" i="6"/>
  <c r="P11" i="6"/>
  <c r="P12" i="6"/>
  <c r="P13" i="6"/>
  <c r="P14" i="6"/>
  <c r="D48" i="11" l="1"/>
  <c r="D49" i="11"/>
  <c r="D47" i="11"/>
  <c r="AG13" i="11"/>
  <c r="AI13" i="11" s="1"/>
  <c r="AG14" i="11"/>
  <c r="AI14" i="11" s="1"/>
  <c r="AG15" i="11"/>
  <c r="AG16" i="11"/>
  <c r="AG17" i="11"/>
  <c r="AI17" i="11" s="1"/>
  <c r="AG18" i="11"/>
  <c r="AI18" i="11" s="1"/>
  <c r="AG19" i="11"/>
  <c r="AG10" i="11"/>
  <c r="AI10" i="11" s="1"/>
  <c r="AG11" i="11"/>
  <c r="AI11" i="11" s="1"/>
  <c r="AG12" i="11"/>
  <c r="AI12" i="11" s="1"/>
  <c r="AI15" i="11"/>
  <c r="AI16" i="11"/>
  <c r="AI19" i="11"/>
  <c r="AH11" i="11"/>
  <c r="AH12" i="11"/>
  <c r="AH13" i="11"/>
  <c r="AH14" i="11"/>
  <c r="AH15" i="11"/>
  <c r="AH16" i="11"/>
  <c r="AH17" i="11"/>
  <c r="AH18" i="11"/>
  <c r="AH19" i="11"/>
  <c r="AH10" i="11"/>
  <c r="AC11" i="11" l="1"/>
  <c r="AC12" i="11"/>
  <c r="AC13" i="11"/>
  <c r="AC14" i="11"/>
  <c r="AC15" i="11"/>
  <c r="AC16" i="11"/>
  <c r="AC17" i="11"/>
  <c r="AC18" i="11"/>
  <c r="AC19" i="11"/>
  <c r="AC10" i="11"/>
  <c r="Z11" i="11"/>
  <c r="Z12" i="11"/>
  <c r="Z13" i="11"/>
  <c r="Z14" i="11"/>
  <c r="Z15" i="11"/>
  <c r="Z16" i="11"/>
  <c r="Z17" i="11"/>
  <c r="Z18" i="11"/>
  <c r="Z19" i="11"/>
  <c r="Z10" i="11"/>
  <c r="W11" i="11"/>
  <c r="W12" i="11"/>
  <c r="W13" i="11"/>
  <c r="W14" i="11"/>
  <c r="W15" i="11"/>
  <c r="W16" i="11"/>
  <c r="W17" i="11"/>
  <c r="W18" i="11"/>
  <c r="W19" i="11"/>
  <c r="W10" i="11"/>
  <c r="D53" i="11"/>
  <c r="D52" i="11"/>
  <c r="G40" i="10"/>
  <c r="N23" i="11"/>
  <c r="M10" i="11"/>
  <c r="M11" i="11"/>
  <c r="M12" i="11"/>
  <c r="M13" i="11"/>
  <c r="M14" i="11"/>
  <c r="M15" i="11"/>
  <c r="M16" i="11"/>
  <c r="M17" i="11"/>
  <c r="N17" i="11" s="1"/>
  <c r="M18" i="11"/>
  <c r="M19" i="11"/>
  <c r="M20" i="11"/>
  <c r="M21" i="11"/>
  <c r="M22" i="11"/>
  <c r="M9" i="11"/>
  <c r="N9" i="11" s="1"/>
  <c r="N10" i="11"/>
  <c r="N11" i="11"/>
  <c r="N12" i="11"/>
  <c r="N13" i="11"/>
  <c r="N14" i="11"/>
  <c r="N15" i="11"/>
  <c r="N16" i="11"/>
  <c r="N18" i="11"/>
  <c r="N19" i="11"/>
  <c r="N20" i="11"/>
  <c r="N21" i="11"/>
  <c r="N22" i="11"/>
  <c r="L10" i="11"/>
  <c r="L11" i="11"/>
  <c r="L12" i="11"/>
  <c r="L13" i="11"/>
  <c r="L14" i="11"/>
  <c r="L15" i="11"/>
  <c r="L16" i="11"/>
  <c r="L17" i="11"/>
  <c r="L18" i="11"/>
  <c r="L19" i="11"/>
  <c r="L20" i="11"/>
  <c r="L21" i="11"/>
  <c r="L22" i="11"/>
  <c r="L9" i="11"/>
  <c r="K10" i="11"/>
  <c r="K11" i="11"/>
  <c r="K12" i="11"/>
  <c r="K13" i="11"/>
  <c r="K14" i="11"/>
  <c r="K15" i="11"/>
  <c r="K16" i="11"/>
  <c r="K17" i="11"/>
  <c r="K18" i="11"/>
  <c r="K19" i="11"/>
  <c r="K20" i="11"/>
  <c r="K21" i="11"/>
  <c r="K22" i="11"/>
  <c r="K9" i="11"/>
  <c r="C40" i="10"/>
  <c r="H10" i="11"/>
  <c r="H11" i="11"/>
  <c r="H12" i="11"/>
  <c r="H13" i="11"/>
  <c r="H14" i="11"/>
  <c r="H15" i="11"/>
  <c r="H16" i="11"/>
  <c r="H17" i="11"/>
  <c r="H18" i="11"/>
  <c r="H19" i="11"/>
  <c r="H20" i="11"/>
  <c r="H21" i="11"/>
  <c r="H22" i="11"/>
  <c r="H9" i="11"/>
  <c r="J10" i="11"/>
  <c r="J11" i="11"/>
  <c r="J12" i="11"/>
  <c r="J13" i="11"/>
  <c r="J14" i="11"/>
  <c r="J15" i="11"/>
  <c r="J16" i="11"/>
  <c r="J17" i="11"/>
  <c r="J18" i="11"/>
  <c r="J19" i="11"/>
  <c r="J20" i="11"/>
  <c r="J21" i="11"/>
  <c r="J22" i="11"/>
  <c r="J9" i="11"/>
  <c r="E10" i="11"/>
  <c r="E11" i="11"/>
  <c r="E12" i="11"/>
  <c r="E13" i="11"/>
  <c r="E14" i="11"/>
  <c r="E15" i="11"/>
  <c r="E16" i="11"/>
  <c r="E17" i="11"/>
  <c r="E18" i="11"/>
  <c r="E19" i="11"/>
  <c r="E20" i="11"/>
  <c r="E21" i="11"/>
  <c r="E22" i="11"/>
  <c r="E9" i="11"/>
  <c r="D10" i="11"/>
  <c r="D11" i="11"/>
  <c r="D12" i="11"/>
  <c r="D13" i="11"/>
  <c r="D14" i="11"/>
  <c r="D15" i="11"/>
  <c r="D16" i="11"/>
  <c r="D17" i="11"/>
  <c r="D18" i="11"/>
  <c r="D19" i="11"/>
  <c r="D20" i="11"/>
  <c r="D21" i="11"/>
  <c r="D22" i="11"/>
  <c r="D9" i="11"/>
  <c r="I4" i="10"/>
  <c r="K4" i="10" s="1"/>
  <c r="I3" i="10"/>
  <c r="K3" i="10" s="1"/>
  <c r="K5" i="10"/>
  <c r="K6" i="10"/>
  <c r="K7" i="10"/>
  <c r="K8" i="10"/>
  <c r="K9" i="10"/>
  <c r="K10" i="10"/>
  <c r="K11" i="10"/>
  <c r="K12" i="10"/>
  <c r="K13" i="10"/>
  <c r="K14" i="10"/>
  <c r="J3" i="10"/>
  <c r="AW45" i="11"/>
  <c r="AP45" i="11"/>
  <c r="J8" i="10" l="1"/>
  <c r="I11" i="10"/>
  <c r="H3" i="10"/>
  <c r="L3" i="10" s="1"/>
  <c r="H9" i="10"/>
  <c r="I9" i="10" s="1"/>
  <c r="H10" i="10"/>
  <c r="I10" i="10" s="1"/>
  <c r="H11" i="10"/>
  <c r="H12" i="10"/>
  <c r="I12" i="10" s="1"/>
  <c r="H13" i="10"/>
  <c r="I13" i="10" s="1"/>
  <c r="H14" i="10"/>
  <c r="I14" i="10" s="1"/>
  <c r="C4" i="10"/>
  <c r="J4" i="10" s="1"/>
  <c r="C5" i="10"/>
  <c r="I42" i="10" s="1"/>
  <c r="C6" i="10"/>
  <c r="J6" i="10" s="1"/>
  <c r="C7" i="10"/>
  <c r="J7" i="10" s="1"/>
  <c r="C8" i="10"/>
  <c r="C9" i="10"/>
  <c r="J9" i="10" s="1"/>
  <c r="C10" i="10"/>
  <c r="J10" i="10" s="1"/>
  <c r="C11" i="10"/>
  <c r="J11" i="10" s="1"/>
  <c r="C12" i="10"/>
  <c r="J12" i="10" s="1"/>
  <c r="C13" i="10"/>
  <c r="J13" i="10" s="1"/>
  <c r="C14" i="10"/>
  <c r="J14" i="10" s="1"/>
  <c r="C3" i="10"/>
  <c r="H4" i="10"/>
  <c r="H5" i="10"/>
  <c r="I5" i="10" s="1"/>
  <c r="H6" i="10"/>
  <c r="I6" i="10" s="1"/>
  <c r="H7" i="10"/>
  <c r="I7" i="10" s="1"/>
  <c r="H8" i="10"/>
  <c r="I8" i="10" s="1"/>
  <c r="L13" i="10" l="1"/>
  <c r="M11" i="10"/>
  <c r="M10" i="10"/>
  <c r="L4" i="10"/>
  <c r="J5" i="10"/>
  <c r="M9" i="10"/>
  <c r="I40" i="10"/>
  <c r="L10" i="10"/>
  <c r="M8" i="10"/>
  <c r="L9" i="10"/>
  <c r="M3" i="10"/>
  <c r="M7" i="10"/>
  <c r="I41" i="10"/>
  <c r="M14" i="10"/>
  <c r="M6" i="10"/>
  <c r="G42" i="10"/>
  <c r="M13" i="10"/>
  <c r="M5" i="10"/>
  <c r="G41" i="10"/>
  <c r="L11" i="10"/>
  <c r="M12" i="10"/>
  <c r="M4" i="10"/>
  <c r="L14" i="10"/>
  <c r="L6" i="10"/>
  <c r="L12" i="10"/>
  <c r="L8" i="10"/>
  <c r="L5" i="10"/>
  <c r="L7" i="10"/>
  <c r="C41" i="10" l="1"/>
  <c r="G18" i="8" l="1"/>
  <c r="G17" i="8"/>
  <c r="G16" i="8"/>
  <c r="G15" i="8"/>
  <c r="G4" i="8"/>
  <c r="G5" i="8"/>
  <c r="G6" i="8"/>
  <c r="G7" i="8"/>
  <c r="G8" i="8"/>
  <c r="G9" i="8"/>
  <c r="G10" i="8"/>
  <c r="G11" i="8"/>
  <c r="G12" i="8"/>
  <c r="G14" i="8"/>
  <c r="G3" i="8"/>
  <c r="F4" i="8"/>
  <c r="F5" i="8"/>
  <c r="F6" i="8"/>
  <c r="F7" i="8"/>
  <c r="F8" i="8"/>
  <c r="F9" i="8"/>
  <c r="F10" i="8"/>
  <c r="F11" i="8"/>
  <c r="F12" i="8"/>
  <c r="F13" i="8"/>
  <c r="F14" i="8"/>
  <c r="F3" i="8"/>
  <c r="I3" i="9"/>
  <c r="I2" i="9"/>
  <c r="O4" i="3"/>
  <c r="O5" i="3"/>
  <c r="O6" i="3"/>
  <c r="O7" i="3"/>
  <c r="O8" i="3"/>
  <c r="O9" i="3"/>
  <c r="O10" i="3"/>
  <c r="O11" i="3"/>
  <c r="O12" i="3"/>
  <c r="O13" i="3"/>
  <c r="O14" i="3"/>
  <c r="O3" i="3"/>
  <c r="N4" i="3"/>
  <c r="N5" i="3"/>
  <c r="N6" i="3"/>
  <c r="N7" i="3"/>
  <c r="N8" i="3"/>
  <c r="N9" i="3"/>
  <c r="N10" i="3"/>
  <c r="N11" i="3"/>
  <c r="N12" i="3"/>
  <c r="N13" i="3"/>
  <c r="N14" i="3"/>
  <c r="M4" i="3"/>
  <c r="M5" i="3"/>
  <c r="M6" i="3"/>
  <c r="M7" i="3"/>
  <c r="M8" i="3"/>
  <c r="M9" i="3"/>
  <c r="M10" i="3"/>
  <c r="M11" i="3"/>
  <c r="M12" i="3"/>
  <c r="M13" i="3"/>
  <c r="M14" i="3"/>
  <c r="N3" i="3"/>
  <c r="I4" i="9"/>
  <c r="I5" i="9"/>
  <c r="I6" i="9"/>
  <c r="I7" i="9"/>
  <c r="I8" i="9"/>
  <c r="I10" i="9"/>
  <c r="I11" i="9"/>
  <c r="E4" i="8"/>
  <c r="E5" i="8"/>
  <c r="E6" i="8"/>
  <c r="E7" i="8"/>
  <c r="E8" i="8"/>
  <c r="E9" i="8"/>
  <c r="E10" i="8"/>
  <c r="E11" i="8"/>
  <c r="E12" i="8"/>
  <c r="E13" i="8"/>
  <c r="E14" i="8"/>
  <c r="E3" i="8"/>
  <c r="K3" i="9"/>
  <c r="K5" i="9"/>
  <c r="K6" i="9"/>
  <c r="K7" i="9"/>
  <c r="K8" i="9"/>
  <c r="K9" i="9"/>
  <c r="K10" i="9"/>
  <c r="K11" i="9"/>
  <c r="K2" i="9"/>
  <c r="H2" i="9"/>
  <c r="H3" i="9"/>
  <c r="H5" i="9"/>
  <c r="H6" i="9"/>
  <c r="H7" i="9"/>
  <c r="H8" i="9"/>
  <c r="H9" i="9"/>
  <c r="H10" i="9"/>
  <c r="H11" i="9"/>
  <c r="F5" i="9"/>
  <c r="F4" i="9"/>
  <c r="K4" i="9" s="1"/>
  <c r="F3" i="9"/>
  <c r="F6" i="9"/>
  <c r="F7" i="9"/>
  <c r="F8" i="9"/>
  <c r="F9" i="9"/>
  <c r="F10" i="9"/>
  <c r="F11" i="9"/>
  <c r="F2" i="9"/>
  <c r="E2" i="9"/>
  <c r="E3" i="9"/>
  <c r="E4" i="9"/>
  <c r="E5" i="9"/>
  <c r="E6" i="9"/>
  <c r="E7" i="9"/>
  <c r="E8" i="9"/>
  <c r="E9" i="9"/>
  <c r="E10" i="9"/>
  <c r="E11" i="9"/>
  <c r="D3" i="9"/>
  <c r="D4" i="9"/>
  <c r="D5" i="9"/>
  <c r="D6" i="9"/>
  <c r="D7" i="9"/>
  <c r="D8" i="9"/>
  <c r="D9" i="9"/>
  <c r="D10" i="9"/>
  <c r="D11" i="9"/>
  <c r="D2" i="9"/>
  <c r="C3" i="9"/>
  <c r="C4" i="9"/>
  <c r="C5" i="9"/>
  <c r="C6" i="9"/>
  <c r="C7" i="9"/>
  <c r="C8" i="9"/>
  <c r="C9" i="9"/>
  <c r="C10" i="9"/>
  <c r="C11" i="9"/>
  <c r="C2" i="9"/>
  <c r="L14" i="3"/>
  <c r="L3" i="3"/>
  <c r="L5" i="3"/>
  <c r="L6" i="3"/>
  <c r="L7" i="3"/>
  <c r="L8" i="3"/>
  <c r="L9" i="3"/>
  <c r="L10" i="3"/>
  <c r="L11" i="3"/>
  <c r="L12" i="3"/>
  <c r="L13" i="3"/>
  <c r="L4" i="3"/>
  <c r="D4" i="8"/>
  <c r="D5" i="8"/>
  <c r="D6" i="8"/>
  <c r="D7" i="8"/>
  <c r="D8" i="8"/>
  <c r="D9" i="8"/>
  <c r="D10" i="8"/>
  <c r="D11" i="8"/>
  <c r="D12" i="8"/>
  <c r="D13" i="8"/>
  <c r="D14" i="8"/>
  <c r="D3" i="8"/>
  <c r="C4" i="8"/>
  <c r="C5" i="8"/>
  <c r="C6" i="8"/>
  <c r="C7" i="8"/>
  <c r="C8" i="8"/>
  <c r="C9" i="8"/>
  <c r="C10" i="8"/>
  <c r="C11" i="8"/>
  <c r="C12" i="8"/>
  <c r="C13" i="8"/>
  <c r="C14" i="8"/>
  <c r="C3" i="8"/>
  <c r="E4" i="6"/>
  <c r="E5" i="6"/>
  <c r="E6" i="6"/>
  <c r="E7" i="6"/>
  <c r="E8" i="6"/>
  <c r="E9" i="6"/>
  <c r="E10" i="6"/>
  <c r="E11" i="6"/>
  <c r="E12" i="6"/>
  <c r="E13" i="6"/>
  <c r="E14" i="6"/>
  <c r="C5" i="6"/>
  <c r="C6" i="6"/>
  <c r="C7" i="6"/>
  <c r="C8" i="6"/>
  <c r="C9" i="6"/>
  <c r="C10" i="6"/>
  <c r="C11" i="6"/>
  <c r="C12" i="6"/>
  <c r="C13" i="6"/>
  <c r="C14" i="6"/>
  <c r="C4" i="6"/>
  <c r="I4" i="6"/>
  <c r="I5" i="6"/>
  <c r="I6" i="6"/>
  <c r="I7" i="6"/>
  <c r="I8" i="6"/>
  <c r="I9" i="6"/>
  <c r="I10" i="6"/>
  <c r="I11" i="6"/>
  <c r="I12" i="6"/>
  <c r="I13" i="6"/>
  <c r="I14" i="6"/>
  <c r="I3" i="6"/>
  <c r="G4" i="6"/>
  <c r="G5" i="6"/>
  <c r="G6" i="6"/>
  <c r="G7" i="6"/>
  <c r="G8" i="6"/>
  <c r="G9" i="6"/>
  <c r="G10" i="6"/>
  <c r="G11" i="6"/>
  <c r="G12" i="6"/>
  <c r="G13" i="6"/>
  <c r="G14" i="6"/>
  <c r="G3" i="6"/>
  <c r="H3" i="6"/>
  <c r="H4" i="6"/>
  <c r="H5" i="6"/>
  <c r="H6" i="6"/>
  <c r="H7" i="6"/>
  <c r="H8" i="6"/>
  <c r="H9" i="6"/>
  <c r="H10" i="6"/>
  <c r="H11" i="6"/>
  <c r="H12" i="6"/>
  <c r="H13" i="6"/>
  <c r="H14" i="6"/>
  <c r="F4" i="6"/>
  <c r="F5" i="6"/>
  <c r="F6" i="6"/>
  <c r="F7" i="6"/>
  <c r="F8" i="6"/>
  <c r="F9" i="6"/>
  <c r="F10" i="6"/>
  <c r="F11" i="6"/>
  <c r="F12" i="6"/>
  <c r="F13" i="6"/>
  <c r="F14" i="6"/>
  <c r="F3" i="6"/>
  <c r="K14" i="3"/>
  <c r="K13" i="3"/>
  <c r="K12" i="3"/>
  <c r="K11" i="3"/>
  <c r="K10" i="3"/>
  <c r="K9" i="3"/>
  <c r="K8" i="3"/>
  <c r="K7" i="3"/>
  <c r="K6" i="3"/>
  <c r="K5" i="3"/>
  <c r="K4" i="3"/>
  <c r="J4" i="3"/>
  <c r="J5" i="3"/>
  <c r="J6" i="3"/>
  <c r="J7" i="3"/>
  <c r="J8" i="3"/>
  <c r="J9" i="3"/>
  <c r="J10" i="3"/>
  <c r="J11" i="3"/>
  <c r="J12" i="3"/>
  <c r="J13" i="3"/>
  <c r="J14" i="3"/>
  <c r="C40" i="2"/>
  <c r="I4" i="1"/>
  <c r="I5" i="1"/>
  <c r="I6" i="1"/>
  <c r="I7" i="1"/>
  <c r="I8" i="1"/>
  <c r="I9" i="1"/>
  <c r="I10" i="1"/>
  <c r="I11" i="1"/>
  <c r="C41" i="2"/>
  <c r="C42" i="2"/>
  <c r="J40" i="2"/>
  <c r="J39" i="2"/>
  <c r="D4" i="3"/>
  <c r="D5" i="3"/>
  <c r="D6" i="3"/>
  <c r="D7" i="3"/>
  <c r="D8" i="3"/>
  <c r="D9" i="3"/>
  <c r="D10" i="3"/>
  <c r="D11" i="3"/>
  <c r="D12" i="3"/>
  <c r="D13" i="3"/>
  <c r="D14" i="3"/>
  <c r="H31" i="2"/>
  <c r="H32" i="2"/>
  <c r="H33" i="2"/>
  <c r="H34" i="2"/>
  <c r="H35" i="2"/>
  <c r="H36" i="2"/>
  <c r="H30" i="2"/>
  <c r="K3" i="2"/>
  <c r="K4" i="2"/>
  <c r="K5" i="2"/>
  <c r="K6" i="2"/>
  <c r="K7" i="2"/>
  <c r="K8" i="2"/>
  <c r="K9" i="2"/>
  <c r="K10" i="2"/>
  <c r="K11" i="2"/>
  <c r="K12" i="2"/>
  <c r="K13" i="2"/>
  <c r="K14" i="2"/>
  <c r="K15" i="2"/>
  <c r="K16" i="2"/>
  <c r="K17" i="2"/>
  <c r="K18" i="2"/>
  <c r="K19" i="2"/>
  <c r="K20" i="2"/>
  <c r="K21" i="2"/>
  <c r="K22" i="2"/>
  <c r="K23" i="2"/>
  <c r="K24" i="2"/>
  <c r="K25" i="2"/>
  <c r="K26" i="2"/>
  <c r="C39" i="2"/>
  <c r="K2" i="2" l="1"/>
  <c r="N16" i="3"/>
  <c r="N15" i="3"/>
  <c r="N17" i="3"/>
  <c r="N18" i="3"/>
  <c r="J9" i="6"/>
  <c r="K9" i="6" s="1"/>
  <c r="L9" i="6" s="1"/>
  <c r="J12" i="6"/>
  <c r="K12" i="6" s="1"/>
  <c r="L12" i="6" s="1"/>
  <c r="K4" i="6"/>
  <c r="L4" i="6" s="1"/>
  <c r="J10" i="6"/>
  <c r="K10" i="6" s="1"/>
  <c r="L10" i="6" s="1"/>
  <c r="J11" i="6"/>
  <c r="K11" i="6" s="1"/>
  <c r="L11" i="6" s="1"/>
  <c r="H4" i="9"/>
  <c r="H14" i="9" s="1"/>
  <c r="J8" i="6"/>
  <c r="K8" i="6" s="1"/>
  <c r="L8" i="6" s="1"/>
  <c r="J14" i="6"/>
  <c r="K14" i="6" s="1"/>
  <c r="L14" i="6" s="1"/>
  <c r="J6" i="6"/>
  <c r="K6" i="6" s="1"/>
  <c r="L6" i="6" s="1"/>
  <c r="J13" i="6"/>
  <c r="K13" i="6" s="1"/>
  <c r="L13" i="6" s="1"/>
  <c r="J5" i="6"/>
  <c r="K5" i="6" s="1"/>
  <c r="L5" i="6" s="1"/>
  <c r="J7" i="6"/>
  <c r="K7" i="6" s="1"/>
  <c r="L7" i="6" s="1"/>
  <c r="E39" i="2"/>
  <c r="H4" i="1"/>
  <c r="H5" i="1"/>
  <c r="H6" i="1"/>
  <c r="H7" i="1"/>
  <c r="H8" i="1"/>
  <c r="H9" i="1"/>
  <c r="H10" i="1"/>
  <c r="I3" i="2"/>
  <c r="I4" i="2"/>
  <c r="I5" i="2"/>
  <c r="I6" i="2"/>
  <c r="I7" i="2"/>
  <c r="I8" i="2"/>
  <c r="I9" i="2"/>
  <c r="I10" i="2"/>
  <c r="I11" i="2"/>
  <c r="I12" i="2"/>
  <c r="I13" i="2"/>
  <c r="I14" i="2"/>
  <c r="I15" i="2"/>
  <c r="I16" i="2"/>
  <c r="I17" i="2"/>
  <c r="I18" i="2"/>
  <c r="I19" i="2"/>
  <c r="I20" i="2"/>
  <c r="I21" i="2"/>
  <c r="I22" i="2"/>
  <c r="I23" i="2"/>
  <c r="I24" i="2"/>
  <c r="I25" i="2"/>
  <c r="I26" i="2"/>
  <c r="J15" i="6" l="1"/>
  <c r="H13" i="9"/>
  <c r="H12" i="9"/>
  <c r="E3" i="1"/>
  <c r="E4" i="1"/>
  <c r="E5" i="1"/>
  <c r="E6" i="1"/>
  <c r="E7" i="1"/>
  <c r="E8" i="1"/>
  <c r="E9" i="1"/>
  <c r="E10" i="1"/>
  <c r="E11" i="1"/>
</calcChain>
</file>

<file path=xl/sharedStrings.xml><?xml version="1.0" encoding="utf-8"?>
<sst xmlns="http://schemas.openxmlformats.org/spreadsheetml/2006/main" count="974" uniqueCount="720">
  <si>
    <t>Tanggal Meminjam</t>
  </si>
  <si>
    <t>Kode Buku</t>
  </si>
  <si>
    <t>ENG.N15</t>
  </si>
  <si>
    <t>ENG.I03</t>
  </si>
  <si>
    <t>IND.I05</t>
  </si>
  <si>
    <t>ENG,N06</t>
  </si>
  <si>
    <t>IND.I03</t>
  </si>
  <si>
    <t>ENG.I11</t>
  </si>
  <si>
    <t>IND.N09</t>
  </si>
  <si>
    <t>ENG.N18</t>
  </si>
  <si>
    <t>ENG.I01</t>
  </si>
  <si>
    <t>Terbitan</t>
  </si>
  <si>
    <t>Jenis Buku</t>
  </si>
  <si>
    <t>Nomor Buku</t>
  </si>
  <si>
    <t>Waktu Pengembalian</t>
  </si>
  <si>
    <t>Jumlah yang dipinjam</t>
  </si>
  <si>
    <t>Lama Peminjaman (Hari)</t>
  </si>
  <si>
    <t>Denda</t>
  </si>
  <si>
    <t>Kode</t>
  </si>
  <si>
    <t>IND</t>
  </si>
  <si>
    <t>ENG</t>
  </si>
  <si>
    <t>Negara</t>
  </si>
  <si>
    <t>Indonesia</t>
  </si>
  <si>
    <t>Inggris</t>
  </si>
  <si>
    <t>I</t>
  </si>
  <si>
    <t>Ilmiah</t>
  </si>
  <si>
    <t>Novel</t>
  </si>
  <si>
    <t>Jenis bukku</t>
  </si>
  <si>
    <t>N</t>
  </si>
  <si>
    <t>IND.N10</t>
  </si>
  <si>
    <r>
      <rPr>
        <sz val="11"/>
        <rFont val="Carlito"/>
        <family val="2"/>
      </rPr>
      <t>Mata Kuliah</t>
    </r>
  </si>
  <si>
    <r>
      <rPr>
        <sz val="11"/>
        <rFont val="Carlito"/>
        <family val="2"/>
      </rPr>
      <t>SKS</t>
    </r>
  </si>
  <si>
    <r>
      <rPr>
        <sz val="11"/>
        <rFont val="Carlito"/>
        <family val="2"/>
      </rPr>
      <t>Semester</t>
    </r>
  </si>
  <si>
    <r>
      <rPr>
        <sz val="11"/>
        <rFont val="Carlito"/>
        <family val="2"/>
      </rPr>
      <t>Tahap</t>
    </r>
  </si>
  <si>
    <r>
      <rPr>
        <sz val="11"/>
        <rFont val="Carlito"/>
        <family val="2"/>
      </rPr>
      <t>Nilai</t>
    </r>
  </si>
  <si>
    <r>
      <rPr>
        <sz val="11"/>
        <rFont val="Carlito"/>
        <family val="2"/>
      </rPr>
      <t>Kode</t>
    </r>
  </si>
  <si>
    <r>
      <rPr>
        <sz val="11"/>
        <rFont val="Carlito"/>
        <family val="2"/>
      </rPr>
      <t>IP Kode</t>
    </r>
  </si>
  <si>
    <r>
      <rPr>
        <sz val="11"/>
        <rFont val="Carlito"/>
        <family val="2"/>
      </rPr>
      <t>SKS * IP Kode</t>
    </r>
  </si>
  <si>
    <r>
      <rPr>
        <sz val="11"/>
        <rFont val="Carlito"/>
        <family val="2"/>
      </rPr>
      <t>Matematika 1</t>
    </r>
  </si>
  <si>
    <r>
      <rPr>
        <sz val="11"/>
        <rFont val="Carlito"/>
        <family val="2"/>
      </rPr>
      <t>Persiapan</t>
    </r>
  </si>
  <si>
    <r>
      <rPr>
        <sz val="11"/>
        <rFont val="Carlito"/>
        <family val="2"/>
      </rPr>
      <t>Pengantar Metode Statistika</t>
    </r>
  </si>
  <si>
    <r>
      <rPr>
        <sz val="11"/>
        <rFont val="Carlito"/>
        <family val="2"/>
      </rPr>
      <t>Pengantar Teori Ekonomi</t>
    </r>
  </si>
  <si>
    <r>
      <rPr>
        <sz val="11"/>
        <rFont val="Carlito"/>
        <family val="2"/>
      </rPr>
      <t>Fisika 1</t>
    </r>
  </si>
  <si>
    <r>
      <rPr>
        <sz val="11"/>
        <rFont val="Carlito"/>
        <family val="2"/>
      </rPr>
      <t>Kimia 1</t>
    </r>
  </si>
  <si>
    <r>
      <rPr>
        <sz val="11"/>
        <rFont val="Carlito"/>
        <family val="2"/>
      </rPr>
      <t>Agama Islam</t>
    </r>
  </si>
  <si>
    <r>
      <rPr>
        <sz val="11"/>
        <rFont val="Carlito"/>
        <family val="2"/>
      </rPr>
      <t>Pancasila</t>
    </r>
  </si>
  <si>
    <r>
      <rPr>
        <sz val="11"/>
        <rFont val="Carlito"/>
        <family val="2"/>
      </rPr>
      <t>Bahasa Indonesia</t>
    </r>
  </si>
  <si>
    <r>
      <rPr>
        <sz val="11"/>
        <rFont val="Carlito"/>
        <family val="2"/>
      </rPr>
      <t>Kewarganegaraan</t>
    </r>
  </si>
  <si>
    <r>
      <rPr>
        <sz val="11"/>
        <rFont val="Carlito"/>
        <family val="2"/>
      </rPr>
      <t>Bahasa Inggris</t>
    </r>
  </si>
  <si>
    <r>
      <rPr>
        <sz val="11"/>
        <rFont val="Carlito"/>
        <family val="2"/>
      </rPr>
      <t>Matematika 2</t>
    </r>
  </si>
  <si>
    <r>
      <rPr>
        <sz val="11"/>
        <rFont val="Carlito"/>
        <family val="2"/>
      </rPr>
      <t>Teknik Sampling dan Survei</t>
    </r>
  </si>
  <si>
    <r>
      <rPr>
        <sz val="11"/>
        <rFont val="Carlito"/>
        <family val="2"/>
      </rPr>
      <t>Pemrograman Komputer</t>
    </r>
  </si>
  <si>
    <r>
      <rPr>
        <sz val="11"/>
        <rFont val="Carlito"/>
        <family val="2"/>
      </rPr>
      <t>Fisika 2</t>
    </r>
  </si>
  <si>
    <r>
      <rPr>
        <sz val="11"/>
        <rFont val="Carlito"/>
        <family val="2"/>
      </rPr>
      <t>Analisis Regresi</t>
    </r>
  </si>
  <si>
    <r>
      <rPr>
        <sz val="11"/>
        <rFont val="Carlito"/>
        <family val="2"/>
      </rPr>
      <t>Sarjana</t>
    </r>
  </si>
  <si>
    <r>
      <rPr>
        <sz val="11"/>
        <rFont val="Carlito"/>
        <family val="2"/>
      </rPr>
      <t>Matriks</t>
    </r>
  </si>
  <si>
    <r>
      <rPr>
        <sz val="11"/>
        <rFont val="Carlito"/>
        <family val="2"/>
      </rPr>
      <t>Matematika 3</t>
    </r>
  </si>
  <si>
    <r>
      <rPr>
        <sz val="11"/>
        <rFont val="Carlito"/>
        <family val="2"/>
      </rPr>
      <t>Analisis Numerik</t>
    </r>
  </si>
  <si>
    <r>
      <rPr>
        <sz val="11"/>
        <rFont val="Carlito"/>
        <family val="2"/>
      </rPr>
      <t>Teori Peluang</t>
    </r>
  </si>
  <si>
    <r>
      <rPr>
        <sz val="11"/>
        <rFont val="Carlito"/>
        <family val="2"/>
      </rPr>
      <t>Desain Eksperimen</t>
    </r>
  </si>
  <si>
    <r>
      <rPr>
        <sz val="11"/>
        <rFont val="Carlito"/>
        <family val="2"/>
      </rPr>
      <t>Matematika 4</t>
    </r>
  </si>
  <si>
    <r>
      <rPr>
        <sz val="11"/>
        <rFont val="Carlito"/>
        <family val="2"/>
      </rPr>
      <t>Statistika Matematika 1</t>
    </r>
  </si>
  <si>
    <r>
      <rPr>
        <sz val="11"/>
        <rFont val="Carlito"/>
        <family val="2"/>
      </rPr>
      <t>Manajemen Operasi</t>
    </r>
  </si>
  <si>
    <r>
      <rPr>
        <sz val="11"/>
        <rFont val="Carlito"/>
        <family val="2"/>
      </rPr>
      <t>Analisis Eksplorasi Data</t>
    </r>
  </si>
  <si>
    <r>
      <rPr>
        <sz val="11"/>
        <rFont val="Carlito"/>
        <family val="2"/>
      </rPr>
      <t>Komputasi Statistika</t>
    </r>
  </si>
  <si>
    <r>
      <rPr>
        <sz val="11"/>
        <rFont val="Carlito"/>
        <family val="2"/>
      </rPr>
      <t>A</t>
    </r>
  </si>
  <si>
    <r>
      <rPr>
        <sz val="11"/>
        <rFont val="Carlito"/>
        <family val="2"/>
      </rPr>
      <t>76-85</t>
    </r>
  </si>
  <si>
    <r>
      <rPr>
        <sz val="11"/>
        <rFont val="Carlito"/>
        <family val="2"/>
      </rPr>
      <t>AB</t>
    </r>
  </si>
  <si>
    <r>
      <rPr>
        <sz val="11"/>
        <rFont val="Carlito"/>
        <family val="2"/>
      </rPr>
      <t>66-75</t>
    </r>
  </si>
  <si>
    <r>
      <rPr>
        <sz val="11"/>
        <rFont val="Carlito"/>
        <family val="2"/>
      </rPr>
      <t>B</t>
    </r>
  </si>
  <si>
    <r>
      <rPr>
        <sz val="11"/>
        <rFont val="Carlito"/>
        <family val="2"/>
      </rPr>
      <t>61-65</t>
    </r>
  </si>
  <si>
    <r>
      <rPr>
        <sz val="11"/>
        <rFont val="Carlito"/>
        <family val="2"/>
      </rPr>
      <t>BC</t>
    </r>
  </si>
  <si>
    <r>
      <rPr>
        <sz val="11"/>
        <rFont val="Carlito"/>
        <family val="2"/>
      </rPr>
      <t>56-60</t>
    </r>
  </si>
  <si>
    <r>
      <rPr>
        <sz val="11"/>
        <rFont val="Carlito"/>
        <family val="2"/>
      </rPr>
      <t>C</t>
    </r>
  </si>
  <si>
    <r>
      <rPr>
        <sz val="11"/>
        <rFont val="Carlito"/>
        <family val="2"/>
      </rPr>
      <t>41-55</t>
    </r>
  </si>
  <si>
    <r>
      <rPr>
        <sz val="11"/>
        <rFont val="Carlito"/>
        <family val="2"/>
      </rPr>
      <t>D</t>
    </r>
  </si>
  <si>
    <r>
      <rPr>
        <sz val="11"/>
        <rFont val="Carlito"/>
        <family val="2"/>
      </rPr>
      <t>0-40</t>
    </r>
  </si>
  <si>
    <r>
      <rPr>
        <sz val="11"/>
        <rFont val="Carlito"/>
        <family val="2"/>
      </rPr>
      <t>E</t>
    </r>
  </si>
  <si>
    <r>
      <rPr>
        <sz val="11"/>
        <rFont val="Carlito"/>
        <family val="2"/>
      </rPr>
      <t>Banyaknya</t>
    </r>
  </si>
  <si>
    <r>
      <rPr>
        <sz val="11"/>
        <rFont val="Carlito"/>
        <family val="2"/>
      </rPr>
      <t>IPS</t>
    </r>
  </si>
  <si>
    <r>
      <rPr>
        <sz val="11"/>
        <rFont val="Carlito"/>
        <family val="2"/>
      </rPr>
      <t>IPK</t>
    </r>
  </si>
  <si>
    <r>
      <rPr>
        <sz val="11"/>
        <rFont val="Carlito"/>
        <family val="2"/>
      </rPr>
      <t>Rata-Rata Nilai</t>
    </r>
  </si>
  <si>
    <r>
      <rPr>
        <sz val="11"/>
        <rFont val="Carlito"/>
        <family val="2"/>
      </rPr>
      <t>No Kartu</t>
    </r>
  </si>
  <si>
    <r>
      <rPr>
        <sz val="11"/>
        <rFont val="Carlito"/>
        <family val="2"/>
      </rPr>
      <t>Nama</t>
    </r>
  </si>
  <si>
    <r>
      <rPr>
        <sz val="11"/>
        <rFont val="Carlito"/>
        <family val="2"/>
      </rPr>
      <t>Blok Parkir</t>
    </r>
  </si>
  <si>
    <r>
      <rPr>
        <sz val="11"/>
        <rFont val="Carlito"/>
        <family val="2"/>
      </rPr>
      <t>Jam Datang</t>
    </r>
  </si>
  <si>
    <r>
      <rPr>
        <sz val="11"/>
        <rFont val="Carlito"/>
        <family val="2"/>
      </rPr>
      <t>Jam Keluar</t>
    </r>
  </si>
  <si>
    <r>
      <rPr>
        <sz val="11"/>
        <rFont val="Carlito"/>
        <family val="2"/>
      </rPr>
      <t xml:space="preserve">Lama
</t>
    </r>
    <r>
      <rPr>
        <sz val="11"/>
        <rFont val="Carlito"/>
        <family val="2"/>
      </rPr>
      <t>Parkir</t>
    </r>
  </si>
  <si>
    <r>
      <rPr>
        <sz val="11"/>
        <rFont val="Carlito"/>
        <family val="2"/>
      </rPr>
      <t>Jam Lebih</t>
    </r>
  </si>
  <si>
    <r>
      <rPr>
        <sz val="11"/>
        <rFont val="Carlito"/>
        <family val="2"/>
      </rPr>
      <t xml:space="preserve">Loket
</t>
    </r>
    <r>
      <rPr>
        <sz val="11"/>
        <rFont val="Carlito"/>
        <family val="2"/>
      </rPr>
      <t>Masuk</t>
    </r>
  </si>
  <si>
    <r>
      <rPr>
        <sz val="11"/>
        <rFont val="Carlito"/>
        <family val="2"/>
      </rPr>
      <t xml:space="preserve">Loket
</t>
    </r>
    <r>
      <rPr>
        <sz val="11"/>
        <rFont val="Carlito"/>
        <family val="2"/>
      </rPr>
      <t>Keluar</t>
    </r>
  </si>
  <si>
    <r>
      <rPr>
        <sz val="11"/>
        <rFont val="Carlito"/>
        <family val="2"/>
      </rPr>
      <t>Total Biaya</t>
    </r>
  </si>
  <si>
    <r>
      <rPr>
        <sz val="11"/>
        <rFont val="Carlito"/>
        <family val="2"/>
      </rPr>
      <t>Hadiah</t>
    </r>
  </si>
  <si>
    <r>
      <rPr>
        <sz val="11"/>
        <rFont val="Carlito"/>
        <family val="2"/>
      </rPr>
      <t>Jam</t>
    </r>
  </si>
  <si>
    <r>
      <rPr>
        <sz val="11"/>
        <rFont val="Carlito"/>
        <family val="2"/>
      </rPr>
      <t>Menit</t>
    </r>
  </si>
  <si>
    <r>
      <rPr>
        <sz val="11"/>
        <rFont val="Carlito"/>
        <family val="2"/>
      </rPr>
      <t>DM002</t>
    </r>
  </si>
  <si>
    <r>
      <rPr>
        <sz val="11"/>
        <rFont val="Carlito"/>
        <family val="2"/>
      </rPr>
      <t>Baskoro</t>
    </r>
  </si>
  <si>
    <r>
      <rPr>
        <sz val="11"/>
        <rFont val="Carlito"/>
        <family val="2"/>
      </rPr>
      <t>DM001</t>
    </r>
  </si>
  <si>
    <r>
      <rPr>
        <sz val="11"/>
        <rFont val="Carlito"/>
        <family val="2"/>
      </rPr>
      <t>Eriang</t>
    </r>
  </si>
  <si>
    <r>
      <rPr>
        <sz val="11"/>
        <rFont val="Carlito"/>
        <family val="2"/>
      </rPr>
      <t>LG003</t>
    </r>
  </si>
  <si>
    <r>
      <rPr>
        <sz val="11"/>
        <rFont val="Carlito"/>
        <family val="2"/>
      </rPr>
      <t>Anggoro</t>
    </r>
  </si>
  <si>
    <r>
      <rPr>
        <sz val="11"/>
        <rFont val="Carlito"/>
        <family val="2"/>
      </rPr>
      <t>TR001</t>
    </r>
  </si>
  <si>
    <r>
      <rPr>
        <sz val="11"/>
        <rFont val="Carlito"/>
        <family val="2"/>
      </rPr>
      <t>Doni</t>
    </r>
  </si>
  <si>
    <r>
      <rPr>
        <sz val="11"/>
        <rFont val="Carlito"/>
        <family val="2"/>
      </rPr>
      <t>TR004</t>
    </r>
  </si>
  <si>
    <r>
      <rPr>
        <sz val="11"/>
        <rFont val="Carlito"/>
        <family val="2"/>
      </rPr>
      <t>Charles</t>
    </r>
  </si>
  <si>
    <r>
      <rPr>
        <sz val="11"/>
        <rFont val="Carlito"/>
        <family val="2"/>
      </rPr>
      <t>DM004</t>
    </r>
  </si>
  <si>
    <r>
      <rPr>
        <sz val="11"/>
        <rFont val="Carlito"/>
        <family val="2"/>
      </rPr>
      <t>Farhatin</t>
    </r>
  </si>
  <si>
    <r>
      <rPr>
        <sz val="11"/>
        <rFont val="Carlito"/>
        <family val="2"/>
      </rPr>
      <t>LG002</t>
    </r>
  </si>
  <si>
    <r>
      <rPr>
        <sz val="11"/>
        <rFont val="Carlito"/>
        <family val="2"/>
      </rPr>
      <t>Indiana</t>
    </r>
  </si>
  <si>
    <r>
      <rPr>
        <sz val="11"/>
        <rFont val="Carlito"/>
        <family val="2"/>
      </rPr>
      <t>LG001</t>
    </r>
  </si>
  <si>
    <r>
      <rPr>
        <sz val="11"/>
        <rFont val="Carlito"/>
        <family val="2"/>
      </rPr>
      <t>Karenina</t>
    </r>
  </si>
  <si>
    <r>
      <rPr>
        <sz val="11"/>
        <rFont val="Carlito"/>
        <family val="2"/>
      </rPr>
      <t>LG004</t>
    </r>
  </si>
  <si>
    <r>
      <rPr>
        <sz val="11"/>
        <rFont val="Carlito"/>
        <family val="2"/>
      </rPr>
      <t>Louisa</t>
    </r>
  </si>
  <si>
    <r>
      <rPr>
        <sz val="11"/>
        <rFont val="Carlito"/>
        <family val="2"/>
      </rPr>
      <t>DM003</t>
    </r>
  </si>
  <si>
    <r>
      <rPr>
        <sz val="11"/>
        <rFont val="Carlito"/>
        <family val="2"/>
      </rPr>
      <t>Gordon</t>
    </r>
  </si>
  <si>
    <r>
      <rPr>
        <sz val="11"/>
        <rFont val="Carlito"/>
        <family val="2"/>
      </rPr>
      <t>TR002</t>
    </r>
  </si>
  <si>
    <r>
      <rPr>
        <sz val="11"/>
        <rFont val="Carlito"/>
        <family val="2"/>
      </rPr>
      <t>Huriyani</t>
    </r>
  </si>
  <si>
    <r>
      <rPr>
        <sz val="11"/>
        <rFont val="Carlito"/>
        <family val="2"/>
      </rPr>
      <t>TR003</t>
    </r>
  </si>
  <si>
    <r>
      <rPr>
        <sz val="11"/>
        <rFont val="Carlito"/>
        <family val="2"/>
      </rPr>
      <t>Jatmoko</t>
    </r>
  </si>
  <si>
    <r>
      <rPr>
        <sz val="11"/>
        <rFont val="Carlito"/>
        <family val="2"/>
      </rPr>
      <t>Average</t>
    </r>
  </si>
  <si>
    <r>
      <rPr>
        <sz val="11"/>
        <rFont val="Carlito"/>
        <family val="2"/>
      </rPr>
      <t>Max</t>
    </r>
  </si>
  <si>
    <r>
      <rPr>
        <sz val="11"/>
        <rFont val="Carlito"/>
        <family val="2"/>
      </rPr>
      <t>Min</t>
    </r>
  </si>
  <si>
    <r>
      <rPr>
        <sz val="11"/>
        <rFont val="Carlito"/>
        <family val="2"/>
      </rPr>
      <t>Sum</t>
    </r>
  </si>
  <si>
    <r>
      <rPr>
        <sz val="11"/>
        <rFont val="Carlito"/>
        <family val="2"/>
      </rPr>
      <t>DM</t>
    </r>
  </si>
  <si>
    <r>
      <rPr>
        <sz val="11"/>
        <rFont val="Carlito"/>
        <family val="2"/>
      </rPr>
      <t>LG</t>
    </r>
  </si>
  <si>
    <r>
      <rPr>
        <sz val="11"/>
        <rFont val="Carlito"/>
        <family val="2"/>
      </rPr>
      <t>TR</t>
    </r>
  </si>
  <si>
    <r>
      <rPr>
        <sz val="11"/>
        <rFont val="Carlito"/>
        <family val="2"/>
      </rPr>
      <t>Depan Mall</t>
    </r>
  </si>
  <si>
    <r>
      <rPr>
        <sz val="11"/>
        <rFont val="Carlito"/>
        <family val="2"/>
      </rPr>
      <t>Lower Ground</t>
    </r>
  </si>
  <si>
    <r>
      <rPr>
        <sz val="11"/>
        <rFont val="Carlito"/>
        <family val="2"/>
      </rPr>
      <t>Top Roof</t>
    </r>
  </si>
  <si>
    <r>
      <rPr>
        <sz val="11"/>
        <rFont val="Carlito"/>
        <family val="2"/>
      </rPr>
      <t>Blok</t>
    </r>
  </si>
  <si>
    <r>
      <rPr>
        <sz val="11"/>
        <rFont val="Carlito"/>
        <family val="2"/>
      </rPr>
      <t>2 Jam Pertama</t>
    </r>
  </si>
  <si>
    <r>
      <rPr>
        <sz val="11"/>
        <rFont val="Carlito"/>
        <family val="2"/>
      </rPr>
      <t>1-3 Jam Berikutnya</t>
    </r>
  </si>
  <si>
    <r>
      <rPr>
        <sz val="11"/>
        <rFont val="Carlito"/>
        <family val="2"/>
      </rPr>
      <t>&gt;3 Jam Berikutnya</t>
    </r>
  </si>
  <si>
    <r>
      <rPr>
        <sz val="11"/>
        <rFont val="Carlito"/>
        <family val="2"/>
      </rPr>
      <t xml:space="preserve">Lengkapi tabel di atas dengan ketentuan sebagai berikut
</t>
    </r>
    <r>
      <rPr>
        <sz val="11"/>
        <rFont val="Carlito"/>
        <family val="2"/>
      </rPr>
      <t>1.    Blok Parkir diisikan berdasarkan 2 karakter paling kiri dari No. Kartu dengan ketentuan</t>
    </r>
  </si>
  <si>
    <r>
      <rPr>
        <sz val="11"/>
        <rFont val="Carlito"/>
        <family val="2"/>
      </rPr>
      <t xml:space="preserve">2.    Lama parkir dihitung dari jam keluar dikurangi jam datang
</t>
    </r>
    <r>
      <rPr>
        <sz val="11"/>
        <rFont val="Carlito"/>
        <family val="2"/>
      </rPr>
      <t xml:space="preserve">3.    Jam lebih diisikan lama parkir dikurangi jam standar untuk parkir (2 jam)
</t>
    </r>
    <r>
      <rPr>
        <sz val="11"/>
        <rFont val="Carlito"/>
        <family val="2"/>
      </rPr>
      <t>4.    Loket Masuk adalah biaya masuk parkiran awal selama 2 jam diisi dengan ketentuan :</t>
    </r>
  </si>
  <si>
    <r>
      <rPr>
        <sz val="11"/>
        <rFont val="Carlito"/>
        <family val="2"/>
      </rPr>
      <t xml:space="preserve">5.    Loket Keluar diisikan menurut jam lebih parkir dengan ketentuan tabel di nomor 4
</t>
    </r>
    <r>
      <rPr>
        <sz val="11"/>
        <rFont val="Carlito"/>
        <family val="2"/>
      </rPr>
      <t xml:space="preserve">6.    Total biaya adalah keseluruhan biaya parkir
</t>
    </r>
    <r>
      <rPr>
        <sz val="11"/>
        <rFont val="Carlito"/>
        <family val="2"/>
      </rPr>
      <t>7.    Pelanggan parkir akan mendapatkan hadiah bila mobil masuk melalui Depan mall dan lama parkir lebih dari 3 jam</t>
    </r>
  </si>
  <si>
    <t>86-100</t>
  </si>
  <si>
    <t>ME</t>
  </si>
  <si>
    <t>MANDIRI-EKSEKUTIF</t>
  </si>
  <si>
    <t>MP</t>
  </si>
  <si>
    <t>MANDIRI-PROFESIONAL</t>
  </si>
  <si>
    <t>BP</t>
  </si>
  <si>
    <t>BPJS</t>
  </si>
  <si>
    <t>JA</t>
  </si>
  <si>
    <t>KA</t>
  </si>
  <si>
    <t>KU</t>
  </si>
  <si>
    <t>AN</t>
  </si>
  <si>
    <t>JANTUNG</t>
  </si>
  <si>
    <t>KANDUNGAN</t>
  </si>
  <si>
    <t>KULIT</t>
  </si>
  <si>
    <t>ANAK</t>
  </si>
  <si>
    <t>CODE-3</t>
  </si>
  <si>
    <t>DURATION</t>
  </si>
  <si>
    <t>RULE</t>
  </si>
  <si>
    <t>MANDIRI/BPJS-KULIT</t>
  </si>
  <si>
    <t>BPJS-NON KULIT</t>
  </si>
  <si>
    <t>ID</t>
  </si>
  <si>
    <t>NAMA</t>
  </si>
  <si>
    <t>JENIS PASIEN</t>
  </si>
  <si>
    <t>KODE PERAWATAN</t>
  </si>
  <si>
    <t>JENIS PERAWATAN</t>
  </si>
  <si>
    <t>BIAYA</t>
  </si>
  <si>
    <t>BIAYA DIBAYAR</t>
  </si>
  <si>
    <t>TGL</t>
  </si>
  <si>
    <t>BLN</t>
  </si>
  <si>
    <t>M1903-0204E</t>
  </si>
  <si>
    <t>BAGUS P</t>
  </si>
  <si>
    <t>KU02</t>
  </si>
  <si>
    <t>B3003-0304P</t>
  </si>
  <si>
    <t>GURUH L</t>
  </si>
  <si>
    <t>JA01</t>
  </si>
  <si>
    <t>B0104-0404P</t>
  </si>
  <si>
    <t>ANINDIA</t>
  </si>
  <si>
    <t>KU01</t>
  </si>
  <si>
    <t>M1203-1603P</t>
  </si>
  <si>
    <t>LUKCY A</t>
  </si>
  <si>
    <t>M2803-0104P</t>
  </si>
  <si>
    <t>CINTYA F</t>
  </si>
  <si>
    <t>KA01</t>
  </si>
  <si>
    <t>M2003-3003E</t>
  </si>
  <si>
    <t>KARINA K</t>
  </si>
  <si>
    <t>JA02</t>
  </si>
  <si>
    <t>M1703-2403P</t>
  </si>
  <si>
    <t>HENDRA W</t>
  </si>
  <si>
    <t>B2303-0104P</t>
  </si>
  <si>
    <t>DANIA W</t>
  </si>
  <si>
    <t>AN01</t>
  </si>
  <si>
    <t>M2403-3003P</t>
  </si>
  <si>
    <t>FERDIAN</t>
  </si>
  <si>
    <t>B0703-1503P</t>
  </si>
  <si>
    <t>INDAH P</t>
  </si>
  <si>
    <t>KA02</t>
  </si>
  <si>
    <t>M2703-0104E</t>
  </si>
  <si>
    <t>ERIKA T</t>
  </si>
  <si>
    <t>AN02</t>
  </si>
  <si>
    <t>M1303-1603P</t>
  </si>
  <si>
    <t>MAUREEN</t>
  </si>
  <si>
    <t>MASUK</t>
  </si>
  <si>
    <t>KELUAR</t>
  </si>
  <si>
    <t>LAMA PERAWATAN(HARI)</t>
  </si>
  <si>
    <t>KODE-1</t>
  </si>
  <si>
    <t>NAMA POLIKLINIK</t>
  </si>
  <si>
    <t>KODE-2</t>
  </si>
  <si>
    <t>KETERANGAN</t>
  </si>
  <si>
    <t>TANPA OPERASI</t>
  </si>
  <si>
    <t>OPERASI</t>
  </si>
  <si>
    <t>GANJIL</t>
  </si>
  <si>
    <t>GENAP</t>
  </si>
  <si>
    <t>DIBULATKAN KEATAS</t>
  </si>
  <si>
    <t>TETAP</t>
  </si>
  <si>
    <t>KETENTUAN</t>
  </si>
  <si>
    <t>TIDAK ADA TAMBAHAN BIAYA</t>
  </si>
  <si>
    <t>TAMBAHAN BIAYA : 2500</t>
  </si>
  <si>
    <t>KODE-4</t>
  </si>
  <si>
    <t>LAMA PERAWATAN &lt;7</t>
  </si>
  <si>
    <t>LAMA PERAWATAN&gt;=7</t>
  </si>
  <si>
    <t>01</t>
  </si>
  <si>
    <t>02</t>
  </si>
  <si>
    <t>KODE PENGIRIMAN : AAA-JJJ-KDKMTKYY-TDTMTTYY</t>
  </si>
  <si>
    <t>AAA</t>
  </si>
  <si>
    <t>: Asal Pengiriman</t>
  </si>
  <si>
    <t>JJJ</t>
  </si>
  <si>
    <t>: Jasa Pengiriman</t>
  </si>
  <si>
    <t>KD</t>
  </si>
  <si>
    <t>: Tanggal Kirim,   KM : Bulan Kirim,  TKYY : Tahun Kirim</t>
  </si>
  <si>
    <t xml:space="preserve">TD </t>
  </si>
  <si>
    <t>: Tanggal Terima, TM : Bulan Terima, TTYY : Tahun Terima</t>
  </si>
  <si>
    <t xml:space="preserve">  </t>
  </si>
  <si>
    <t>Soal :</t>
  </si>
  <si>
    <r>
      <t>1.</t>
    </r>
    <r>
      <rPr>
        <sz val="7"/>
        <color theme="1"/>
        <rFont val="Times New Roman"/>
        <family val="1"/>
      </rPr>
      <t xml:space="preserve">     </t>
    </r>
    <r>
      <rPr>
        <sz val="12"/>
        <color theme="1"/>
        <rFont val="Times New Roman"/>
        <family val="1"/>
      </rPr>
      <t>Isikan Kolom Asal Pengiriman berdasarkan kode 1</t>
    </r>
  </si>
  <si>
    <r>
      <t>2.</t>
    </r>
    <r>
      <rPr>
        <sz val="7"/>
        <color theme="1"/>
        <rFont val="Times New Roman"/>
        <family val="1"/>
      </rPr>
      <t xml:space="preserve">     </t>
    </r>
    <r>
      <rPr>
        <sz val="12"/>
        <color theme="1"/>
        <rFont val="Times New Roman"/>
        <family val="1"/>
      </rPr>
      <t>Isikan Jenis Pengiriman berdasarkan kode 2</t>
    </r>
  </si>
  <si>
    <r>
      <t>3.</t>
    </r>
    <r>
      <rPr>
        <sz val="7"/>
        <color theme="1"/>
        <rFont val="Times New Roman"/>
        <family val="1"/>
      </rPr>
      <t xml:space="preserve">     </t>
    </r>
    <r>
      <rPr>
        <sz val="12"/>
        <color theme="1"/>
        <rFont val="Times New Roman"/>
        <family val="1"/>
      </rPr>
      <t>Isikan tanggal kirim dengan tanggal, bulan dan tahun sesuai kode pengiriman</t>
    </r>
  </si>
  <si>
    <r>
      <t>4.</t>
    </r>
    <r>
      <rPr>
        <sz val="7"/>
        <color theme="1"/>
        <rFont val="Times New Roman"/>
        <family val="1"/>
      </rPr>
      <t xml:space="preserve">     </t>
    </r>
    <r>
      <rPr>
        <sz val="12"/>
        <color theme="1"/>
        <rFont val="Times New Roman"/>
        <family val="1"/>
      </rPr>
      <t>Isikan tanggal diterima dengan tanggal, bulan, dan tahun sesuai kode pengiriman</t>
    </r>
  </si>
  <si>
    <r>
      <t>7.</t>
    </r>
    <r>
      <rPr>
        <sz val="7"/>
        <color theme="1"/>
        <rFont val="Times New Roman"/>
        <family val="1"/>
      </rPr>
      <t xml:space="preserve">     </t>
    </r>
    <r>
      <rPr>
        <sz val="12"/>
        <color theme="1"/>
        <rFont val="Times New Roman"/>
        <family val="1"/>
      </rPr>
      <t>Hitunglah nilai minimum, maksimum dan rata-rata ongkos kirim</t>
    </r>
  </si>
  <si>
    <r>
      <t>9.</t>
    </r>
    <r>
      <rPr>
        <sz val="7"/>
        <color theme="1"/>
        <rFont val="Times New Roman"/>
        <family val="1"/>
      </rPr>
      <t xml:space="preserve">     </t>
    </r>
    <r>
      <rPr>
        <sz val="12"/>
        <color theme="1"/>
        <rFont val="Times New Roman"/>
        <family val="1"/>
      </rPr>
      <t>Buatlah grafik yang menunjukkan total ongkir berdasarkan jenis pengiriman</t>
    </r>
  </si>
  <si>
    <t>PERAWATAN</t>
  </si>
  <si>
    <t>No Kartu</t>
  </si>
  <si>
    <t>Nama</t>
  </si>
  <si>
    <t>Blok Parkir</t>
  </si>
  <si>
    <t>Lama Parkir</t>
  </si>
  <si>
    <t>Jam Lebih</t>
  </si>
  <si>
    <t>Total Biaya</t>
  </si>
  <si>
    <t>Kode-1</t>
  </si>
  <si>
    <t>DM</t>
  </si>
  <si>
    <t>TR</t>
  </si>
  <si>
    <t>LG</t>
  </si>
  <si>
    <t>Kelas</t>
  </si>
  <si>
    <t>Blok</t>
  </si>
  <si>
    <t>Depan Mall</t>
  </si>
  <si>
    <t>Roof Top</t>
  </si>
  <si>
    <t>Lower Ground</t>
  </si>
  <si>
    <t>DM1445-1500V</t>
  </si>
  <si>
    <t>Caca</t>
  </si>
  <si>
    <t>DM0950-1200V</t>
  </si>
  <si>
    <t>Cici</t>
  </si>
  <si>
    <t>LG1214-2010U</t>
  </si>
  <si>
    <t>Cucu</t>
  </si>
  <si>
    <t>Kode-2</t>
  </si>
  <si>
    <t>Biaya awal</t>
  </si>
  <si>
    <t>5 jam pertama</t>
  </si>
  <si>
    <t>biaya berikutnya</t>
  </si>
  <si>
    <t>TR1034-1330U</t>
  </si>
  <si>
    <t>Cece</t>
  </si>
  <si>
    <t>TR1707-1943V</t>
  </si>
  <si>
    <t>Coco</t>
  </si>
  <si>
    <t>DM0748-1500U</t>
  </si>
  <si>
    <t>Dada</t>
  </si>
  <si>
    <t>LG0810-1223V</t>
  </si>
  <si>
    <t>Didi</t>
  </si>
  <si>
    <t>LG1500-1532U</t>
  </si>
  <si>
    <t>Dudu</t>
  </si>
  <si>
    <t>kode-3</t>
  </si>
  <si>
    <t>Tambahan kelas</t>
  </si>
  <si>
    <t>LG1043-14505V</t>
  </si>
  <si>
    <t>Dodo</t>
  </si>
  <si>
    <t>VIP</t>
  </si>
  <si>
    <t>DM1301-1509U</t>
  </si>
  <si>
    <t>Dede</t>
  </si>
  <si>
    <t>Umum</t>
  </si>
  <si>
    <t>TR1010-2100V</t>
  </si>
  <si>
    <t>Prima</t>
  </si>
  <si>
    <t>TR1243-1459V</t>
  </si>
  <si>
    <t>Yusuf</t>
  </si>
  <si>
    <t>JUMLAH BIAYA</t>
  </si>
  <si>
    <t>RATA - RATA</t>
  </si>
  <si>
    <t>NILAI TERENDAH</t>
  </si>
  <si>
    <t>NILAI TERTINGGI</t>
  </si>
  <si>
    <t>Total Keseluruhan</t>
  </si>
  <si>
    <t>Jumlah dari BIAYA DIBAYAR</t>
  </si>
  <si>
    <t>Label Baris</t>
  </si>
  <si>
    <t>Rata-rata dari LAMA PERAWATAN(HARI)</t>
  </si>
  <si>
    <t>Hitung dari JENIS PASIEN</t>
  </si>
  <si>
    <t>K3-K3*(VLOOKUP((IF(AND(OR(C3="MANDIRI-EKSEKUTIF";C3="MANDIRI-PROFESIONAL";C3="BPJS");LEFT(D3;2)="KU"));$A$32;IF(AND(C3="BPJS";OR(LEFT(D3;2)="JA";LEFT(D3;2)="KA";LEFT(D3;2)="AN");$A$33)));$A$32:$C$33;IF(J3&lt;7;2;3);FALSE))</t>
  </si>
  <si>
    <t>No</t>
  </si>
  <si>
    <t>Kode Pengiriman</t>
  </si>
  <si>
    <t>JKT-JNE-02022020-05022020</t>
  </si>
  <si>
    <t>BTM-POS-08022020-12022020</t>
  </si>
  <si>
    <t>SUB-JNE-18022020-21022020</t>
  </si>
  <si>
    <t>YKT-POS-20022020-22022020</t>
  </si>
  <si>
    <t>BTM-JNT-22022020-25022020</t>
  </si>
  <si>
    <t>JKT-POS-22022020-24022020</t>
  </si>
  <si>
    <t>YKT-JNE-25022020-28022020</t>
  </si>
  <si>
    <t>SUB-JNT-26022020-29022020</t>
  </si>
  <si>
    <t>BTM-JNE-28022020-04032020</t>
  </si>
  <si>
    <t>Asal Pengiriman</t>
  </si>
  <si>
    <t>Jenis pengiriman</t>
  </si>
  <si>
    <t>Tanggal Kirim</t>
  </si>
  <si>
    <t>Tanggal diterima</t>
  </si>
  <si>
    <t>Berat Barang</t>
  </si>
  <si>
    <t>Ongkos Kirim</t>
  </si>
  <si>
    <t>Bonus</t>
  </si>
  <si>
    <t>KODE 1</t>
  </si>
  <si>
    <t>ASAL</t>
  </si>
  <si>
    <t>JKT</t>
  </si>
  <si>
    <t>SUB</t>
  </si>
  <si>
    <t>YKT</t>
  </si>
  <si>
    <t>BTM</t>
  </si>
  <si>
    <t>JAKARTA</t>
  </si>
  <si>
    <t>SURABAYA</t>
  </si>
  <si>
    <t>YOGYAKARTA</t>
  </si>
  <si>
    <t>BATAM</t>
  </si>
  <si>
    <t>KODE 2</t>
  </si>
  <si>
    <t>JENIS PENGIRIMAN</t>
  </si>
  <si>
    <t>JNE</t>
  </si>
  <si>
    <t>JNT</t>
  </si>
  <si>
    <t>POS</t>
  </si>
  <si>
    <t>JNE OKE</t>
  </si>
  <si>
    <t>JNT EXPRESS</t>
  </si>
  <si>
    <t>POS KILAT KHUSUS</t>
  </si>
  <si>
    <t>KODE 3</t>
  </si>
  <si>
    <t>1-2 HARI</t>
  </si>
  <si>
    <t xml:space="preserve">3-4 HARI </t>
  </si>
  <si>
    <t>&gt;4 HARI</t>
  </si>
  <si>
    <t>BONUS</t>
  </si>
  <si>
    <t>HP RING</t>
  </si>
  <si>
    <t>BONEKA</t>
  </si>
  <si>
    <t>HP CASE</t>
  </si>
  <si>
    <t>KODE 4</t>
  </si>
  <si>
    <t>1-3 kg</t>
  </si>
  <si>
    <t>3-6 kg</t>
  </si>
  <si>
    <t>&gt;6 kg</t>
  </si>
  <si>
    <t>Potongan /kg</t>
  </si>
  <si>
    <t>KODE 5</t>
  </si>
  <si>
    <t>ONGKOS KIRIM</t>
  </si>
  <si>
    <t>LAMA PENGIRIMAN</t>
  </si>
  <si>
    <t>MIN</t>
  </si>
  <si>
    <t>MAX</t>
  </si>
  <si>
    <t>RATA-RATA</t>
  </si>
  <si>
    <t>5.     Isikan ongkos kirim dengan ketentuan ongkos kirim/gram sebagaimana kode 5 dan potongan harga yang sesuai dengan kode 4</t>
  </si>
  <si>
    <t>6.     Isikan Bonus jika paket diterima lebih dari lama pengiriman yang ditentukan pada kode 5 dan bonus yang diberikan sesuai dengan kode 3</t>
  </si>
  <si>
    <t>8.     Buatlah pivot tabel yang menunjukkan lama pengiriman dari tiap asal pengiriman berdasarkan jenis pengiriman</t>
  </si>
  <si>
    <t>10.  Buatlah ringkasan dengan subtotal untuk mengetahui jumlah berat barang berdasarkan jenis pengiriman</t>
  </si>
  <si>
    <t>Label Kolom</t>
  </si>
  <si>
    <t>Lama Pengiriman</t>
  </si>
  <si>
    <t>Jumlah dari Lama Pengiriman</t>
  </si>
  <si>
    <t>salaahhhhh</t>
  </si>
  <si>
    <t>JKT-JNT-10022020-15022020</t>
  </si>
  <si>
    <t>=IF(AND(K3&gt;3;D3="LG");$G$22;IFF(AND(K3&gt;3;D3="DM");$G$23;IF(AND(K3&gt;3;D3="TR");$G$24;IF(AND(K3&gt;1;D3="LG");$E$22;IF(AND(K3&gt;1;D3="DM");$E$23;;IF(AND(K3&gt;1;D3="TR");E24)</t>
  </si>
  <si>
    <r>
      <rPr>
        <sz val="10"/>
        <rFont val="Arial"/>
        <family val="2"/>
      </rPr>
      <t>No Kartu</t>
    </r>
  </si>
  <si>
    <r>
      <rPr>
        <sz val="10"/>
        <rFont val="Arial"/>
        <family val="2"/>
      </rPr>
      <t>Nama</t>
    </r>
  </si>
  <si>
    <r>
      <rPr>
        <sz val="10"/>
        <rFont val="Arial"/>
        <family val="2"/>
      </rPr>
      <t>Blok parkir</t>
    </r>
  </si>
  <si>
    <r>
      <rPr>
        <sz val="10"/>
        <rFont val="Arial"/>
        <family val="2"/>
      </rPr>
      <t>Jam Datang</t>
    </r>
  </si>
  <si>
    <r>
      <rPr>
        <sz val="10"/>
        <rFont val="Arial"/>
        <family val="2"/>
      </rPr>
      <t>Jam Keluar</t>
    </r>
  </si>
  <si>
    <r>
      <rPr>
        <sz val="10"/>
        <rFont val="Arial"/>
        <family val="2"/>
      </rPr>
      <t>Lama parkir</t>
    </r>
  </si>
  <si>
    <r>
      <rPr>
        <sz val="10"/>
        <rFont val="Arial"/>
        <family val="2"/>
      </rPr>
      <t>Jam lebih</t>
    </r>
  </si>
  <si>
    <r>
      <rPr>
        <sz val="10"/>
        <rFont val="Arial"/>
        <family val="2"/>
      </rPr>
      <t>Loket masuk</t>
    </r>
  </si>
  <si>
    <r>
      <rPr>
        <sz val="10"/>
        <rFont val="Arial"/>
        <family val="2"/>
      </rPr>
      <t>Loket keluar</t>
    </r>
  </si>
  <si>
    <r>
      <rPr>
        <sz val="10"/>
        <rFont val="Arial"/>
        <family val="2"/>
      </rPr>
      <t>Total Biaya</t>
    </r>
  </si>
  <si>
    <r>
      <rPr>
        <sz val="10"/>
        <rFont val="Arial"/>
        <family val="2"/>
      </rPr>
      <t>Hadiah</t>
    </r>
  </si>
  <si>
    <r>
      <rPr>
        <sz val="10"/>
        <rFont val="Arial"/>
        <family val="2"/>
      </rPr>
      <t>jam</t>
    </r>
  </si>
  <si>
    <r>
      <rPr>
        <sz val="10"/>
        <rFont val="Arial"/>
        <family val="2"/>
      </rPr>
      <t>menit</t>
    </r>
  </si>
  <si>
    <r>
      <rPr>
        <sz val="10"/>
        <rFont val="Arial"/>
        <family val="2"/>
      </rPr>
      <t>Jam</t>
    </r>
  </si>
  <si>
    <r>
      <rPr>
        <sz val="10"/>
        <rFont val="Arial"/>
        <family val="2"/>
      </rPr>
      <t>DM002</t>
    </r>
  </si>
  <si>
    <r>
      <rPr>
        <sz val="10"/>
        <rFont val="Arial"/>
        <family val="2"/>
      </rPr>
      <t>Baskoro</t>
    </r>
  </si>
  <si>
    <r>
      <rPr>
        <sz val="10"/>
        <rFont val="Arial"/>
        <family val="2"/>
      </rPr>
      <t>DM001</t>
    </r>
  </si>
  <si>
    <r>
      <rPr>
        <sz val="10"/>
        <rFont val="Arial"/>
        <family val="2"/>
      </rPr>
      <t>Erlang</t>
    </r>
  </si>
  <si>
    <r>
      <rPr>
        <sz val="10"/>
        <rFont val="Arial"/>
        <family val="2"/>
      </rPr>
      <t>LG003</t>
    </r>
  </si>
  <si>
    <r>
      <rPr>
        <sz val="10"/>
        <rFont val="Arial"/>
        <family val="2"/>
      </rPr>
      <t>Anggoro</t>
    </r>
  </si>
  <si>
    <r>
      <rPr>
        <sz val="10"/>
        <rFont val="Arial"/>
        <family val="2"/>
      </rPr>
      <t>TR001</t>
    </r>
  </si>
  <si>
    <r>
      <rPr>
        <sz val="10"/>
        <rFont val="Arial"/>
        <family val="2"/>
      </rPr>
      <t>Doni</t>
    </r>
  </si>
  <si>
    <r>
      <rPr>
        <sz val="10"/>
        <rFont val="Arial"/>
        <family val="2"/>
      </rPr>
      <t>TR004</t>
    </r>
  </si>
  <si>
    <r>
      <rPr>
        <sz val="10"/>
        <rFont val="Arial"/>
        <family val="2"/>
      </rPr>
      <t>Charles</t>
    </r>
  </si>
  <si>
    <r>
      <rPr>
        <sz val="10"/>
        <rFont val="Arial"/>
        <family val="2"/>
      </rPr>
      <t>DM004</t>
    </r>
  </si>
  <si>
    <r>
      <rPr>
        <sz val="10"/>
        <rFont val="Arial"/>
        <family val="2"/>
      </rPr>
      <t>Farhatin</t>
    </r>
  </si>
  <si>
    <r>
      <rPr>
        <sz val="10"/>
        <rFont val="Arial"/>
        <family val="2"/>
      </rPr>
      <t>LG002</t>
    </r>
  </si>
  <si>
    <r>
      <rPr>
        <sz val="10"/>
        <rFont val="Arial"/>
        <family val="2"/>
      </rPr>
      <t>Indiana</t>
    </r>
  </si>
  <si>
    <r>
      <rPr>
        <sz val="10"/>
        <rFont val="Arial"/>
        <family val="2"/>
      </rPr>
      <t>LG001</t>
    </r>
  </si>
  <si>
    <r>
      <rPr>
        <sz val="10"/>
        <rFont val="Arial"/>
        <family val="2"/>
      </rPr>
      <t>Karenina</t>
    </r>
  </si>
  <si>
    <r>
      <rPr>
        <sz val="10"/>
        <rFont val="Arial"/>
        <family val="2"/>
      </rPr>
      <t>LG004</t>
    </r>
  </si>
  <si>
    <r>
      <rPr>
        <sz val="10"/>
        <rFont val="Arial"/>
        <family val="2"/>
      </rPr>
      <t>Louisa</t>
    </r>
  </si>
  <si>
    <r>
      <rPr>
        <sz val="10"/>
        <rFont val="Arial"/>
        <family val="2"/>
      </rPr>
      <t>DM003</t>
    </r>
  </si>
  <si>
    <r>
      <rPr>
        <sz val="10"/>
        <rFont val="Arial"/>
        <family val="2"/>
      </rPr>
      <t>Gordon</t>
    </r>
  </si>
  <si>
    <r>
      <rPr>
        <sz val="10"/>
        <rFont val="Arial"/>
        <family val="2"/>
      </rPr>
      <t>TR002</t>
    </r>
  </si>
  <si>
    <r>
      <rPr>
        <sz val="10"/>
        <rFont val="Arial"/>
        <family val="2"/>
      </rPr>
      <t>Huriyani</t>
    </r>
  </si>
  <si>
    <r>
      <rPr>
        <sz val="10"/>
        <rFont val="Arial"/>
        <family val="2"/>
      </rPr>
      <t>TR003</t>
    </r>
  </si>
  <si>
    <r>
      <rPr>
        <sz val="10"/>
        <rFont val="Arial"/>
        <family val="2"/>
      </rPr>
      <t>Jatmoko</t>
    </r>
  </si>
  <si>
    <r>
      <rPr>
        <sz val="10.5"/>
        <rFont val="Arial"/>
        <family val="2"/>
      </rPr>
      <t>Kode -1</t>
    </r>
  </si>
  <si>
    <r>
      <rPr>
        <sz val="10.5"/>
        <rFont val="Arial"/>
        <family val="2"/>
      </rPr>
      <t>DM</t>
    </r>
  </si>
  <si>
    <r>
      <rPr>
        <sz val="10.5"/>
        <rFont val="Arial"/>
        <family val="2"/>
      </rPr>
      <t>TR</t>
    </r>
  </si>
  <si>
    <r>
      <rPr>
        <sz val="10.5"/>
        <rFont val="Arial"/>
        <family val="2"/>
      </rPr>
      <t>LG</t>
    </r>
  </si>
  <si>
    <r>
      <rPr>
        <sz val="10.5"/>
        <rFont val="Arial"/>
        <family val="2"/>
      </rPr>
      <t>Blok</t>
    </r>
  </si>
  <si>
    <r>
      <rPr>
        <sz val="10.5"/>
        <rFont val="Arial"/>
        <family val="2"/>
      </rPr>
      <t>Depan Mall</t>
    </r>
  </si>
  <si>
    <r>
      <rPr>
        <sz val="10.5"/>
        <rFont val="Arial"/>
        <family val="2"/>
      </rPr>
      <t>Top Roof</t>
    </r>
  </si>
  <si>
    <r>
      <rPr>
        <sz val="10.5"/>
        <rFont val="Arial"/>
        <family val="2"/>
      </rPr>
      <t>Lower Ground</t>
    </r>
  </si>
  <si>
    <t>3.   Lama parkir merupakan jam keluar dikurangi jam datang</t>
  </si>
  <si>
    <t>4.   Jam  lebih  merupakan  kelebihan  jam  parkir,  karena  menejemen  menentukan  bahwa  biaya parkir awal untuk 2 jam pertama, jika kurang dari dua jam maka dianggap 2 jam</t>
  </si>
  <si>
    <t>5.   Loket masuk merupakan biaya parkir yang dibayarkan pada saat masuk parkir yaitu untuk dua jam pertama, berdasarkan blok parkir</t>
  </si>
  <si>
    <t>6.   Loket keluar merupakan biaya parkir yang dibayarkan pada saat keluar parkir yaitu dengan</t>
  </si>
  <si>
    <t>mempertimbangkan jam lebih dan blok parkir. Jam lebih dibulatkan keatas, misalkan kelebihan 15 menit maka kena tambahan 1 jam dan seterusnya.</t>
  </si>
  <si>
    <t>2 jam pertama</t>
  </si>
  <si>
    <t>1 – 3 jam berikutnya</t>
  </si>
  <si>
    <t>&gt; 3 jam berikutnya</t>
  </si>
  <si>
    <t>Top Roof</t>
  </si>
  <si>
    <t>Ket : harga parkir merupakan harga perjam</t>
  </si>
  <si>
    <t>7.   Total biaya merupakan total biaya parkir yang sudah dibayarkan yaitu dari loket masuk dan loket keluar</t>
  </si>
  <si>
    <t>9.   Hitung jumlah, rata-rata, nilai terendah dan nilai tertinggi dari total biaya</t>
  </si>
  <si>
    <t>10. Buat ringkasan dengan mengisi tabel berikut menggunakan rumus yang sesuai:</t>
  </si>
  <si>
    <t>a.   Frekuensi yang menerima hadiah</t>
  </si>
  <si>
    <t>b.   Jumlah jam lebih berdasarka blok parkir</t>
  </si>
  <si>
    <t>Hadiah</t>
  </si>
  <si>
    <t>Frekuensi</t>
  </si>
  <si>
    <t>Jumlah jam lebih</t>
  </si>
  <si>
    <t>Ya</t>
  </si>
  <si>
    <t>Tidak</t>
  </si>
  <si>
    <t>8.   Hadiah  diberikan  kepada  pelanggan  yang  parkir  lebih  dari  3  jam  dan  blok  parkir  terletak d idepan Mall dengan tulisan “DAPAT” dan “TIDAK DAPAT”</t>
  </si>
  <si>
    <r>
      <rPr>
        <sz val="12"/>
        <rFont val="Arial"/>
        <family val="2"/>
      </rPr>
      <t>KUIS</t>
    </r>
  </si>
  <si>
    <r>
      <rPr>
        <sz val="10.5"/>
        <rFont val="Arial"/>
        <family val="2"/>
      </rPr>
      <t>Mata Kuliah</t>
    </r>
  </si>
  <si>
    <r>
      <rPr>
        <sz val="10.5"/>
        <rFont val="Arial"/>
        <family val="2"/>
      </rPr>
      <t>:</t>
    </r>
  </si>
  <si>
    <r>
      <rPr>
        <sz val="10.5"/>
        <rFont val="Arial"/>
        <family val="2"/>
      </rPr>
      <t>Pemrograman Komputer A dan C</t>
    </r>
  </si>
  <si>
    <r>
      <rPr>
        <sz val="10.5"/>
        <rFont val="Arial"/>
        <family val="2"/>
      </rPr>
      <t>Hari /Tanggal</t>
    </r>
  </si>
  <si>
    <r>
      <rPr>
        <sz val="10.5"/>
        <rFont val="Arial"/>
        <family val="2"/>
      </rPr>
      <t>Jumat, 16 April 2021</t>
    </r>
  </si>
  <si>
    <r>
      <rPr>
        <sz val="10.5"/>
        <rFont val="Arial"/>
        <family val="2"/>
      </rPr>
      <t>Sifat / Waktu</t>
    </r>
  </si>
  <si>
    <r>
      <rPr>
        <sz val="10.5"/>
        <rFont val="Arial"/>
        <family val="2"/>
      </rPr>
      <t>Buku tertutup / 140 menit</t>
    </r>
  </si>
  <si>
    <r>
      <rPr>
        <sz val="10.5"/>
        <rFont val="Arial"/>
        <family val="2"/>
      </rPr>
      <t>Dosen</t>
    </r>
  </si>
  <si>
    <r>
      <rPr>
        <sz val="10.5"/>
        <rFont val="Arial"/>
        <family val="2"/>
      </rPr>
      <t>:   Erma  Oktania P., S.Si, M.Si</t>
    </r>
  </si>
  <si>
    <r>
      <rPr>
        <sz val="12"/>
        <rFont val="Times New Roman"/>
        <family val="1"/>
      </rPr>
      <t xml:space="preserve">Jawaban Soal 1 dan 2 dikirim dalam file excel.
</t>
    </r>
    <r>
      <rPr>
        <sz val="12"/>
        <rFont val="Times New Roman"/>
        <family val="1"/>
      </rPr>
      <t xml:space="preserve">Jawaban Soal 3 dikirim dalam file excel (untuk outputnya) dan file word (untuk uji hipotesisnya).
</t>
    </r>
    <r>
      <rPr>
        <sz val="12"/>
        <rFont val="Times New Roman"/>
        <family val="1"/>
      </rPr>
      <t xml:space="preserve">Dengan subject : Kuis_Progkomp_kelas_NRP
</t>
    </r>
    <r>
      <rPr>
        <sz val="12"/>
        <rFont val="Times New Roman"/>
        <family val="1"/>
      </rPr>
      <t>Perhatikan batas akhir waktu untuk jawaban yang diterima, berdasarkan jam upload jawaban.</t>
    </r>
  </si>
  <si>
    <r>
      <rPr>
        <b/>
        <sz val="10.5"/>
        <rFont val="Arial"/>
        <family val="2"/>
      </rPr>
      <t xml:space="preserve">SOAL 1
</t>
    </r>
    <r>
      <rPr>
        <sz val="10.5"/>
        <rFont val="Arial"/>
        <family val="2"/>
      </rPr>
      <t>1.  Sebuah perusahaan penjualan komputer mempunyai data masukan (kode beli, merk komputer dan cara beli) dengan tabel sbb.:</t>
    </r>
  </si>
  <si>
    <r>
      <rPr>
        <sz val="10.5"/>
        <rFont val="Arial"/>
        <family val="2"/>
      </rPr>
      <t>NO</t>
    </r>
  </si>
  <si>
    <r>
      <rPr>
        <sz val="10.5"/>
        <rFont val="Arial"/>
        <family val="2"/>
      </rPr>
      <t>KODE BELI</t>
    </r>
  </si>
  <si>
    <r>
      <rPr>
        <sz val="10.5"/>
        <rFont val="Arial"/>
        <family val="2"/>
      </rPr>
      <t>JUMLAH BELI</t>
    </r>
  </si>
  <si>
    <r>
      <rPr>
        <sz val="10.5"/>
        <rFont val="Arial"/>
        <family val="2"/>
      </rPr>
      <t>MERK</t>
    </r>
  </si>
  <si>
    <r>
      <rPr>
        <sz val="10.5"/>
        <rFont val="Arial"/>
        <family val="2"/>
      </rPr>
      <t>HARGA BELI</t>
    </r>
  </si>
  <si>
    <r>
      <rPr>
        <sz val="10.5"/>
        <rFont val="Arial"/>
        <family val="2"/>
      </rPr>
      <t>CARA BELI</t>
    </r>
  </si>
  <si>
    <r>
      <rPr>
        <sz val="10.5"/>
        <rFont val="Arial"/>
        <family val="2"/>
      </rPr>
      <t>TOTAL HARGA</t>
    </r>
  </si>
  <si>
    <r>
      <rPr>
        <sz val="10.5"/>
        <rFont val="Arial"/>
        <family val="2"/>
      </rPr>
      <t>BIAYA GARANSI</t>
    </r>
  </si>
  <si>
    <r>
      <rPr>
        <sz val="10.5"/>
        <rFont val="Arial"/>
        <family val="2"/>
      </rPr>
      <t>DISCOUNT</t>
    </r>
  </si>
  <si>
    <r>
      <rPr>
        <sz val="10.5"/>
        <rFont val="Arial"/>
        <family val="2"/>
      </rPr>
      <t>TOTAL BAYAR</t>
    </r>
  </si>
  <si>
    <r>
      <rPr>
        <sz val="10.5"/>
        <rFont val="Arial"/>
        <family val="2"/>
      </rPr>
      <t>C2K</t>
    </r>
  </si>
  <si>
    <r>
      <rPr>
        <sz val="10.5"/>
        <rFont val="Arial"/>
        <family val="2"/>
      </rPr>
      <t>A4C</t>
    </r>
  </si>
  <si>
    <r>
      <rPr>
        <sz val="10.5"/>
        <rFont val="Arial"/>
        <family val="2"/>
      </rPr>
      <t>C6K</t>
    </r>
  </si>
  <si>
    <r>
      <rPr>
        <sz val="10.5"/>
        <rFont val="Arial"/>
        <family val="2"/>
      </rPr>
      <t>B3K</t>
    </r>
  </si>
  <si>
    <r>
      <rPr>
        <sz val="10.5"/>
        <rFont val="Arial"/>
        <family val="2"/>
      </rPr>
      <t>A5K</t>
    </r>
  </si>
  <si>
    <r>
      <rPr>
        <sz val="10.5"/>
        <rFont val="Arial"/>
        <family val="2"/>
      </rPr>
      <t>C2C</t>
    </r>
  </si>
  <si>
    <r>
      <rPr>
        <sz val="10.5"/>
        <rFont val="Arial"/>
        <family val="2"/>
      </rPr>
      <t>B7C</t>
    </r>
  </si>
  <si>
    <r>
      <rPr>
        <sz val="10.5"/>
        <rFont val="Arial"/>
        <family val="2"/>
      </rPr>
      <t>B4K</t>
    </r>
  </si>
  <si>
    <r>
      <rPr>
        <sz val="10.5"/>
        <rFont val="Arial"/>
        <family val="2"/>
      </rPr>
      <t>A5C</t>
    </r>
  </si>
  <si>
    <r>
      <rPr>
        <sz val="10.5"/>
        <rFont val="Arial"/>
        <family val="2"/>
      </rPr>
      <t>A1K</t>
    </r>
  </si>
  <si>
    <r>
      <rPr>
        <sz val="10.5"/>
        <rFont val="Arial"/>
        <family val="2"/>
      </rPr>
      <t>C3C</t>
    </r>
  </si>
  <si>
    <r>
      <rPr>
        <sz val="10.5"/>
        <rFont val="Arial"/>
        <family val="2"/>
      </rPr>
      <t>A6C</t>
    </r>
  </si>
  <si>
    <r>
      <rPr>
        <sz val="10.5"/>
        <rFont val="Arial"/>
        <family val="2"/>
      </rPr>
      <t>B8K</t>
    </r>
  </si>
  <si>
    <r>
      <rPr>
        <sz val="10.5"/>
        <rFont val="Arial"/>
        <family val="2"/>
      </rPr>
      <t>A</t>
    </r>
  </si>
  <si>
    <r>
      <rPr>
        <sz val="10.5"/>
        <rFont val="Arial"/>
        <family val="2"/>
      </rPr>
      <t>IBM</t>
    </r>
  </si>
  <si>
    <r>
      <rPr>
        <sz val="10.5"/>
        <rFont val="Arial"/>
        <family val="2"/>
      </rPr>
      <t>B</t>
    </r>
  </si>
  <si>
    <r>
      <rPr>
        <sz val="10.5"/>
        <rFont val="Arial"/>
        <family val="2"/>
      </rPr>
      <t>RCA</t>
    </r>
  </si>
  <si>
    <r>
      <rPr>
        <sz val="10.5"/>
        <rFont val="Arial"/>
        <family val="2"/>
      </rPr>
      <t>C</t>
    </r>
  </si>
  <si>
    <r>
      <rPr>
        <sz val="10.5"/>
        <rFont val="Arial"/>
        <family val="2"/>
      </rPr>
      <t>UNIVAC</t>
    </r>
  </si>
  <si>
    <r>
      <rPr>
        <sz val="10.5"/>
        <rFont val="Arial"/>
        <family val="2"/>
      </rPr>
      <t>K</t>
    </r>
  </si>
  <si>
    <r>
      <rPr>
        <sz val="10.5"/>
        <rFont val="Arial"/>
        <family val="2"/>
      </rPr>
      <t>CASH</t>
    </r>
  </si>
  <si>
    <r>
      <rPr>
        <sz val="10.5"/>
        <rFont val="Arial"/>
        <family val="2"/>
      </rPr>
      <t>KREDIT</t>
    </r>
  </si>
  <si>
    <r>
      <rPr>
        <sz val="10.5"/>
        <rFont val="Arial"/>
        <family val="2"/>
      </rPr>
      <t xml:space="preserve">Usaha   penjualan   komputer   tersebut   perlu   bantuan   untuk   mengetahui   data   pelanggan selengkapnya pada Tabel di atas, dengan memberikan informasi umum seperti yang tercantum berikut.
</t>
    </r>
    <r>
      <rPr>
        <sz val="10.5"/>
        <rFont val="Arial"/>
        <family val="2"/>
      </rPr>
      <t xml:space="preserve">a.  Jumlah beli ditentukan dari nilai pada karakter kedua dari kode beli
</t>
    </r>
    <r>
      <rPr>
        <sz val="10.5"/>
        <rFont val="Arial"/>
        <family val="2"/>
      </rPr>
      <t xml:space="preserve">b.  Merk ditentukan dari karakter pertama dari kode beli
</t>
    </r>
    <r>
      <rPr>
        <sz val="10.5"/>
        <rFont val="Arial"/>
        <family val="2"/>
      </rPr>
      <t>c.  Cara beli ditentukan dari karakter ketiga dari kode beli</t>
    </r>
  </si>
  <si>
    <r>
      <rPr>
        <sz val="10.5"/>
        <rFont val="Arial"/>
        <family val="2"/>
      </rPr>
      <t>d.  Ketentuan untuk Harga Beli, Biaya Garansi dan Discount ditentukan sebagai berikut:</t>
    </r>
  </si>
  <si>
    <r>
      <rPr>
        <sz val="10.5"/>
        <rFont val="Arial"/>
        <family val="2"/>
      </rPr>
      <t>KETERANGAN:</t>
    </r>
  </si>
  <si>
    <r>
      <rPr>
        <sz val="10.5"/>
        <rFont val="Arial"/>
        <family val="2"/>
      </rPr>
      <t>IBM = 5 JUTA</t>
    </r>
  </si>
  <si>
    <r>
      <rPr>
        <sz val="10.5"/>
        <rFont val="Arial"/>
        <family val="2"/>
      </rPr>
      <t>IBM = 5%</t>
    </r>
  </si>
  <si>
    <r>
      <rPr>
        <sz val="10.5"/>
        <rFont val="Arial"/>
        <family val="2"/>
      </rPr>
      <t xml:space="preserve">CASH = 2%
</t>
    </r>
    <r>
      <rPr>
        <sz val="10.5"/>
        <rFont val="Arial"/>
        <family val="2"/>
      </rPr>
      <t>KREDIT = 5%</t>
    </r>
  </si>
  <si>
    <r>
      <rPr>
        <sz val="10.5"/>
        <rFont val="Arial"/>
        <family val="2"/>
      </rPr>
      <t>RCA = 4.5 JUTA</t>
    </r>
  </si>
  <si>
    <r>
      <rPr>
        <sz val="10.5"/>
        <rFont val="Arial"/>
        <family val="2"/>
      </rPr>
      <t>RCA = 6%</t>
    </r>
  </si>
  <si>
    <r>
      <rPr>
        <sz val="10.5"/>
        <rFont val="Arial"/>
        <family val="2"/>
      </rPr>
      <t>UNIVAC = 6 JUTA</t>
    </r>
  </si>
  <si>
    <r>
      <rPr>
        <sz val="10.5"/>
        <rFont val="Arial"/>
        <family val="2"/>
      </rPr>
      <t>UNIVAC = 7%</t>
    </r>
  </si>
  <si>
    <r>
      <rPr>
        <sz val="10.5"/>
        <rFont val="Arial"/>
        <family val="2"/>
      </rPr>
      <t>e.  Hitung Jumlah Pembelian dari masing-masing merk komputer sebagai berikut:</t>
    </r>
  </si>
  <si>
    <r>
      <rPr>
        <sz val="10.5"/>
        <rFont val="Arial"/>
        <family val="2"/>
      </rPr>
      <t xml:space="preserve">MERK
</t>
    </r>
    <r>
      <rPr>
        <sz val="10.5"/>
        <rFont val="Arial"/>
        <family val="2"/>
      </rPr>
      <t>KOMPUTER</t>
    </r>
  </si>
  <si>
    <r>
      <rPr>
        <sz val="10.5"/>
        <rFont val="Arial"/>
        <family val="2"/>
      </rPr>
      <t xml:space="preserve">JUMLAH
</t>
    </r>
    <r>
      <rPr>
        <sz val="10.5"/>
        <rFont val="Arial"/>
        <family val="2"/>
      </rPr>
      <t>PEMBELIAN</t>
    </r>
  </si>
  <si>
    <r>
      <rPr>
        <sz val="10.5"/>
        <rFont val="Arial"/>
        <family val="2"/>
      </rPr>
      <t>f.   Hitung Frekuensi dari masing-masing cara beli sebagai berikut:</t>
    </r>
  </si>
  <si>
    <r>
      <rPr>
        <sz val="10.5"/>
        <rFont val="Arial"/>
        <family val="2"/>
      </rPr>
      <t>FREKUENSI</t>
    </r>
  </si>
  <si>
    <r>
      <rPr>
        <sz val="11"/>
        <rFont val="Liberation Sans Narrow"/>
        <family val="2"/>
      </rPr>
      <t xml:space="preserve">g.   Buatlah ringkasan dengan menghitung total  penjualan komputer  pada bulan itu, rata-rata  total  harga yang dibayar serta minimum dan maksimum dari merk komputer yang terjual.
</t>
    </r>
    <r>
      <rPr>
        <sz val="11"/>
        <rFont val="Carlito"/>
        <family val="2"/>
      </rPr>
      <t xml:space="preserve">h.  </t>
    </r>
    <r>
      <rPr>
        <sz val="11"/>
        <rFont val="Liberation Sans Narrow"/>
        <family val="2"/>
      </rPr>
      <t xml:space="preserve">Buatlah ringkasan dengan subtotal untuk mengetahui rata-rata harga total yang dibayar berdasarkan merk komputernya.
</t>
    </r>
    <r>
      <rPr>
        <sz val="11"/>
        <rFont val="Carlito"/>
        <family val="2"/>
      </rPr>
      <t xml:space="preserve">i.    </t>
    </r>
    <r>
      <rPr>
        <sz val="11"/>
        <rFont val="Liberation Sans Narrow"/>
        <family val="2"/>
      </rPr>
      <t>Buatlah grafik yang dapat menggambarkan jumlah komputer yang terjual berdasarkan merk dan cara belinya.</t>
    </r>
  </si>
  <si>
    <r>
      <rPr>
        <sz val="12"/>
        <rFont val="Liberation Sans Narrow"/>
        <family val="2"/>
      </rPr>
      <t xml:space="preserve">Buatlah laporan gaji karyawan suatu PT SEJAHTERA
</t>
    </r>
    <r>
      <rPr>
        <sz val="11"/>
        <rFont val="Liberation Sans Narrow"/>
        <family val="2"/>
      </rPr>
      <t>1.    Buat Layout Tabel karyawan dan gaji yang diterima sebagai berikut :</t>
    </r>
  </si>
  <si>
    <r>
      <rPr>
        <sz val="9"/>
        <rFont val="Liberation Sans Narrow"/>
        <family val="2"/>
      </rPr>
      <t>Identitas karyawan</t>
    </r>
  </si>
  <si>
    <r>
      <rPr>
        <sz val="9"/>
        <rFont val="Liberation Sans Narrow"/>
        <family val="2"/>
      </rPr>
      <t>Nama</t>
    </r>
  </si>
  <si>
    <r>
      <rPr>
        <sz val="9"/>
        <rFont val="Liberation Sans Narrow"/>
        <family val="2"/>
      </rPr>
      <t>Jabatan</t>
    </r>
  </si>
  <si>
    <r>
      <rPr>
        <sz val="9"/>
        <rFont val="Liberation Sans Narrow"/>
        <family val="2"/>
      </rPr>
      <t>Jenis Kelamin</t>
    </r>
  </si>
  <si>
    <r>
      <rPr>
        <sz val="9"/>
        <rFont val="Liberation Sans Narrow"/>
        <family val="2"/>
      </rPr>
      <t>Jumlah Anak</t>
    </r>
  </si>
  <si>
    <r>
      <rPr>
        <sz val="9"/>
        <rFont val="Liberation Sans Narrow"/>
        <family val="2"/>
      </rPr>
      <t>Lama Kerja (tahun)</t>
    </r>
  </si>
  <si>
    <r>
      <rPr>
        <sz val="9"/>
        <rFont val="Liberation Sans Narrow"/>
        <family val="2"/>
      </rPr>
      <t>Gaji Pokok</t>
    </r>
  </si>
  <si>
    <r>
      <rPr>
        <sz val="9"/>
        <rFont val="Liberation Sans Narrow"/>
        <family val="2"/>
      </rPr>
      <t>Tunjangan</t>
    </r>
  </si>
  <si>
    <r>
      <rPr>
        <sz val="9"/>
        <rFont val="Liberation Sans Narrow"/>
        <family val="2"/>
      </rPr>
      <t>Gaji Total</t>
    </r>
  </si>
  <si>
    <r>
      <rPr>
        <sz val="9"/>
        <rFont val="Liberation Sans Narrow"/>
        <family val="2"/>
      </rPr>
      <t>SAD121</t>
    </r>
  </si>
  <si>
    <r>
      <rPr>
        <sz val="9"/>
        <rFont val="Liberation Sans Narrow"/>
        <family val="2"/>
      </rPr>
      <t>ANDIKA</t>
    </r>
  </si>
  <si>
    <r>
      <rPr>
        <sz val="9"/>
        <rFont val="Liberation Sans Narrow"/>
        <family val="2"/>
      </rPr>
      <t>SAM222</t>
    </r>
  </si>
  <si>
    <r>
      <rPr>
        <sz val="9"/>
        <rFont val="Liberation Sans Narrow"/>
        <family val="2"/>
      </rPr>
      <t>BELINDA</t>
    </r>
  </si>
  <si>
    <r>
      <rPr>
        <sz val="9"/>
        <rFont val="Liberation Sans Narrow"/>
        <family val="2"/>
      </rPr>
      <t>SAS312</t>
    </r>
  </si>
  <si>
    <r>
      <rPr>
        <sz val="9"/>
        <rFont val="Liberation Sans Narrow"/>
        <family val="2"/>
      </rPr>
      <t>CINTA</t>
    </r>
  </si>
  <si>
    <r>
      <rPr>
        <sz val="9"/>
        <rFont val="Liberation Sans Narrow"/>
        <family val="2"/>
      </rPr>
      <t>SAD141</t>
    </r>
  </si>
  <si>
    <r>
      <rPr>
        <sz val="9"/>
        <rFont val="Liberation Sans Narrow"/>
        <family val="2"/>
      </rPr>
      <t>DAVID</t>
    </r>
  </si>
  <si>
    <r>
      <rPr>
        <sz val="9"/>
        <rFont val="Liberation Sans Narrow"/>
        <family val="2"/>
      </rPr>
      <t>SAS321</t>
    </r>
  </si>
  <si>
    <r>
      <rPr>
        <sz val="9"/>
        <rFont val="Liberation Sans Narrow"/>
        <family val="2"/>
      </rPr>
      <t>ELANG</t>
    </r>
  </si>
  <si>
    <r>
      <rPr>
        <sz val="9"/>
        <rFont val="Liberation Sans Narrow"/>
        <family val="2"/>
      </rPr>
      <t>SAS322</t>
    </r>
  </si>
  <si>
    <r>
      <rPr>
        <sz val="9"/>
        <rFont val="Liberation Sans Narrow"/>
        <family val="2"/>
      </rPr>
      <t>FINDA</t>
    </r>
  </si>
  <si>
    <r>
      <rPr>
        <sz val="9"/>
        <rFont val="Liberation Sans Narrow"/>
        <family val="2"/>
      </rPr>
      <t>SAM231</t>
    </r>
  </si>
  <si>
    <r>
      <rPr>
        <sz val="9"/>
        <rFont val="Liberation Sans Narrow"/>
        <family val="2"/>
      </rPr>
      <t>GUNADI</t>
    </r>
  </si>
  <si>
    <r>
      <rPr>
        <sz val="9"/>
        <rFont val="Liberation Sans Narrow"/>
        <family val="2"/>
      </rPr>
      <t>SAM251</t>
    </r>
  </si>
  <si>
    <r>
      <rPr>
        <sz val="9"/>
        <rFont val="Liberation Sans Narrow"/>
        <family val="2"/>
      </rPr>
      <t>HADI</t>
    </r>
  </si>
  <si>
    <r>
      <rPr>
        <sz val="9"/>
        <rFont val="Liberation Sans Narrow"/>
        <family val="2"/>
      </rPr>
      <t>SAS302</t>
    </r>
  </si>
  <si>
    <r>
      <rPr>
        <sz val="9"/>
        <rFont val="Liberation Sans Narrow"/>
        <family val="2"/>
      </rPr>
      <t>INDAH</t>
    </r>
  </si>
  <si>
    <r>
      <rPr>
        <sz val="9"/>
        <rFont val="Liberation Sans Narrow"/>
        <family val="2"/>
      </rPr>
      <t>SAS331</t>
    </r>
  </si>
  <si>
    <r>
      <rPr>
        <sz val="9"/>
        <rFont val="Liberation Sans Narrow"/>
        <family val="2"/>
      </rPr>
      <t>JEREMI</t>
    </r>
  </si>
  <si>
    <r>
      <rPr>
        <sz val="11"/>
        <rFont val="Liberation Sans Narrow"/>
        <family val="2"/>
      </rPr>
      <t>2.    Jabatan diisi dengan melihat karakter ke-3 dari identitas karyawan berdasarkan kode-1</t>
    </r>
  </si>
  <si>
    <r>
      <rPr>
        <sz val="12"/>
        <rFont val="Liberation Sans Narrow"/>
        <family val="2"/>
      </rPr>
      <t>KODE-1</t>
    </r>
  </si>
  <si>
    <r>
      <rPr>
        <sz val="12"/>
        <rFont val="Liberation Sans Narrow"/>
        <family val="2"/>
      </rPr>
      <t>D</t>
    </r>
  </si>
  <si>
    <r>
      <rPr>
        <sz val="12"/>
        <rFont val="Liberation Sans Narrow"/>
        <family val="2"/>
      </rPr>
      <t>M</t>
    </r>
  </si>
  <si>
    <r>
      <rPr>
        <sz val="12"/>
        <rFont val="Liberation Sans Narrow"/>
        <family val="2"/>
      </rPr>
      <t>S</t>
    </r>
  </si>
  <si>
    <r>
      <rPr>
        <sz val="12"/>
        <rFont val="Liberation Sans Narrow"/>
        <family val="2"/>
      </rPr>
      <t>JABATAN</t>
    </r>
  </si>
  <si>
    <r>
      <rPr>
        <sz val="12"/>
        <rFont val="Liberation Sans Narrow"/>
        <family val="2"/>
      </rPr>
      <t>DIREKTUR</t>
    </r>
  </si>
  <si>
    <r>
      <rPr>
        <sz val="12"/>
        <rFont val="Liberation Sans Narrow"/>
        <family val="2"/>
      </rPr>
      <t>MANAJER</t>
    </r>
  </si>
  <si>
    <r>
      <rPr>
        <sz val="12"/>
        <rFont val="Liberation Sans Narrow"/>
        <family val="2"/>
      </rPr>
      <t>SUPERVISOR</t>
    </r>
  </si>
  <si>
    <r>
      <rPr>
        <b/>
        <sz val="12"/>
        <rFont val="Liberation Sans Narrow"/>
        <family val="2"/>
      </rPr>
      <t>SOAL 2</t>
    </r>
  </si>
  <si>
    <r>
      <rPr>
        <sz val="11"/>
        <rFont val="Liberation Sans Narrow"/>
        <family val="2"/>
      </rPr>
      <t xml:space="preserve">3.    Jenis kelamin diisi dengan melihat angka terakhir pada  identitas karyawan :
</t>
    </r>
    <r>
      <rPr>
        <sz val="11"/>
        <rFont val="Liberation Sans Narrow"/>
        <family val="2"/>
      </rPr>
      <t xml:space="preserve">a.    “1” ditulis “LAKI-LAKI”
</t>
    </r>
    <r>
      <rPr>
        <sz val="11"/>
        <rFont val="Liberation Sans Narrow"/>
        <family val="2"/>
      </rPr>
      <t xml:space="preserve">b.    “2” ditulis “PEREMPUAN”
</t>
    </r>
    <r>
      <rPr>
        <sz val="11"/>
        <rFont val="Liberation Sans Narrow"/>
        <family val="2"/>
      </rPr>
      <t xml:space="preserve">4.    Jumlah anak merupakan angka yang ada di karakter ke-5 dari identitas karyawan.
</t>
    </r>
    <r>
      <rPr>
        <sz val="11"/>
        <rFont val="Liberation Sans Narrow"/>
        <family val="2"/>
      </rPr>
      <t>5.    Gaji pokok berdasarkan jabatan dan lama kerja seperti pada kode-2</t>
    </r>
  </si>
  <si>
    <r>
      <rPr>
        <sz val="12"/>
        <rFont val="Liberation Sans Narrow"/>
        <family val="2"/>
      </rPr>
      <t>KODE-2</t>
    </r>
  </si>
  <si>
    <r>
      <rPr>
        <sz val="12"/>
        <rFont val="Liberation Sans Narrow"/>
        <family val="2"/>
      </rPr>
      <t>0-5 tahun</t>
    </r>
  </si>
  <si>
    <r>
      <rPr>
        <sz val="12"/>
        <rFont val="Liberation Sans Narrow"/>
        <family val="2"/>
      </rPr>
      <t>6-10 tahun</t>
    </r>
  </si>
  <si>
    <r>
      <rPr>
        <sz val="12"/>
        <rFont val="Liberation Sans Narrow"/>
        <family val="2"/>
      </rPr>
      <t>&gt;10 tahun</t>
    </r>
  </si>
  <si>
    <r>
      <rPr>
        <sz val="11"/>
        <rFont val="Liberation Sans Narrow"/>
        <family val="2"/>
      </rPr>
      <t>6.    Tunjangan adalah gabungan antara tunjangan jabatan dan tunjangan anak berdasarkan jabatan seperti pada tabel kode-3, Dengan ketentuan jumlah anak yang diberi tunjangan adalah 2 orang sisanya tidak dapat.</t>
    </r>
  </si>
  <si>
    <r>
      <rPr>
        <sz val="12"/>
        <rFont val="Liberation Sans Narrow"/>
        <family val="2"/>
      </rPr>
      <t>KODE-3</t>
    </r>
  </si>
  <si>
    <r>
      <rPr>
        <sz val="12"/>
        <rFont val="Liberation Sans Narrow"/>
        <family val="2"/>
      </rPr>
      <t>TUNJ. JABATAN</t>
    </r>
  </si>
  <si>
    <r>
      <rPr>
        <sz val="12"/>
        <rFont val="Liberation Sans Narrow"/>
        <family val="2"/>
      </rPr>
      <t>TUNJ.Per ANAK</t>
    </r>
  </si>
  <si>
    <r>
      <rPr>
        <sz val="12"/>
        <rFont val="Liberation Sans Narrow"/>
        <family val="2"/>
      </rPr>
      <t>KODE-4</t>
    </r>
  </si>
  <si>
    <r>
      <rPr>
        <sz val="12"/>
        <rFont val="Liberation Sans Narrow"/>
        <family val="2"/>
      </rPr>
      <t>PAJAK</t>
    </r>
  </si>
  <si>
    <t>7.    Gaji total adalah gabungan antara gaji pokok dengan tunjangan setelah dipotong pajak, dengan ketentuan pajak sebagaimana tabel kode-4</t>
  </si>
  <si>
    <t>8.    Buatlah  ringkasan  dengan  menghitung  total  gaji  yang  dikeluarkan  tiap  bulan,  rata-rata  gaji  yang  diterima karyawan dan gaji minimum serta gaji maksimum yang dibayarkan.</t>
  </si>
  <si>
    <t>9.    Buatlah ringkasan dengan subtotal untuk mengetahui rata-rata gaji yang diterima oleh karyawan berdasarkan jabatannya.</t>
  </si>
  <si>
    <t>10.  Buatlah grafik yang dapat menggambarkan jumlah karyawan berdasarkan jabatan dan jenis kelamin.</t>
  </si>
  <si>
    <r>
      <rPr>
        <b/>
        <sz val="11"/>
        <rFont val="Liberation Sans Narrow"/>
        <family val="2"/>
      </rPr>
      <t xml:space="preserve">S O A L 3
</t>
    </r>
    <r>
      <rPr>
        <sz val="11"/>
        <rFont val="Liberation Sans Narrow"/>
        <family val="2"/>
      </rPr>
      <t>1.    Dua alat pengukur kadar sulfur monoksida di udara hendak dibandingkan. Ingin diketahui apakah kedua alat pengukur itu memberikan hasil yang sama. Dari kedua alat tersebut, diperoleh data sebagai berikut:</t>
    </r>
  </si>
  <si>
    <t>Gunakan taraf nyata 0,02.</t>
  </si>
  <si>
    <t>2.    Di  kondisi  pandemi  ini,  harga  mobil  bekas  menjadi  turun.  Seorang  pengamat  mobil  ingin  mengetahui hubungan antara umur mobil (sebagai variabel X) dan harga mobil (sebagai variabel Y). Diambil sampel random sebesar 11 transaksi jual beli mobil bekas dengan data sebagai berikut.</t>
  </si>
  <si>
    <r>
      <rPr>
        <sz val="10"/>
        <rFont val="Trebuchet MS"/>
        <family val="2"/>
      </rPr>
      <t>Umur Mobil Bekas (tahun)</t>
    </r>
  </si>
  <si>
    <r>
      <rPr>
        <sz val="10"/>
        <rFont val="Trebuchet MS"/>
        <family val="2"/>
      </rPr>
      <t>Harga Jual Mobil (juta)</t>
    </r>
  </si>
  <si>
    <t>Pertanyaan :</t>
  </si>
  <si>
    <t>a.    Buat Scatter Plot/Diagram Pencar-nya. Interpretasikan!</t>
  </si>
  <si>
    <t>b.    Hitung korelasi antara Y dan X. Interpretasikan!</t>
  </si>
  <si>
    <t>c.    Buat model regresi antara Y dan X. Interpretasikan!</t>
  </si>
  <si>
    <t>d.    Dari poin c), berapa harga jual mobil bekas, jika berumur 3 tahun?</t>
  </si>
  <si>
    <t>ALAT A</t>
  </si>
  <si>
    <t>ALAT B</t>
  </si>
  <si>
    <t>SULFUR MONOKSIDA</t>
  </si>
  <si>
    <t>a</t>
  </si>
  <si>
    <t>b</t>
  </si>
  <si>
    <t>Row 1</t>
  </si>
  <si>
    <t>Row 2</t>
  </si>
  <si>
    <t>c</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</si>
  <si>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</si>
  <si>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</si>
  <si>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</si>
  <si>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</si>
  <si>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</si>
  <si>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</si>
  <si>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</si>
  <si>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</si>
  <si>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</si>
  <si>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</si>
  <si>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</si>
  <si>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</si>
  <si>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</si>
  <si>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</si>
  <si>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</si>
  <si>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</si>
  <si>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</si>
  <si>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</si>
  <si>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</si>
  <si>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</si>
  <si>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</si>
  <si>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</si>
  <si>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</si>
  <si>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</si>
  <si>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</si>
  <si>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X Variable 2</t>
  </si>
  <si>
    <t>X Variable 3</t>
  </si>
  <si>
    <t>X Variable 4</t>
  </si>
  <si>
    <t>X Variable 5</t>
  </si>
  <si>
    <t>X Variable 6</t>
  </si>
  <si>
    <t>X Variable 7</t>
  </si>
  <si>
    <t>X Variable 8</t>
  </si>
  <si>
    <t>X Variable 9</t>
  </si>
  <si>
    <t>X Variable 10</t>
  </si>
  <si>
    <t>X Variable 11</t>
  </si>
  <si>
    <t>model regresi</t>
  </si>
  <si>
    <t>TOTAL</t>
  </si>
  <si>
    <t>Durasi rawat inap</t>
  </si>
  <si>
    <t>Ho : miu = 7</t>
  </si>
  <si>
    <t>H1 : miu &gt; 7</t>
  </si>
  <si>
    <t>alpha</t>
  </si>
  <si>
    <t>daerah penolakan</t>
  </si>
  <si>
    <t>Zhit &gt; Z alpha</t>
  </si>
  <si>
    <t>z-Test: Two Sample for Means</t>
  </si>
  <si>
    <t>Variable 1</t>
  </si>
  <si>
    <t>Variable 2</t>
  </si>
  <si>
    <t>Mean</t>
  </si>
  <si>
    <t>Known Variance</t>
  </si>
  <si>
    <t>Hypothesized Mean Difference</t>
  </si>
  <si>
    <t>z</t>
  </si>
  <si>
    <t>P(Z&lt;=z) one-tail</t>
  </si>
  <si>
    <t>z Critical one-tail</t>
  </si>
  <si>
    <t>P(Z&lt;=z) two-tail</t>
  </si>
  <si>
    <t>z Critical two-tail</t>
  </si>
  <si>
    <t>-0,6 &lt; 1,64</t>
  </si>
  <si>
    <t>gagal tolak Ho</t>
  </si>
  <si>
    <t>durasi rawat inap pasien di rumah sakit tersebut tidak lebih dari 7 hari</t>
  </si>
  <si>
    <t xml:space="preserve">Perbedaan signifikan </t>
  </si>
  <si>
    <t xml:space="preserve">Daerah penolakan </t>
  </si>
  <si>
    <t>(1-p value) &lt; alfa</t>
  </si>
  <si>
    <t>0,8 &gt; 0,05</t>
  </si>
  <si>
    <t>Zhit &gt; Z alpha/2</t>
  </si>
  <si>
    <t>MANDIRI</t>
  </si>
  <si>
    <t>Ho : p1 - p2 = 0</t>
  </si>
  <si>
    <t>H1 : p1 - p2 =! 0</t>
  </si>
  <si>
    <t>BPJS 1</t>
  </si>
  <si>
    <t>2,34&gt;0,01</t>
  </si>
  <si>
    <t>TOLAK Ho</t>
  </si>
  <si>
    <t>p1-p2 =! 0</t>
  </si>
  <si>
    <t>terdapat perbedaan yang signifikan anatara jumlah pasien mandiri dan bpjs</t>
  </si>
  <si>
    <t>16/7/2018</t>
  </si>
  <si>
    <t>16/8/2018</t>
  </si>
  <si>
    <t>26/7/2018</t>
  </si>
  <si>
    <t>24/8/2018</t>
  </si>
  <si>
    <t>22/7/2018</t>
  </si>
  <si>
    <t>20/8/2018</t>
  </si>
  <si>
    <t>25/7/2018</t>
  </si>
  <si>
    <t>28/8/2018</t>
  </si>
  <si>
    <t>30/7/2018</t>
  </si>
  <si>
    <t>31/8/2018</t>
  </si>
  <si>
    <t>28/7/2018</t>
  </si>
  <si>
    <t>20/6/2018</t>
  </si>
  <si>
    <t>20/7/2018</t>
  </si>
  <si>
    <t>22/8/2018</t>
  </si>
  <si>
    <t>19/7/2018</t>
  </si>
  <si>
    <t>25/8/2018</t>
  </si>
  <si>
    <t>15/7/2018</t>
  </si>
  <si>
    <t>23/7/2018</t>
  </si>
  <si>
    <t>26/8/2018</t>
  </si>
  <si>
    <t>18/7/2018</t>
  </si>
  <si>
    <t>21/8/2018</t>
  </si>
  <si>
    <t>19/8/2018</t>
  </si>
  <si>
    <t>15/6/2018</t>
  </si>
  <si>
    <t>30/8/2018</t>
  </si>
  <si>
    <t>17/7/2018</t>
  </si>
  <si>
    <t>29/8/2018</t>
  </si>
  <si>
    <t>24/7/2018</t>
  </si>
  <si>
    <t>13/7/2018</t>
  </si>
  <si>
    <t>13/8/2018</t>
  </si>
  <si>
    <t>26/6/2018</t>
  </si>
  <si>
    <t>18/6/2018</t>
  </si>
  <si>
    <t>14/6/2018</t>
  </si>
  <si>
    <t>16/6/2018</t>
  </si>
  <si>
    <t>14/8/2018</t>
  </si>
  <si>
    <t>29/7/2018</t>
  </si>
  <si>
    <t>17/8/2018</t>
  </si>
  <si>
    <t>30/6/2018</t>
  </si>
  <si>
    <t>31/7/2018</t>
  </si>
  <si>
    <t>14/7/2020</t>
  </si>
  <si>
    <t>14/8/2020</t>
  </si>
  <si>
    <t>28/6/2020</t>
  </si>
  <si>
    <t>29/7/2020</t>
  </si>
  <si>
    <t>30/7/2020</t>
  </si>
  <si>
    <t>30/8/2020</t>
  </si>
  <si>
    <t>15/7/2020</t>
  </si>
  <si>
    <t>20/8/2020</t>
  </si>
  <si>
    <t>19/6/2020</t>
  </si>
  <si>
    <t>20/7/2020</t>
  </si>
  <si>
    <t>15/6/2020</t>
  </si>
  <si>
    <t>19/7/2020</t>
  </si>
  <si>
    <t>14/6/2020</t>
  </si>
  <si>
    <t>17/7/2020</t>
  </si>
  <si>
    <t>18/6/2020</t>
  </si>
  <si>
    <t>18/7/2020</t>
  </si>
  <si>
    <t>16/7/2020</t>
  </si>
  <si>
    <t>19/8/2020</t>
  </si>
  <si>
    <t>23/6/2020</t>
  </si>
  <si>
    <t>25/7/2020</t>
  </si>
  <si>
    <t>13/7/2020</t>
  </si>
  <si>
    <t>13/8/2020</t>
  </si>
  <si>
    <t>21/7/2020</t>
  </si>
  <si>
    <t>21/8/2020</t>
  </si>
  <si>
    <t>20/6/2020</t>
  </si>
  <si>
    <t>22/6/2020</t>
  </si>
  <si>
    <t>25/8/2020</t>
  </si>
  <si>
    <t>23/7/2020</t>
  </si>
  <si>
    <t>17/6/2020</t>
  </si>
  <si>
    <t>28/7/2020</t>
  </si>
  <si>
    <t>25/6/2020</t>
  </si>
  <si>
    <t>21/6/2019</t>
  </si>
  <si>
    <t>23/7/2019</t>
  </si>
  <si>
    <t>26/6/2019</t>
  </si>
  <si>
    <t>29/7/2019</t>
  </si>
  <si>
    <t>14/7/2019</t>
  </si>
  <si>
    <t>14/8/2019</t>
  </si>
  <si>
    <t>28/6/2019</t>
  </si>
  <si>
    <t>30/7/2019</t>
  </si>
  <si>
    <t>23/6/2019</t>
  </si>
  <si>
    <t>26/7/2019</t>
  </si>
  <si>
    <t>19/8/2019</t>
  </si>
  <si>
    <t>28/7/2019</t>
  </si>
  <si>
    <t>29/8/2019</t>
  </si>
  <si>
    <t>20/6/2019</t>
  </si>
  <si>
    <t>25/7/2019</t>
  </si>
  <si>
    <t>29/6/2019</t>
  </si>
  <si>
    <t>24/7/2019</t>
  </si>
  <si>
    <t>25/8/2019</t>
  </si>
  <si>
    <t>24/6/2019</t>
  </si>
  <si>
    <t>18/7/2019</t>
  </si>
  <si>
    <t>24/8/2019</t>
  </si>
  <si>
    <t>13/8/2019</t>
  </si>
  <si>
    <t>30/6/2019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</si>
</sst>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
    <numFmt numFmtId="167" formatCode="0.000"/>
  </numFmts>
  <fonts count="38">
    <font>
      <sz val="11"/>
      <color theme="1"/>
      <name val="Calibri"/>
      <family val="2"/>
      <scheme val="minor"/>
    </font>
    <font>
      <sz val="10"/>
      <color rgb="FF000000"/>
      <name val="Times New Roman"/>
      <family val="1"/>
    </font>
    <font>
      <sz val="11"/>
      <name val="Carlito"/>
    </font>
    <font>
      <sz val="11"/>
      <color rgb="FF000000"/>
      <name val="Carlito"/>
      <family val="2"/>
    </font>
    <font>
      <sz val="11"/>
      <name val="Carlito"/>
      <family val="2"/>
    </font>
    <font>
      <sz val="12"/>
      <name val="Times New Roman"/>
      <family val="1"/>
    </font>
    <font>
      <sz val="12"/>
      <color rgb="FF000000"/>
      <name val="Times New Roman"/>
      <family val="2"/>
    </font>
    <font>
      <sz val="10"/>
      <color rgb="FF000000"/>
      <name val="Times New Roman"/>
      <family val="1"/>
    </font>
    <font>
      <sz val="12"/>
      <color theme="1"/>
      <name val="Calibri"/>
      <family val="2"/>
      <scheme val="minor"/>
    </font>
    <font>
      <sz val="12"/>
      <color rgb="FF000000"/>
      <name val="Times New Roman"/>
      <family val="1"/>
    </font>
    <font>
      <sz val="12"/>
      <color theme="1"/>
      <name val="Times New Roman"/>
      <family val="1"/>
    </font>
    <font>
      <sz val="11"/>
      <color theme="1"/>
      <name val="Calibri"/>
      <family val="2"/>
      <scheme val="minor"/>
    </font>
    <font>
      <b/>
      <sz val="11"/>
      <color theme="1"/>
      <name val="Calibri"/>
      <family val="2"/>
      <scheme val="minor"/>
    </font>
    <font>
      <sz val="7"/>
      <color theme="1"/>
      <name val="Times New Roman"/>
      <family val="1"/>
    </font>
    <font>
      <sz val="11"/>
      <color theme="1"/>
      <name val="Calibri"/>
      <family val="2"/>
      <charset val="1"/>
      <scheme val="minor"/>
    </font>
    <font>
      <sz val="10"/>
      <color rgb="FF000000"/>
      <name val="Times New Roman"/>
      <family val="1"/>
    </font>
    <font>
      <sz val="10"/>
      <name val="Arial"/>
      <family val="2"/>
    </font>
    <font>
      <sz val="10"/>
      <color rgb="FF000000"/>
      <name val="Arial"/>
      <family val="2"/>
    </font>
    <font>
      <sz val="10.5"/>
      <name val="Arial"/>
      <family val="2"/>
    </font>
    <font>
      <sz val="10.5"/>
      <color rgb="FF000000"/>
      <name val="Arial"/>
      <family val="2"/>
    </font>
    <font>
      <b/>
      <sz val="10.5"/>
      <name val="Arial"/>
      <family val="2"/>
    </font>
    <font>
      <sz val="10.5"/>
      <name val="Arial"/>
      <family val="2"/>
    </font>
    <font>
      <sz val="12"/>
      <name val="Arial"/>
      <family val="2"/>
    </font>
    <font>
      <b/>
      <sz val="12"/>
      <name val="Liberation Sans Narrow"/>
    </font>
    <font>
      <sz val="9"/>
      <name val="Liberation Sans Narrow"/>
    </font>
    <font>
      <sz val="9"/>
      <color rgb="FF000000"/>
      <name val="Liberation Sans Narrow"/>
      <family val="2"/>
    </font>
    <font>
      <sz val="11"/>
      <name val="Liberation Sans Narrow"/>
    </font>
    <font>
      <sz val="12"/>
      <name val="Liberation Sans Narrow"/>
    </font>
    <font>
      <sz val="12"/>
      <color rgb="FF000000"/>
      <name val="Liberation Sans Narrow"/>
      <family val="2"/>
    </font>
    <font>
      <sz val="10"/>
      <name val="Trebuchet MS"/>
      <family val="2"/>
    </font>
    <font>
      <sz val="10"/>
      <color rgb="FF000000"/>
      <name val="Trebuchet MS"/>
      <family val="2"/>
    </font>
    <font>
      <sz val="11"/>
      <name val="Liberation Sans Narrow"/>
      <family val="2"/>
    </font>
    <font>
      <b/>
      <sz val="12"/>
      <name val="Liberation Sans Narrow"/>
      <family val="2"/>
    </font>
    <font>
      <sz val="12"/>
      <name val="Liberation Sans Narrow"/>
      <family val="2"/>
    </font>
    <font>
      <sz val="9"/>
      <name val="Liberation Sans Narrow"/>
      <family val="2"/>
    </font>
    <font>
      <b/>
      <sz val="11"/>
      <name val="Liberation Sans Narrow"/>
      <family val="2"/>
    </font>
    <font>
      <i/>
      <sz val="11"/>
      <color theme="1"/>
      <name val="Calibri"/>
      <family val="2"/>
      <scheme val="minor"/>
    </font>
    <font>
      <sz val="11"/>
      <color theme="1"/>
      <name val="Times New Roman"/>
      <family val="1"/>
    </font>
  </fonts>
  <fills count="9">
    <fill>
      <patternFill patternType="none"/>
    </fill>
    <fill>
      <patternFill patternType="gray125"/>
    </fill>
    <fill>
      <patternFill patternType="solid">
        <fgColor rgb="FFC5DFB4"/>
      </patternFill>
    </fill>
    <fill>
      <patternFill patternType="solid">
        <fgColor rgb="FFA9D08E"/>
      </patternFill>
    </fill>
    <fill>
      <patternFill patternType="solid">
        <fgColor rgb="FFA8D08D"/>
      </patternFill>
    </fill>
    <fill>
      <patternFill patternType="solid">
        <fgColor theme="9" tint="0.39997558519241921"/>
        <bgColor indexed="64"/>
      </patternFill>
    </fill>
    <fill>
      <patternFill patternType="solid">
        <fgColor rgb="FF5B9BD4"/>
      </patternFill>
    </fill>
    <fill>
      <patternFill patternType="solid">
        <fgColor rgb="FF9CC3E6"/>
      </patternFill>
    </fill>
    <fill>
      <patternFill patternType="solid">
        <fgColor rgb="FFFFFF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
      <left style="thin">
        <color rgb="FF000000"/>
      </left>
      <right/>
      <top/>
      <bottom/>
      <diagonal/>
    </border>
    <border>
      <left/>
      <right/>
      <top/>
      <bottom style="thin">
        <color rgb="FF000000"/>
      </bottom>
      <diagonal/>
    </border>
    <border>
      <left style="thin">
        <color rgb="FF000000"/>
      </left>
      <right style="thin">
        <color rgb="FF000000"/>
      </right>
      <top/>
      <bottom/>
      <diagonal/>
    </border>
    <border>
      <left style="thin">
        <color theme="1"/>
      </left>
      <right style="thin">
        <color theme="1"/>
      </right>
      <top style="thin">
        <color theme="1"/>
      </top>
      <bottom style="thin">
        <color theme="1"/>
      </bottom>
      <diagonal/>
    </border>
    <border>
      <left style="thin">
        <color theme="1"/>
      </left>
      <right/>
      <top style="thin">
        <color theme="1"/>
      </top>
      <bottom style="hair">
        <color theme="1"/>
      </bottom>
      <diagonal/>
    </border>
    <border>
      <left style="thin">
        <color theme="1"/>
      </left>
      <right/>
      <top style="thin">
        <color theme="1"/>
      </top>
      <bottom style="thin">
        <color theme="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s>
  <cellStyleXfs count="7">
    <xf numFmtId="0" fontId="0" fillId="0" borderId="0"/>
    <xf numFmtId="0" fontId="1" fillId="0" borderId="0"/>
    <xf numFmtId="0" fontId="7" fillId="0" borderId="0"/>
    <xf numFmtId="0" fontId="14" fillId="0" borderId="0"/>
    <xf numFmtId="164" fontId="14" fillId="0" borderId="0" applyFont="0" applyFill="0" applyBorder="0" applyAlignment="0" applyProtection="0"/>
    <xf numFmtId="0" fontId="11" fillId="0" borderId="0"/>
    <xf numFmtId="0" fontId="15" fillId="0" borderId="0"/>
  </cellStyleXfs>
  <cellXfs count="293">
    <xf numFmtId="0" fontId="0" fillId="0" borderId="0" xfId="0"/>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xf numFmtId="0" fontId="2" fillId="2" borderId="2" xfId="1" applyFont="1" applyFill="1" applyBorder="1" applyAlignment="1">
      <alignment horizontal="left" vertical="top" wrapText="1" indent="2"/>
    </xf>
    <xf numFmtId="0" fontId="2" fillId="2" borderId="2" xfId="1" applyFont="1" applyFill="1" applyBorder="1" applyAlignment="1">
      <alignment horizontal="center" vertical="top" wrapText="1"/>
    </xf>
    <xf numFmtId="0" fontId="2" fillId="2" borderId="2" xfId="1" applyFont="1" applyFill="1" applyBorder="1" applyAlignment="1">
      <alignment horizontal="left" vertical="top" wrapText="1" indent="1"/>
    </xf>
    <xf numFmtId="0" fontId="2" fillId="2" borderId="2" xfId="1" applyFont="1" applyFill="1" applyBorder="1" applyAlignment="1">
      <alignment horizontal="left" vertical="top" wrapText="1" indent="3"/>
    </xf>
    <xf numFmtId="1" fontId="3" fillId="0" borderId="2" xfId="1" applyNumberFormat="1" applyFont="1" applyBorder="1" applyAlignment="1">
      <alignment horizontal="center" vertical="top" shrinkToFit="1"/>
    </xf>
    <xf numFmtId="1" fontId="3" fillId="0" borderId="6" xfId="1" applyNumberFormat="1" applyFont="1" applyBorder="1" applyAlignment="1">
      <alignment horizontal="center" vertical="top" shrinkToFit="1"/>
    </xf>
    <xf numFmtId="0" fontId="2" fillId="0" borderId="2" xfId="1" applyFont="1" applyBorder="1" applyAlignment="1">
      <alignment horizontal="right" vertical="top" wrapText="1" indent="1"/>
    </xf>
    <xf numFmtId="0" fontId="2" fillId="0" borderId="2" xfId="1" applyFont="1" applyBorder="1" applyAlignment="1">
      <alignment horizontal="left" vertical="top" wrapText="1" indent="2"/>
    </xf>
    <xf numFmtId="0" fontId="2" fillId="0" borderId="2" xfId="1" applyFont="1" applyBorder="1" applyAlignment="1">
      <alignment horizontal="center" vertical="top" wrapText="1"/>
    </xf>
    <xf numFmtId="0" fontId="2" fillId="0" borderId="2" xfId="1" applyFont="1" applyBorder="1" applyAlignment="1">
      <alignment horizontal="left" vertical="top" wrapText="1"/>
    </xf>
    <xf numFmtId="1" fontId="3" fillId="0" borderId="2" xfId="1" applyNumberFormat="1" applyFont="1" applyBorder="1" applyAlignment="1">
      <alignment horizontal="right" vertical="top" shrinkToFit="1"/>
    </xf>
    <xf numFmtId="0" fontId="1" fillId="0" borderId="2" xfId="1" applyBorder="1" applyAlignment="1">
      <alignment horizontal="left" wrapText="1"/>
    </xf>
    <xf numFmtId="0" fontId="2" fillId="3" borderId="2" xfId="1" applyFont="1" applyFill="1" applyBorder="1" applyAlignment="1">
      <alignment horizontal="left" vertical="top" wrapText="1"/>
    </xf>
    <xf numFmtId="0" fontId="2" fillId="3" borderId="2" xfId="1" applyFont="1" applyFill="1" applyBorder="1" applyAlignment="1">
      <alignment horizontal="right" vertical="top" wrapText="1"/>
    </xf>
    <xf numFmtId="0" fontId="2" fillId="4" borderId="2" xfId="1" applyFont="1" applyFill="1" applyBorder="1" applyAlignment="1">
      <alignment horizontal="center" vertical="top" wrapText="1"/>
    </xf>
    <xf numFmtId="0" fontId="1" fillId="0" borderId="12" xfId="1" applyBorder="1" applyAlignment="1">
      <alignment vertical="top" wrapText="1"/>
    </xf>
    <xf numFmtId="0" fontId="1" fillId="0" borderId="0" xfId="1" applyAlignment="1">
      <alignment vertical="top" wrapText="1"/>
    </xf>
    <xf numFmtId="0" fontId="1" fillId="0" borderId="11" xfId="1" applyBorder="1" applyAlignment="1">
      <alignment vertical="top" wrapText="1"/>
    </xf>
    <xf numFmtId="0" fontId="1" fillId="0" borderId="13" xfId="1" applyBorder="1" applyAlignment="1">
      <alignment vertical="top" wrapText="1"/>
    </xf>
    <xf numFmtId="0" fontId="4" fillId="0" borderId="2" xfId="1" applyFont="1" applyBorder="1" applyAlignment="1">
      <alignment horizontal="right" vertical="top" wrapText="1" indent="1"/>
    </xf>
    <xf numFmtId="0" fontId="1" fillId="0" borderId="2" xfId="1" applyBorder="1" applyAlignment="1">
      <alignment horizontal="center" wrapText="1"/>
    </xf>
    <xf numFmtId="14" fontId="0" fillId="0" borderId="1" xfId="0" applyNumberFormat="1" applyBorder="1" applyAlignment="1">
      <alignment horizontal="center" vertical="center"/>
    </xf>
    <xf numFmtId="0" fontId="1" fillId="5" borderId="2" xfId="1" applyFill="1" applyBorder="1" applyAlignment="1">
      <alignment horizontal="center" vertical="top" wrapText="1"/>
    </xf>
    <xf numFmtId="0" fontId="2" fillId="5" borderId="2" xfId="1" applyFont="1" applyFill="1" applyBorder="1" applyAlignment="1">
      <alignment horizontal="center" vertical="top" wrapText="1"/>
    </xf>
    <xf numFmtId="0" fontId="1" fillId="5" borderId="2" xfId="1" applyFill="1" applyBorder="1" applyAlignment="1">
      <alignment horizontal="center" wrapText="1"/>
    </xf>
    <xf numFmtId="0" fontId="5" fillId="0" borderId="2" xfId="2" applyFont="1" applyBorder="1" applyAlignment="1">
      <alignment horizontal="left" vertical="top" wrapText="1"/>
    </xf>
    <xf numFmtId="0" fontId="5" fillId="0" borderId="0" xfId="1" applyFont="1" applyAlignment="1">
      <alignment horizontal="center" vertical="top" wrapText="1"/>
    </xf>
    <xf numFmtId="0" fontId="5" fillId="0" borderId="2" xfId="1" applyFont="1" applyBorder="1" applyAlignment="1">
      <alignment horizontal="left" vertical="top" wrapText="1"/>
    </xf>
    <xf numFmtId="2" fontId="1" fillId="0" borderId="2" xfId="1" applyNumberFormat="1" applyBorder="1" applyAlignment="1">
      <alignment horizontal="center" wrapText="1"/>
    </xf>
    <xf numFmtId="0" fontId="8" fillId="0" borderId="0" xfId="0" applyFont="1"/>
    <xf numFmtId="1" fontId="9" fillId="0" borderId="2" xfId="1" applyNumberFormat="1" applyFont="1" applyBorder="1" applyAlignment="1">
      <alignment horizontal="right" vertical="top" shrinkToFit="1"/>
    </xf>
    <xf numFmtId="1" fontId="9" fillId="0" borderId="2" xfId="1" applyNumberFormat="1" applyFont="1" applyBorder="1" applyAlignment="1">
      <alignment horizontal="right" vertical="top" indent="2" shrinkToFit="1"/>
    </xf>
    <xf numFmtId="0" fontId="9" fillId="0" borderId="0" xfId="2" applyFont="1" applyAlignment="1">
      <alignment horizontal="left" vertical="top" wrapText="1"/>
    </xf>
    <xf numFmtId="0" fontId="10" fillId="0" borderId="0" xfId="0" applyFont="1" applyAlignment="1">
      <alignment horizontal="center"/>
    </xf>
    <xf numFmtId="0" fontId="5" fillId="0" borderId="3" xfId="2" applyFont="1" applyBorder="1" applyAlignment="1">
      <alignment horizontal="left" vertical="top" wrapText="1"/>
    </xf>
    <xf numFmtId="0" fontId="5" fillId="0" borderId="17" xfId="2" applyFont="1" applyBorder="1" applyAlignment="1">
      <alignment horizontal="left" vertical="top" wrapText="1"/>
    </xf>
    <xf numFmtId="0" fontId="8" fillId="0" borderId="17" xfId="0" applyFont="1" applyBorder="1"/>
    <xf numFmtId="1" fontId="6" fillId="0" borderId="17" xfId="2" applyNumberFormat="1" applyFont="1" applyBorder="1" applyAlignment="1">
      <alignment horizontal="left" vertical="top" shrinkToFit="1"/>
    </xf>
    <xf numFmtId="166" fontId="6" fillId="0" borderId="17" xfId="2" applyNumberFormat="1" applyFont="1" applyBorder="1" applyAlignment="1">
      <alignment horizontal="left" vertical="top" shrinkToFit="1"/>
    </xf>
    <xf numFmtId="0" fontId="5" fillId="0" borderId="19" xfId="2" applyFont="1" applyBorder="1" applyAlignment="1">
      <alignment horizontal="left" vertical="top" wrapText="1"/>
    </xf>
    <xf numFmtId="0" fontId="5" fillId="0" borderId="17" xfId="2" applyFont="1" applyBorder="1" applyAlignment="1">
      <alignment horizontal="center" vertical="center" wrapText="1"/>
    </xf>
    <xf numFmtId="1" fontId="6" fillId="0" borderId="17" xfId="2" applyNumberFormat="1" applyFont="1" applyBorder="1" applyAlignment="1">
      <alignment horizontal="center" vertical="top" shrinkToFit="1"/>
    </xf>
    <xf numFmtId="166" fontId="9" fillId="0" borderId="2" xfId="1" quotePrefix="1" applyNumberFormat="1" applyFont="1" applyBorder="1" applyAlignment="1">
      <alignment horizontal="left" vertical="top" shrinkToFit="1"/>
    </xf>
    <xf numFmtId="0" fontId="10" fillId="0" borderId="0" xfId="0" applyFont="1" applyAlignment="1">
      <alignment vertical="center"/>
    </xf>
    <xf numFmtId="1" fontId="6" fillId="0" borderId="5" xfId="2" applyNumberFormat="1" applyFont="1" applyBorder="1" applyAlignment="1">
      <alignment horizontal="center" vertical="top" shrinkToFit="1"/>
    </xf>
    <xf numFmtId="0" fontId="9" fillId="0" borderId="2" xfId="1" applyFont="1" applyBorder="1" applyAlignment="1">
      <alignment horizontal="right" vertical="top" shrinkToFit="1"/>
    </xf>
    <xf numFmtId="0" fontId="11" fillId="0" borderId="1" xfId="5" applyBorder="1"/>
    <xf numFmtId="0" fontId="11" fillId="0" borderId="20" xfId="5" applyBorder="1" applyAlignment="1">
      <alignment horizontal="center" vertical="center" wrapText="1"/>
    </xf>
    <xf numFmtId="0" fontId="11" fillId="0" borderId="21" xfId="5" applyBorder="1" applyAlignment="1">
      <alignment horizontal="center" vertical="center" wrapText="1"/>
    </xf>
    <xf numFmtId="1" fontId="11" fillId="0" borderId="1" xfId="5" applyNumberFormat="1" applyBorder="1"/>
    <xf numFmtId="1" fontId="6" fillId="0" borderId="24" xfId="2" applyNumberFormat="1" applyFont="1" applyBorder="1" applyAlignment="1">
      <alignment horizontal="center" vertical="top" shrinkToFit="1"/>
    </xf>
    <xf numFmtId="0" fontId="5" fillId="0" borderId="9" xfId="2" applyFont="1" applyBorder="1" applyAlignment="1">
      <alignment vertical="center" wrapText="1"/>
    </xf>
    <xf numFmtId="0" fontId="5" fillId="0" borderId="18" xfId="2" applyFont="1" applyBorder="1" applyAlignment="1">
      <alignment vertical="center" wrapText="1"/>
    </xf>
    <xf numFmtId="0" fontId="5" fillId="0" borderId="17" xfId="2" applyFont="1" applyBorder="1" applyAlignment="1">
      <alignment vertical="center" wrapText="1"/>
    </xf>
    <xf numFmtId="0" fontId="5" fillId="0" borderId="11" xfId="2" applyFont="1" applyBorder="1" applyAlignment="1">
      <alignment vertical="center" wrapText="1"/>
    </xf>
    <xf numFmtId="0" fontId="5" fillId="0" borderId="10" xfId="2" applyFont="1" applyBorder="1" applyAlignment="1">
      <alignment vertical="center" wrapText="1"/>
    </xf>
    <xf numFmtId="0" fontId="0" fillId="0" borderId="0" xfId="0" applyAlignment="1">
      <alignment horizontal="left"/>
    </xf>
    <xf numFmtId="0" fontId="0" fillId="0" borderId="0" xfId="0" pivotButton="1" applyAlignment="1">
      <alignment wrapText="1"/>
    </xf>
    <xf numFmtId="0" fontId="0" fillId="0" borderId="0" xfId="0" applyAlignment="1">
      <alignment wrapText="1"/>
    </xf>
    <xf numFmtId="0" fontId="0" fillId="0" borderId="1" xfId="0" applyBorder="1" applyAlignment="1">
      <alignment horizontal="center"/>
    </xf>
    <xf numFmtId="0" fontId="10" fillId="0" borderId="1" xfId="0" applyFont="1" applyBorder="1" applyAlignment="1">
      <alignment vertical="center"/>
    </xf>
    <xf numFmtId="9" fontId="0" fillId="0" borderId="1" xfId="0" applyNumberFormat="1" applyBorder="1"/>
    <xf numFmtId="0" fontId="0" fillId="0" borderId="0" xfId="0" applyAlignment="1">
      <alignment horizontal="center"/>
    </xf>
    <xf numFmtId="14" fontId="0" fillId="0" borderId="1" xfId="0" applyNumberFormat="1" applyBorder="1" applyAlignment="1">
      <alignment horizontal="center"/>
    </xf>
    <xf numFmtId="0" fontId="10" fillId="0" borderId="0" xfId="0" applyFont="1" applyAlignment="1">
      <alignment horizontal="center" vertical="center"/>
    </xf>
    <xf numFmtId="0" fontId="0" fillId="0" borderId="25" xfId="0" applyBorder="1" applyAlignment="1">
      <alignment horizontal="center"/>
    </xf>
    <xf numFmtId="0" fontId="0" fillId="0" borderId="26" xfId="0" applyBorder="1"/>
    <xf numFmtId="0" fontId="0" fillId="0" borderId="27" xfId="0" applyBorder="1"/>
    <xf numFmtId="0" fontId="0" fillId="0" borderId="28" xfId="0" applyBorder="1" applyAlignment="1">
      <alignment horizontal="center"/>
    </xf>
    <xf numFmtId="0" fontId="0" fillId="0" borderId="29" xfId="0" applyBorder="1"/>
    <xf numFmtId="0" fontId="0" fillId="0" borderId="30" xfId="0" applyBorder="1" applyAlignment="1">
      <alignment horizontal="center"/>
    </xf>
    <xf numFmtId="0" fontId="0" fillId="0" borderId="31" xfId="0" applyBorder="1"/>
    <xf numFmtId="0" fontId="0" fillId="0" borderId="32" xfId="0" applyBorder="1"/>
    <xf numFmtId="0" fontId="10" fillId="0" borderId="0" xfId="0" applyFont="1" applyAlignment="1">
      <alignment horizontal="left" vertical="center"/>
    </xf>
    <xf numFmtId="0" fontId="0" fillId="0" borderId="0" xfId="0" pivotButton="1"/>
    <xf numFmtId="0" fontId="11" fillId="0" borderId="1" xfId="5" applyBorder="1" applyAlignment="1">
      <alignment horizontal="center"/>
    </xf>
    <xf numFmtId="167" fontId="11" fillId="0" borderId="1" xfId="5" applyNumberFormat="1" applyBorder="1" applyAlignment="1">
      <alignment horizontal="center"/>
    </xf>
    <xf numFmtId="0" fontId="11" fillId="0" borderId="1" xfId="5" applyBorder="1" applyAlignment="1">
      <alignment horizontal="center" vertical="center"/>
    </xf>
    <xf numFmtId="0" fontId="11" fillId="0" borderId="1" xfId="5" applyBorder="1" applyAlignment="1">
      <alignment horizontal="right" wrapText="1"/>
    </xf>
    <xf numFmtId="0" fontId="11" fillId="0" borderId="1" xfId="5" applyBorder="1" applyAlignment="1">
      <alignment horizontal="right"/>
    </xf>
    <xf numFmtId="1" fontId="11" fillId="0" borderId="17" xfId="5" applyNumberFormat="1" applyBorder="1"/>
    <xf numFmtId="1" fontId="14" fillId="0" borderId="17" xfId="3" applyNumberFormat="1" applyBorder="1"/>
    <xf numFmtId="0" fontId="16" fillId="0" borderId="2" xfId="6" applyFont="1" applyBorder="1" applyAlignment="1">
      <alignment horizontal="left" vertical="top" wrapText="1"/>
    </xf>
    <xf numFmtId="0" fontId="16" fillId="0" borderId="2" xfId="6" applyFont="1" applyBorder="1" applyAlignment="1">
      <alignment horizontal="center" vertical="top" wrapText="1"/>
    </xf>
    <xf numFmtId="0" fontId="16" fillId="0" borderId="2" xfId="6" applyFont="1" applyBorder="1" applyAlignment="1">
      <alignment horizontal="right" vertical="top" wrapText="1" indent="1"/>
    </xf>
    <xf numFmtId="0" fontId="15" fillId="0" borderId="2" xfId="6" applyBorder="1" applyAlignment="1">
      <alignment horizontal="left" wrapText="1"/>
    </xf>
    <xf numFmtId="1" fontId="17" fillId="0" borderId="2" xfId="6" applyNumberFormat="1" applyFont="1" applyBorder="1" applyAlignment="1">
      <alignment horizontal="center" vertical="top" shrinkToFit="1"/>
    </xf>
    <xf numFmtId="1" fontId="17" fillId="0" borderId="2" xfId="6" applyNumberFormat="1" applyFont="1" applyBorder="1" applyAlignment="1">
      <alignment horizontal="right" vertical="top" indent="1" shrinkToFit="1"/>
    </xf>
    <xf numFmtId="0" fontId="0" fillId="0" borderId="0" xfId="0" applyAlignment="1">
      <alignment vertical="top" wrapText="1"/>
    </xf>
    <xf numFmtId="0" fontId="18" fillId="0" borderId="2" xfId="6" applyFont="1" applyBorder="1" applyAlignment="1">
      <alignment horizontal="left" vertical="top" wrapText="1"/>
    </xf>
    <xf numFmtId="0" fontId="21" fillId="0" borderId="0" xfId="6" applyFont="1" applyAlignment="1">
      <alignment horizontal="left" vertical="top" wrapText="1" indent="6"/>
    </xf>
    <xf numFmtId="2" fontId="15" fillId="0" borderId="2" xfId="6" applyNumberFormat="1" applyBorder="1" applyAlignment="1">
      <alignment horizontal="left" wrapText="1"/>
    </xf>
    <xf numFmtId="165" fontId="15" fillId="0" borderId="2" xfId="6" applyNumberFormat="1" applyBorder="1" applyAlignment="1">
      <alignment horizontal="left" wrapText="1"/>
    </xf>
    <xf numFmtId="2" fontId="0" fillId="0" borderId="1" xfId="0" applyNumberFormat="1" applyBorder="1"/>
    <xf numFmtId="2" fontId="0" fillId="0" borderId="0" xfId="0" applyNumberFormat="1"/>
    <xf numFmtId="0" fontId="15" fillId="0" borderId="0" xfId="6" applyAlignment="1">
      <alignment horizontal="left" vertical="top"/>
    </xf>
    <xf numFmtId="0" fontId="15" fillId="0" borderId="5" xfId="6" applyBorder="1" applyAlignment="1">
      <alignment horizontal="left" wrapText="1"/>
    </xf>
    <xf numFmtId="0" fontId="18" fillId="0" borderId="12" xfId="6" applyFont="1" applyBorder="1" applyAlignment="1">
      <alignment horizontal="center" vertical="top" wrapText="1"/>
    </xf>
    <xf numFmtId="0" fontId="18" fillId="0" borderId="0" xfId="6" applyFont="1" applyAlignment="1">
      <alignment horizontal="center" vertical="top" wrapText="1"/>
    </xf>
    <xf numFmtId="1" fontId="19" fillId="0" borderId="6" xfId="6" applyNumberFormat="1" applyFont="1" applyBorder="1" applyAlignment="1">
      <alignment horizontal="center" vertical="top" shrinkToFit="1"/>
    </xf>
    <xf numFmtId="0" fontId="15" fillId="0" borderId="6" xfId="6" applyBorder="1" applyAlignment="1">
      <alignment horizontal="left" wrapText="1"/>
    </xf>
    <xf numFmtId="1" fontId="19" fillId="0" borderId="2" xfId="6" applyNumberFormat="1" applyFont="1" applyBorder="1" applyAlignment="1">
      <alignment horizontal="center" vertical="top" shrinkToFit="1"/>
    </xf>
    <xf numFmtId="0" fontId="18" fillId="0" borderId="3" xfId="6" applyFont="1" applyBorder="1" applyAlignment="1">
      <alignment horizontal="left" vertical="top" wrapText="1"/>
    </xf>
    <xf numFmtId="0" fontId="18" fillId="0" borderId="4" xfId="6" applyFont="1" applyBorder="1" applyAlignment="1">
      <alignment horizontal="left" vertical="top" wrapText="1"/>
    </xf>
    <xf numFmtId="0" fontId="18" fillId="0" borderId="5" xfId="6" applyFont="1" applyBorder="1" applyAlignment="1">
      <alignment horizontal="left" vertical="top" wrapText="1"/>
    </xf>
    <xf numFmtId="0" fontId="24" fillId="0" borderId="2" xfId="6" applyFont="1" applyBorder="1" applyAlignment="1">
      <alignment horizontal="left" vertical="top" wrapText="1" indent="1"/>
    </xf>
    <xf numFmtId="0" fontId="24" fillId="0" borderId="2" xfId="6" applyFont="1" applyBorder="1" applyAlignment="1">
      <alignment horizontal="left" vertical="center" wrapText="1"/>
    </xf>
    <xf numFmtId="0" fontId="24" fillId="0" borderId="2" xfId="6" applyFont="1" applyBorder="1" applyAlignment="1">
      <alignment horizontal="left" vertical="center" wrapText="1" indent="2"/>
    </xf>
    <xf numFmtId="0" fontId="24" fillId="0" borderId="2" xfId="6" applyFont="1" applyBorder="1" applyAlignment="1">
      <alignment horizontal="left" vertical="top" wrapText="1"/>
    </xf>
    <xf numFmtId="0" fontId="27" fillId="0" borderId="2" xfId="6" applyFont="1" applyBorder="1" applyAlignment="1">
      <alignment horizontal="left" vertical="top" wrapText="1" indent="2"/>
    </xf>
    <xf numFmtId="0" fontId="27" fillId="0" borderId="2" xfId="6" applyFont="1" applyBorder="1" applyAlignment="1">
      <alignment horizontal="left" vertical="top" wrapText="1"/>
    </xf>
    <xf numFmtId="0" fontId="27" fillId="0" borderId="2" xfId="6" applyFont="1" applyBorder="1" applyAlignment="1">
      <alignment horizontal="right" vertical="top" wrapText="1"/>
    </xf>
    <xf numFmtId="9" fontId="28" fillId="0" borderId="2" xfId="6" applyNumberFormat="1" applyFont="1" applyBorder="1" applyAlignment="1">
      <alignment horizontal="right" vertical="top" shrinkToFit="1"/>
    </xf>
    <xf numFmtId="0" fontId="26" fillId="0" borderId="0" xfId="6" applyFont="1" applyAlignment="1">
      <alignment horizontal="left" vertical="top" wrapText="1" indent="4"/>
    </xf>
    <xf numFmtId="1" fontId="30" fillId="0" borderId="2" xfId="6" applyNumberFormat="1" applyFont="1" applyBorder="1" applyAlignment="1">
      <alignment horizontal="center" vertical="top" shrinkToFit="1"/>
    </xf>
    <xf numFmtId="0" fontId="29" fillId="0" borderId="2" xfId="6" applyFont="1" applyBorder="1" applyAlignment="1">
      <alignment horizontal="center" vertical="top"/>
    </xf>
    <xf numFmtId="0" fontId="15" fillId="0" borderId="0" xfId="6" applyAlignment="1">
      <alignment horizontal="center" vertical="top"/>
    </xf>
    <xf numFmtId="0" fontId="0" fillId="0" borderId="33" xfId="0" applyBorder="1"/>
    <xf numFmtId="0" fontId="36" fillId="0" borderId="34" xfId="0" applyFont="1" applyBorder="1" applyAlignment="1">
      <alignment horizontal="center"/>
    </xf>
    <xf numFmtId="0" fontId="36" fillId="0" borderId="34" xfId="0" applyFont="1" applyBorder="1" applyAlignment="1">
      <alignment horizontal="centerContinuous"/>
    </xf>
    <xf numFmtId="0" fontId="0" fillId="8" borderId="0" xfId="0" applyFill="1"/>
    <xf numFmtId="0" fontId="15" fillId="0" borderId="7" xfId="6" applyBorder="1" applyAlignment="1">
      <alignment horizontal="left" wrapText="1"/>
    </xf>
    <xf numFmtId="0" fontId="15" fillId="0" borderId="8" xfId="6" applyBorder="1" applyAlignment="1">
      <alignment horizontal="left" wrapText="1"/>
    </xf>
    <xf numFmtId="0" fontId="18" fillId="6" borderId="9" xfId="6" applyFont="1" applyFill="1" applyBorder="1" applyAlignment="1">
      <alignment horizontal="center" vertical="center" wrapText="1"/>
    </xf>
    <xf numFmtId="4" fontId="28" fillId="0" borderId="3" xfId="6" applyNumberFormat="1" applyFont="1" applyBorder="1" applyAlignment="1">
      <alignment vertical="top" shrinkToFit="1"/>
    </xf>
    <xf numFmtId="4" fontId="28" fillId="0" borderId="4" xfId="6" applyNumberFormat="1" applyFont="1" applyBorder="1" applyAlignment="1">
      <alignment vertical="top" shrinkToFit="1"/>
    </xf>
    <xf numFmtId="1" fontId="8" fillId="0" borderId="0" xfId="0" applyNumberFormat="1" applyFont="1"/>
    <xf numFmtId="0" fontId="8" fillId="0" borderId="0" xfId="0" quotePrefix="1" applyFont="1"/>
    <xf numFmtId="14" fontId="0" fillId="0" borderId="0" xfId="0" applyNumberFormat="1"/>
    <xf numFmtId="14" fontId="0" fillId="0" borderId="35" xfId="0" applyNumberFormat="1" applyBorder="1" applyAlignment="1">
      <alignment wrapText="1"/>
    </xf>
    <xf numFmtId="14" fontId="37" fillId="0" borderId="36" xfId="0" applyNumberFormat="1" applyFont="1" applyBorder="1" applyAlignment="1">
      <alignment horizontal="center" vertical="center" wrapText="1"/>
    </xf>
    <xf numFmtId="14" fontId="37" fillId="0" borderId="37" xfId="0" applyNumberFormat="1" applyFont="1" applyBorder="1" applyAlignment="1">
      <alignment horizontal="center" vertical="center" wrapText="1"/>
    </xf>
    <xf numFmtId="0" fontId="2" fillId="2" borderId="3" xfId="1" applyFont="1" applyFill="1" applyBorder="1" applyAlignment="1">
      <alignment horizontal="left" vertical="top" wrapText="1" indent="2"/>
    </xf>
    <xf numFmtId="0" fontId="2" fillId="2" borderId="4" xfId="1" applyFont="1" applyFill="1" applyBorder="1" applyAlignment="1">
      <alignment horizontal="left" vertical="top" wrapText="1" indent="2"/>
    </xf>
    <xf numFmtId="0" fontId="2" fillId="2" borderId="3" xfId="1" applyFont="1" applyFill="1" applyBorder="1" applyAlignment="1">
      <alignment horizontal="left" vertical="top" wrapText="1" indent="1"/>
    </xf>
    <xf numFmtId="0" fontId="2" fillId="2" borderId="4" xfId="1" applyFont="1" applyFill="1" applyBorder="1" applyAlignment="1">
      <alignment horizontal="left" vertical="top" wrapText="1" indent="1"/>
    </xf>
    <xf numFmtId="0" fontId="2" fillId="0" borderId="3" xfId="1" applyFont="1" applyBorder="1" applyAlignment="1">
      <alignment horizontal="left" vertical="top" wrapText="1"/>
    </xf>
    <xf numFmtId="0" fontId="2" fillId="0" borderId="4" xfId="1" applyFont="1" applyBorder="1" applyAlignment="1">
      <alignment horizontal="left" vertical="top" wrapText="1"/>
    </xf>
    <xf numFmtId="1" fontId="1" fillId="0" borderId="3" xfId="1" applyNumberFormat="1" applyBorder="1" applyAlignment="1">
      <alignment horizontal="left" wrapText="1"/>
    </xf>
    <xf numFmtId="0" fontId="1" fillId="0" borderId="4" xfId="1" applyBorder="1" applyAlignment="1">
      <alignment horizontal="left" wrapText="1"/>
    </xf>
    <xf numFmtId="0" fontId="2" fillId="2" borderId="3" xfId="1" applyFont="1" applyFill="1" applyBorder="1" applyAlignment="1">
      <alignment horizontal="center" vertical="top" wrapText="1"/>
    </xf>
    <xf numFmtId="0" fontId="2" fillId="2" borderId="4" xfId="1" applyFont="1" applyFill="1" applyBorder="1" applyAlignment="1">
      <alignment horizontal="center" vertical="top" wrapText="1"/>
    </xf>
    <xf numFmtId="1" fontId="3" fillId="0" borderId="3" xfId="1" applyNumberFormat="1" applyFont="1" applyBorder="1" applyAlignment="1">
      <alignment horizontal="center" vertical="top" shrinkToFit="1"/>
    </xf>
    <xf numFmtId="1" fontId="3" fillId="0" borderId="4" xfId="1" applyNumberFormat="1" applyFont="1" applyBorder="1" applyAlignment="1">
      <alignment horizontal="center" vertical="top" shrinkToFit="1"/>
    </xf>
    <xf numFmtId="0" fontId="1" fillId="0" borderId="3" xfId="1" applyBorder="1" applyAlignment="1">
      <alignment horizontal="left" wrapText="1"/>
    </xf>
    <xf numFmtId="0" fontId="1" fillId="0" borderId="10" xfId="1" applyBorder="1" applyAlignment="1">
      <alignment horizontal="center" vertical="center" wrapText="1"/>
    </xf>
    <xf numFmtId="0" fontId="1" fillId="0" borderId="11" xfId="1" applyBorder="1" applyAlignment="1">
      <alignment horizontal="center" vertical="center" wrapText="1"/>
    </xf>
    <xf numFmtId="0" fontId="1" fillId="0" borderId="14" xfId="1" applyBorder="1" applyAlignment="1">
      <alignment horizontal="center" vertical="center" wrapText="1"/>
    </xf>
    <xf numFmtId="0" fontId="1" fillId="0" borderId="13" xfId="1" applyBorder="1" applyAlignment="1">
      <alignment horizontal="center" vertical="center" wrapText="1"/>
    </xf>
    <xf numFmtId="0" fontId="1" fillId="0" borderId="7" xfId="1" applyBorder="1" applyAlignment="1">
      <alignment horizontal="center" vertical="center" wrapText="1"/>
    </xf>
    <xf numFmtId="0" fontId="1" fillId="0" borderId="8" xfId="1" applyBorder="1" applyAlignment="1">
      <alignment horizontal="center" vertical="center" wrapText="1"/>
    </xf>
    <xf numFmtId="0" fontId="1" fillId="0" borderId="3" xfId="1" applyBorder="1" applyAlignment="1">
      <alignment horizontal="center" wrapText="1"/>
    </xf>
    <xf numFmtId="0" fontId="1" fillId="0" borderId="5" xfId="1" applyBorder="1" applyAlignment="1">
      <alignment horizontal="center" wrapText="1"/>
    </xf>
    <xf numFmtId="0" fontId="1" fillId="0" borderId="4" xfId="1" applyBorder="1" applyAlignment="1">
      <alignment horizontal="center" wrapText="1"/>
    </xf>
    <xf numFmtId="0" fontId="2" fillId="2" borderId="3" xfId="1" applyFont="1" applyFill="1" applyBorder="1" applyAlignment="1">
      <alignment horizontal="left" vertical="top" wrapText="1"/>
    </xf>
    <xf numFmtId="0" fontId="2" fillId="2" borderId="5" xfId="1" applyFont="1" applyFill="1" applyBorder="1" applyAlignment="1">
      <alignment horizontal="left" vertical="top" wrapText="1"/>
    </xf>
    <xf numFmtId="0" fontId="2" fillId="2" borderId="4" xfId="1" applyFont="1" applyFill="1" applyBorder="1" applyAlignment="1">
      <alignment horizontal="left" vertical="top" wrapText="1"/>
    </xf>
    <xf numFmtId="0" fontId="2" fillId="0" borderId="3" xfId="1" applyFont="1" applyBorder="1" applyAlignment="1">
      <alignment horizontal="center" vertical="top" wrapText="1"/>
    </xf>
    <xf numFmtId="0" fontId="2" fillId="0" borderId="4" xfId="1" applyFont="1" applyBorder="1" applyAlignment="1">
      <alignment horizontal="center" vertical="top" wrapText="1"/>
    </xf>
    <xf numFmtId="165" fontId="3" fillId="0" borderId="3" xfId="1" applyNumberFormat="1" applyFont="1" applyBorder="1" applyAlignment="1">
      <alignment horizontal="center" vertical="top" shrinkToFit="1"/>
    </xf>
    <xf numFmtId="165" fontId="3" fillId="0" borderId="4" xfId="1" applyNumberFormat="1" applyFont="1" applyBorder="1" applyAlignment="1">
      <alignment horizontal="center" vertical="top" shrinkToFit="1"/>
    </xf>
    <xf numFmtId="0" fontId="2" fillId="0" borderId="7" xfId="1" applyFont="1" applyBorder="1" applyAlignment="1">
      <alignment horizontal="left" vertical="top" wrapText="1"/>
    </xf>
    <xf numFmtId="0" fontId="2" fillId="0" borderId="8" xfId="1" applyFont="1" applyBorder="1" applyAlignment="1">
      <alignment horizontal="left" vertical="top" wrapText="1"/>
    </xf>
    <xf numFmtId="1" fontId="3" fillId="0" borderId="7" xfId="1" applyNumberFormat="1" applyFont="1" applyBorder="1" applyAlignment="1">
      <alignment horizontal="center" vertical="top" shrinkToFit="1"/>
    </xf>
    <xf numFmtId="1" fontId="3" fillId="0" borderId="8" xfId="1" applyNumberFormat="1" applyFont="1" applyBorder="1" applyAlignment="1">
      <alignment horizontal="center" vertical="top" shrinkToFit="1"/>
    </xf>
    <xf numFmtId="0" fontId="2" fillId="0" borderId="7" xfId="1" applyFont="1" applyBorder="1" applyAlignment="1">
      <alignment horizontal="center" vertical="top" wrapText="1"/>
    </xf>
    <xf numFmtId="0" fontId="2" fillId="0" borderId="8" xfId="1" applyFont="1" applyBorder="1" applyAlignment="1">
      <alignment horizontal="center" vertical="top" wrapText="1"/>
    </xf>
    <xf numFmtId="0" fontId="9" fillId="0" borderId="16" xfId="1" applyFont="1" applyBorder="1" applyAlignment="1">
      <alignment horizontal="left" vertical="top" wrapText="1"/>
    </xf>
    <xf numFmtId="0" fontId="1" fillId="0" borderId="0" xfId="1" applyAlignment="1">
      <alignment horizontal="left" vertical="top" wrapText="1" indent="11"/>
    </xf>
    <xf numFmtId="0" fontId="2" fillId="3" borderId="3" xfId="1" applyFont="1" applyFill="1" applyBorder="1" applyAlignment="1">
      <alignment horizontal="left" vertical="top" wrapText="1"/>
    </xf>
    <xf numFmtId="0" fontId="2" fillId="3" borderId="4" xfId="1" applyFont="1" applyFill="1" applyBorder="1" applyAlignment="1">
      <alignment horizontal="left" vertical="top" wrapText="1"/>
    </xf>
    <xf numFmtId="1" fontId="3" fillId="0" borderId="3" xfId="1" applyNumberFormat="1" applyFont="1" applyBorder="1" applyAlignment="1">
      <alignment horizontal="right" vertical="top" shrinkToFit="1"/>
    </xf>
    <xf numFmtId="1" fontId="3" fillId="0" borderId="4" xfId="1" applyNumberFormat="1" applyFont="1" applyBorder="1" applyAlignment="1">
      <alignment horizontal="right" vertical="top" shrinkToFit="1"/>
    </xf>
    <xf numFmtId="0" fontId="2" fillId="3" borderId="9" xfId="1" applyFont="1" applyFill="1" applyBorder="1" applyAlignment="1">
      <alignment horizontal="left" vertical="top" wrapText="1" indent="1"/>
    </xf>
    <xf numFmtId="0" fontId="2" fillId="3" borderId="6" xfId="1" applyFont="1" applyFill="1" applyBorder="1" applyAlignment="1">
      <alignment horizontal="left" vertical="top" wrapText="1" indent="1"/>
    </xf>
    <xf numFmtId="0" fontId="2" fillId="3" borderId="10" xfId="1" applyFont="1" applyFill="1" applyBorder="1" applyAlignment="1">
      <alignment horizontal="left" vertical="center" wrapText="1" indent="1"/>
    </xf>
    <xf numFmtId="0" fontId="2" fillId="3" borderId="11" xfId="1" applyFont="1" applyFill="1" applyBorder="1" applyAlignment="1">
      <alignment horizontal="left" vertical="center" wrapText="1" indent="1"/>
    </xf>
    <xf numFmtId="0" fontId="2" fillId="3" borderId="7" xfId="1" applyFont="1" applyFill="1" applyBorder="1" applyAlignment="1">
      <alignment horizontal="left" vertical="center" wrapText="1" indent="1"/>
    </xf>
    <xf numFmtId="0" fontId="2" fillId="3" borderId="8" xfId="1" applyFont="1" applyFill="1" applyBorder="1" applyAlignment="1">
      <alignment horizontal="left" vertical="center" wrapText="1" indent="1"/>
    </xf>
    <xf numFmtId="0" fontId="2" fillId="3" borderId="10" xfId="1" applyFont="1" applyFill="1" applyBorder="1" applyAlignment="1">
      <alignment horizontal="left" vertical="top" wrapText="1" indent="1"/>
    </xf>
    <xf numFmtId="0" fontId="2" fillId="3" borderId="11" xfId="1" applyFont="1" applyFill="1" applyBorder="1" applyAlignment="1">
      <alignment horizontal="left" vertical="top" wrapText="1" indent="1"/>
    </xf>
    <xf numFmtId="0" fontId="2" fillId="3" borderId="7" xfId="1" applyFont="1" applyFill="1" applyBorder="1" applyAlignment="1">
      <alignment horizontal="left" vertical="top" wrapText="1" indent="1"/>
    </xf>
    <xf numFmtId="0" fontId="2" fillId="3" borderId="8" xfId="1" applyFont="1" applyFill="1" applyBorder="1" applyAlignment="1">
      <alignment horizontal="left" vertical="top" wrapText="1" indent="1"/>
    </xf>
    <xf numFmtId="0" fontId="2" fillId="3" borderId="3" xfId="1" applyFont="1" applyFill="1" applyBorder="1" applyAlignment="1">
      <alignment horizontal="left" vertical="top" wrapText="1" indent="1"/>
    </xf>
    <xf numFmtId="0" fontId="2" fillId="3" borderId="4" xfId="1" applyFont="1" applyFill="1" applyBorder="1" applyAlignment="1">
      <alignment horizontal="left" vertical="top" wrapText="1" indent="1"/>
    </xf>
    <xf numFmtId="0" fontId="1" fillId="0" borderId="10" xfId="1" applyBorder="1" applyAlignment="1">
      <alignment horizontal="left" vertical="top" wrapText="1"/>
    </xf>
    <xf numFmtId="0" fontId="1" fillId="0" borderId="14" xfId="1" applyBorder="1" applyAlignment="1">
      <alignment horizontal="left" vertical="top" wrapText="1"/>
    </xf>
    <xf numFmtId="0" fontId="2" fillId="3" borderId="3" xfId="1" applyFont="1" applyFill="1" applyBorder="1" applyAlignment="1">
      <alignment horizontal="right" vertical="top" wrapText="1" indent="1"/>
    </xf>
    <xf numFmtId="0" fontId="2" fillId="3" borderId="4" xfId="1" applyFont="1" applyFill="1" applyBorder="1" applyAlignment="1">
      <alignment horizontal="right" vertical="top" wrapText="1" indent="1"/>
    </xf>
    <xf numFmtId="0" fontId="12" fillId="0" borderId="22" xfId="5" applyFont="1" applyBorder="1" applyAlignment="1">
      <alignment horizontal="center"/>
    </xf>
    <xf numFmtId="0" fontId="12" fillId="0" borderId="23" xfId="5" applyFont="1" applyBorder="1" applyAlignment="1">
      <alignment horizontal="center"/>
    </xf>
    <xf numFmtId="0" fontId="11" fillId="0" borderId="1" xfId="5" applyBorder="1" applyAlignment="1">
      <alignment horizontal="center" wrapText="1"/>
    </xf>
    <xf numFmtId="0" fontId="11" fillId="0" borderId="1" xfId="5" applyBorder="1" applyAlignment="1">
      <alignment horizontal="center" vertical="center" wrapText="1"/>
    </xf>
    <xf numFmtId="0" fontId="11" fillId="0" borderId="20" xfId="5" applyBorder="1" applyAlignment="1">
      <alignment horizontal="center" vertical="center" wrapText="1"/>
    </xf>
    <xf numFmtId="0" fontId="11" fillId="0" borderId="21" xfId="5" applyBorder="1" applyAlignment="1">
      <alignment horizontal="center" vertical="center" wrapText="1"/>
    </xf>
    <xf numFmtId="0" fontId="11" fillId="0" borderId="20" xfId="5" applyBorder="1" applyAlignment="1">
      <alignment horizontal="center" wrapText="1"/>
    </xf>
    <xf numFmtId="0" fontId="11" fillId="0" borderId="21" xfId="5" applyBorder="1" applyAlignment="1">
      <alignment horizontal="center" wrapText="1"/>
    </xf>
    <xf numFmtId="0" fontId="16" fillId="0" borderId="9" xfId="6" applyFont="1" applyBorder="1" applyAlignment="1">
      <alignment horizontal="left" vertical="top" wrapText="1" indent="1"/>
    </xf>
    <xf numFmtId="0" fontId="16" fillId="0" borderId="6" xfId="6" applyFont="1" applyBorder="1" applyAlignment="1">
      <alignment horizontal="left" vertical="top" wrapText="1" indent="1"/>
    </xf>
    <xf numFmtId="0" fontId="16" fillId="0" borderId="9" xfId="6" applyFont="1" applyBorder="1" applyAlignment="1">
      <alignment horizontal="left" vertical="top" wrapText="1" indent="2"/>
    </xf>
    <xf numFmtId="0" fontId="16" fillId="0" borderId="6" xfId="6" applyFont="1" applyBorder="1" applyAlignment="1">
      <alignment horizontal="left" vertical="top" wrapText="1" indent="2"/>
    </xf>
    <xf numFmtId="0" fontId="16" fillId="0" borderId="9" xfId="6" applyFont="1" applyBorder="1" applyAlignment="1">
      <alignment horizontal="left" vertical="top" wrapText="1"/>
    </xf>
    <xf numFmtId="0" fontId="16" fillId="0" borderId="6" xfId="6" applyFont="1" applyBorder="1" applyAlignment="1">
      <alignment horizontal="left" vertical="top" wrapText="1"/>
    </xf>
    <xf numFmtId="0" fontId="16" fillId="0" borderId="3" xfId="6" applyFont="1" applyBorder="1" applyAlignment="1">
      <alignment horizontal="left" vertical="top" wrapText="1" indent="1"/>
    </xf>
    <xf numFmtId="0" fontId="16" fillId="0" borderId="4" xfId="6" applyFont="1" applyBorder="1" applyAlignment="1">
      <alignment horizontal="left" vertical="top" wrapText="1" indent="1"/>
    </xf>
    <xf numFmtId="0" fontId="15" fillId="0" borderId="0" xfId="6" applyAlignment="1">
      <alignment horizontal="left" vertical="top" wrapText="1" indent="4"/>
    </xf>
    <xf numFmtId="0" fontId="31" fillId="0" borderId="0" xfId="6" applyFont="1" applyAlignment="1">
      <alignment horizontal="left" vertical="top" wrapText="1" indent="4"/>
    </xf>
    <xf numFmtId="0" fontId="15" fillId="0" borderId="0" xfId="6" applyAlignment="1">
      <alignment horizontal="center" vertical="top"/>
    </xf>
    <xf numFmtId="0" fontId="27" fillId="0" borderId="3" xfId="6" applyFont="1" applyBorder="1" applyAlignment="1">
      <alignment horizontal="left" vertical="top" wrapText="1" indent="2"/>
    </xf>
    <xf numFmtId="0" fontId="27" fillId="0" borderId="4" xfId="6" applyFont="1" applyBorder="1" applyAlignment="1">
      <alignment horizontal="left" vertical="top" wrapText="1" indent="2"/>
    </xf>
    <xf numFmtId="0" fontId="23" fillId="0" borderId="0" xfId="6" applyFont="1" applyAlignment="1">
      <alignment horizontal="left" vertical="top" wrapText="1" indent="4"/>
    </xf>
    <xf numFmtId="0" fontId="24" fillId="0" borderId="3" xfId="6" applyFont="1" applyBorder="1" applyAlignment="1">
      <alignment horizontal="left" vertical="center" wrapText="1" indent="1"/>
    </xf>
    <xf numFmtId="0" fontId="24" fillId="0" borderId="5" xfId="6" applyFont="1" applyBorder="1" applyAlignment="1">
      <alignment horizontal="left" vertical="center" wrapText="1" indent="1"/>
    </xf>
    <xf numFmtId="0" fontId="24" fillId="0" borderId="4" xfId="6" applyFont="1" applyBorder="1" applyAlignment="1">
      <alignment horizontal="left" vertical="center" wrapText="1" indent="1"/>
    </xf>
    <xf numFmtId="0" fontId="24" fillId="0" borderId="3" xfId="6" applyFont="1" applyBorder="1" applyAlignment="1">
      <alignment horizontal="left" vertical="center" wrapText="1"/>
    </xf>
    <xf numFmtId="0" fontId="24" fillId="0" borderId="5" xfId="6" applyFont="1" applyBorder="1" applyAlignment="1">
      <alignment horizontal="left" vertical="center" wrapText="1"/>
    </xf>
    <xf numFmtId="0" fontId="24" fillId="0" borderId="4" xfId="6" applyFont="1" applyBorder="1" applyAlignment="1">
      <alignment horizontal="left" vertical="center" wrapText="1"/>
    </xf>
    <xf numFmtId="0" fontId="24" fillId="0" borderId="3" xfId="6" applyFont="1" applyBorder="1" applyAlignment="1">
      <alignment horizontal="left" vertical="top" wrapText="1" indent="1"/>
    </xf>
    <xf numFmtId="0" fontId="24" fillId="0" borderId="4" xfId="6" applyFont="1" applyBorder="1" applyAlignment="1">
      <alignment horizontal="left" vertical="top" wrapText="1" indent="1"/>
    </xf>
    <xf numFmtId="0" fontId="24" fillId="0" borderId="3" xfId="6" applyFont="1" applyBorder="1" applyAlignment="1">
      <alignment horizontal="left" vertical="top" wrapText="1"/>
    </xf>
    <xf numFmtId="0" fontId="24" fillId="0" borderId="5" xfId="6" applyFont="1" applyBorder="1" applyAlignment="1">
      <alignment horizontal="left" vertical="top" wrapText="1"/>
    </xf>
    <xf numFmtId="0" fontId="24" fillId="0" borderId="4" xfId="6" applyFont="1" applyBorder="1" applyAlignment="1">
      <alignment horizontal="left" vertical="top" wrapText="1"/>
    </xf>
    <xf numFmtId="0" fontId="15" fillId="0" borderId="3" xfId="6" applyBorder="1" applyAlignment="1">
      <alignment horizontal="left" wrapText="1"/>
    </xf>
    <xf numFmtId="0" fontId="15" fillId="0" borderId="5" xfId="6" applyBorder="1" applyAlignment="1">
      <alignment horizontal="left" wrapText="1"/>
    </xf>
    <xf numFmtId="0" fontId="15" fillId="0" borderId="4" xfId="6" applyBorder="1" applyAlignment="1">
      <alignment horizontal="left" wrapText="1"/>
    </xf>
    <xf numFmtId="1" fontId="25" fillId="0" borderId="3" xfId="6" applyNumberFormat="1" applyFont="1" applyBorder="1" applyAlignment="1">
      <alignment horizontal="right" vertical="top" indent="3" shrinkToFit="1"/>
    </xf>
    <xf numFmtId="1" fontId="25" fillId="0" borderId="4" xfId="6" applyNumberFormat="1" applyFont="1" applyBorder="1" applyAlignment="1">
      <alignment horizontal="right" vertical="top" indent="3" shrinkToFit="1"/>
    </xf>
    <xf numFmtId="4" fontId="28" fillId="0" borderId="3" xfId="6" applyNumberFormat="1" applyFont="1" applyBorder="1" applyAlignment="1">
      <alignment horizontal="left" vertical="top" indent="2" shrinkToFit="1"/>
    </xf>
    <xf numFmtId="4" fontId="28" fillId="0" borderId="5" xfId="6" applyNumberFormat="1" applyFont="1" applyBorder="1" applyAlignment="1">
      <alignment horizontal="left" vertical="top" indent="2" shrinkToFit="1"/>
    </xf>
    <xf numFmtId="4" fontId="28" fillId="0" borderId="4" xfId="6" applyNumberFormat="1" applyFont="1" applyBorder="1" applyAlignment="1">
      <alignment horizontal="left" vertical="top" indent="2" shrinkToFit="1"/>
    </xf>
    <xf numFmtId="4" fontId="28" fillId="0" borderId="3" xfId="6" applyNumberFormat="1" applyFont="1" applyBorder="1" applyAlignment="1">
      <alignment horizontal="left" vertical="top" indent="3" shrinkToFit="1"/>
    </xf>
    <xf numFmtId="4" fontId="28" fillId="0" borderId="4" xfId="6" applyNumberFormat="1" applyFont="1" applyBorder="1" applyAlignment="1">
      <alignment horizontal="left" vertical="top" indent="3" shrinkToFit="1"/>
    </xf>
    <xf numFmtId="0" fontId="27" fillId="0" borderId="3" xfId="6" applyFont="1" applyBorder="1" applyAlignment="1">
      <alignment horizontal="center" vertical="top" wrapText="1"/>
    </xf>
    <xf numFmtId="0" fontId="27" fillId="0" borderId="5" xfId="6" applyFont="1" applyBorder="1" applyAlignment="1">
      <alignment horizontal="center" vertical="top" wrapText="1"/>
    </xf>
    <xf numFmtId="0" fontId="27" fillId="0" borderId="4" xfId="6" applyFont="1" applyBorder="1" applyAlignment="1">
      <alignment horizontal="center" vertical="top" wrapText="1"/>
    </xf>
    <xf numFmtId="0" fontId="26" fillId="0" borderId="0" xfId="6" applyFont="1" applyAlignment="1">
      <alignment horizontal="left" vertical="top" wrapText="1" indent="4"/>
    </xf>
    <xf numFmtId="0" fontId="27" fillId="0" borderId="3" xfId="6" applyFont="1" applyBorder="1" applyAlignment="1">
      <alignment horizontal="left" vertical="top" wrapText="1"/>
    </xf>
    <xf numFmtId="0" fontId="27" fillId="0" borderId="5" xfId="6" applyFont="1" applyBorder="1" applyAlignment="1">
      <alignment horizontal="left" vertical="top" wrapText="1"/>
    </xf>
    <xf numFmtId="0" fontId="27" fillId="0" borderId="4" xfId="6" applyFont="1" applyBorder="1" applyAlignment="1">
      <alignment horizontal="left" vertical="top" wrapText="1"/>
    </xf>
    <xf numFmtId="0" fontId="18" fillId="0" borderId="3" xfId="6" applyFont="1" applyBorder="1" applyAlignment="1">
      <alignment horizontal="left" vertical="top" wrapText="1"/>
    </xf>
    <xf numFmtId="0" fontId="18" fillId="0" borderId="5" xfId="6" applyFont="1" applyBorder="1" applyAlignment="1">
      <alignment horizontal="left" vertical="top" wrapText="1"/>
    </xf>
    <xf numFmtId="0" fontId="18" fillId="0" borderId="4" xfId="6" applyFont="1" applyBorder="1" applyAlignment="1">
      <alignment horizontal="left" vertical="top" wrapText="1"/>
    </xf>
    <xf numFmtId="0" fontId="15" fillId="6" borderId="3" xfId="6" applyFill="1" applyBorder="1" applyAlignment="1">
      <alignment horizontal="center" vertical="top" wrapText="1"/>
    </xf>
    <xf numFmtId="0" fontId="15" fillId="6" borderId="5" xfId="6" applyFill="1" applyBorder="1" applyAlignment="1">
      <alignment horizontal="center" vertical="top" wrapText="1"/>
    </xf>
    <xf numFmtId="0" fontId="15" fillId="6" borderId="4" xfId="6" applyFill="1" applyBorder="1" applyAlignment="1">
      <alignment horizontal="center" vertical="top" wrapText="1"/>
    </xf>
    <xf numFmtId="0" fontId="18" fillId="0" borderId="10" xfId="6" applyFont="1" applyBorder="1" applyAlignment="1">
      <alignment horizontal="left" vertical="top" wrapText="1"/>
    </xf>
    <xf numFmtId="0" fontId="18" fillId="0" borderId="12" xfId="6" applyFont="1" applyBorder="1" applyAlignment="1">
      <alignment horizontal="left" vertical="top" wrapText="1"/>
    </xf>
    <xf numFmtId="0" fontId="18" fillId="0" borderId="11" xfId="6" applyFont="1" applyBorder="1" applyAlignment="1">
      <alignment horizontal="left" vertical="top" wrapText="1"/>
    </xf>
    <xf numFmtId="0" fontId="15" fillId="0" borderId="10" xfId="6" applyBorder="1" applyAlignment="1">
      <alignment horizontal="left" vertical="top" wrapText="1"/>
    </xf>
    <xf numFmtId="0" fontId="15" fillId="0" borderId="12" xfId="6" applyBorder="1" applyAlignment="1">
      <alignment horizontal="left" vertical="top" wrapText="1"/>
    </xf>
    <xf numFmtId="0" fontId="15" fillId="0" borderId="11" xfId="6" applyBorder="1" applyAlignment="1">
      <alignment horizontal="left" vertical="top" wrapText="1"/>
    </xf>
    <xf numFmtId="0" fontId="15" fillId="0" borderId="14" xfId="6" applyBorder="1" applyAlignment="1">
      <alignment horizontal="left" vertical="top" wrapText="1"/>
    </xf>
    <xf numFmtId="0" fontId="15" fillId="0" borderId="0" xfId="6" applyAlignment="1">
      <alignment horizontal="left" vertical="top" wrapText="1"/>
    </xf>
    <xf numFmtId="0" fontId="15" fillId="0" borderId="13" xfId="6" applyBorder="1" applyAlignment="1">
      <alignment horizontal="left" vertical="top" wrapText="1"/>
    </xf>
    <xf numFmtId="0" fontId="15" fillId="0" borderId="7" xfId="6" applyBorder="1" applyAlignment="1">
      <alignment horizontal="left" vertical="top" wrapText="1"/>
    </xf>
    <xf numFmtId="0" fontId="15" fillId="0" borderId="15" xfId="6" applyBorder="1" applyAlignment="1">
      <alignment horizontal="left" vertical="top" wrapText="1"/>
    </xf>
    <xf numFmtId="0" fontId="15" fillId="0" borderId="8" xfId="6" applyBorder="1" applyAlignment="1">
      <alignment horizontal="left" vertical="top" wrapText="1"/>
    </xf>
    <xf numFmtId="0" fontId="18" fillId="0" borderId="14" xfId="6" applyFont="1" applyBorder="1" applyAlignment="1">
      <alignment horizontal="left" vertical="top" wrapText="1"/>
    </xf>
    <xf numFmtId="0" fontId="18" fillId="0" borderId="0" xfId="6" applyFont="1" applyAlignment="1">
      <alignment horizontal="left" vertical="top" wrapText="1"/>
    </xf>
    <xf numFmtId="0" fontId="18" fillId="0" borderId="13" xfId="6" applyFont="1" applyBorder="1" applyAlignment="1">
      <alignment horizontal="left" vertical="top" wrapText="1"/>
    </xf>
    <xf numFmtId="0" fontId="18" fillId="0" borderId="7" xfId="6" applyFont="1" applyBorder="1" applyAlignment="1">
      <alignment horizontal="left" vertical="top" wrapText="1"/>
    </xf>
    <xf numFmtId="0" fontId="18" fillId="0" borderId="15" xfId="6" applyFont="1" applyBorder="1" applyAlignment="1">
      <alignment horizontal="left" vertical="top" wrapText="1"/>
    </xf>
    <xf numFmtId="0" fontId="18" fillId="0" borderId="8" xfId="6" applyFont="1" applyBorder="1" applyAlignment="1">
      <alignment horizontal="left" vertical="top" wrapText="1"/>
    </xf>
    <xf numFmtId="0" fontId="18" fillId="0" borderId="0" xfId="6" applyFont="1" applyAlignment="1">
      <alignment horizontal="left" vertical="top" wrapText="1" indent="4"/>
    </xf>
    <xf numFmtId="0" fontId="18" fillId="6" borderId="3" xfId="6" applyFont="1" applyFill="1" applyBorder="1" applyAlignment="1">
      <alignment horizontal="left" vertical="top" wrapText="1"/>
    </xf>
    <xf numFmtId="0" fontId="18" fillId="6" borderId="5" xfId="6" applyFont="1" applyFill="1" applyBorder="1" applyAlignment="1">
      <alignment horizontal="left" vertical="top" wrapText="1"/>
    </xf>
    <xf numFmtId="0" fontId="18" fillId="6" borderId="4" xfId="6" applyFont="1" applyFill="1" applyBorder="1" applyAlignment="1">
      <alignment horizontal="left" vertical="top" wrapText="1"/>
    </xf>
    <xf numFmtId="0" fontId="22" fillId="0" borderId="5" xfId="6" applyFont="1" applyBorder="1" applyAlignment="1">
      <alignment horizontal="left" vertical="top" wrapText="1" indent="7"/>
    </xf>
    <xf numFmtId="0" fontId="18" fillId="6" borderId="10" xfId="6" applyFont="1" applyFill="1" applyBorder="1" applyAlignment="1">
      <alignment horizontal="center" vertical="center" wrapText="1"/>
    </xf>
    <xf numFmtId="0" fontId="18" fillId="6" borderId="11" xfId="6" applyFont="1" applyFill="1" applyBorder="1" applyAlignment="1">
      <alignment horizontal="center" vertical="center" wrapText="1"/>
    </xf>
    <xf numFmtId="0" fontId="18" fillId="6" borderId="12" xfId="6" applyFont="1" applyFill="1" applyBorder="1" applyAlignment="1">
      <alignment horizontal="center" vertical="center" wrapText="1"/>
    </xf>
    <xf numFmtId="0" fontId="18" fillId="0" borderId="7" xfId="6" applyFont="1" applyBorder="1" applyAlignment="1">
      <alignment horizontal="left" vertical="top" wrapText="1" indent="1"/>
    </xf>
    <xf numFmtId="0" fontId="18" fillId="0" borderId="8" xfId="6" applyFont="1" applyBorder="1" applyAlignment="1">
      <alignment horizontal="left" vertical="top" wrapText="1" indent="1"/>
    </xf>
    <xf numFmtId="0" fontId="15" fillId="0" borderId="7" xfId="6" applyBorder="1" applyAlignment="1">
      <alignment horizontal="left" wrapText="1"/>
    </xf>
    <xf numFmtId="0" fontId="15" fillId="0" borderId="15" xfId="6" applyBorder="1" applyAlignment="1">
      <alignment horizontal="left" wrapText="1"/>
    </xf>
    <xf numFmtId="0" fontId="15" fillId="0" borderId="8" xfId="6" applyBorder="1" applyAlignment="1">
      <alignment horizontal="left" wrapText="1"/>
    </xf>
    <xf numFmtId="0" fontId="18" fillId="0" borderId="3" xfId="6" applyFont="1" applyBorder="1" applyAlignment="1">
      <alignment horizontal="left" vertical="top" wrapText="1" indent="1"/>
    </xf>
    <xf numFmtId="0" fontId="18" fillId="0" borderId="4" xfId="6" applyFont="1" applyBorder="1" applyAlignment="1">
      <alignment horizontal="left" vertical="top" wrapText="1" indent="1"/>
    </xf>
    <xf numFmtId="0" fontId="21" fillId="0" borderId="3" xfId="6" applyFont="1" applyBorder="1" applyAlignment="1">
      <alignment horizontal="center" vertical="top" wrapText="1"/>
    </xf>
    <xf numFmtId="0" fontId="15" fillId="0" borderId="5" xfId="6" applyBorder="1" applyAlignment="1">
      <alignment horizontal="center" vertical="top" wrapText="1"/>
    </xf>
    <xf numFmtId="0" fontId="15" fillId="0" borderId="15" xfId="6" applyBorder="1" applyAlignment="1">
      <alignment horizontal="center" vertical="top" wrapText="1"/>
    </xf>
    <xf numFmtId="0" fontId="15" fillId="0" borderId="4" xfId="6" applyBorder="1" applyAlignment="1">
      <alignment horizontal="center" vertical="top" wrapText="1"/>
    </xf>
    <xf numFmtId="0" fontId="15" fillId="7" borderId="3" xfId="6" applyFill="1" applyBorder="1" applyAlignment="1">
      <alignment horizontal="left" vertical="top" wrapText="1"/>
    </xf>
    <xf numFmtId="0" fontId="15" fillId="7" borderId="4" xfId="6" applyFill="1" applyBorder="1" applyAlignment="1">
      <alignment horizontal="left" vertical="top" wrapText="1"/>
    </xf>
    <xf numFmtId="0" fontId="18" fillId="6" borderId="3" xfId="6" applyFont="1" applyFill="1" applyBorder="1" applyAlignment="1">
      <alignment horizontal="left" vertical="top" wrapText="1" indent="1"/>
    </xf>
    <xf numFmtId="0" fontId="18" fillId="6" borderId="4" xfId="6" applyFont="1" applyFill="1" applyBorder="1" applyAlignment="1">
      <alignment horizontal="left" vertical="top" wrapText="1" indent="1"/>
    </xf>
    <xf numFmtId="0" fontId="18" fillId="6" borderId="3" xfId="6" applyFont="1" applyFill="1" applyBorder="1" applyAlignment="1">
      <alignment horizontal="center" vertical="top" wrapText="1"/>
    </xf>
    <xf numFmtId="0" fontId="18" fillId="6" borderId="5" xfId="6" applyFont="1" applyFill="1" applyBorder="1" applyAlignment="1">
      <alignment horizontal="center" vertical="top" wrapText="1"/>
    </xf>
    <xf numFmtId="0" fontId="18" fillId="6" borderId="4" xfId="6" applyFont="1" applyFill="1" applyBorder="1" applyAlignment="1">
      <alignment horizontal="center" vertical="top" wrapText="1"/>
    </xf>
  </cellXfs>
  <cellStyles count="7">
    <cellStyle name="Comma 2" xfId="4" xr:uid="{EB2A05FB-898C-4109-80BE-D5B9900437CE}"/>
    <cellStyle name="Normal" xfId="0" builtinId="0"/>
    <cellStyle name="Normal 2" xfId="1" xr:uid="{34C7181C-235C-4DDB-8A0A-6451E7FF58DF}"/>
    <cellStyle name="Normal 2 2" xfId="5" xr:uid="{360073BC-22C0-4CF4-8EE0-23EAD741EACD}"/>
    <cellStyle name="Normal 2 3" xfId="3" xr:uid="{14B1714C-E4DF-48A4-9FEE-6BA598F64F17}"/>
    <cellStyle name="Normal 3" xfId="2" xr:uid="{15733A0F-0BC7-41FE-B027-C8C255306B57}"/>
    <cellStyle name="Normal 4" xfId="6" xr:uid="{A5924597-5D38-4E0D-B67E-CF8557AB0952}"/>
  </cellStyles>
  <dxfs count="4">
    <dxf>
      <alignment wrapText="0"/>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7652077865266848"/>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Latihan!$H$1</c:f>
              <c:strCache>
                <c:ptCount val="1"/>
                <c:pt idx="0">
                  <c:v>Ongkos Kirim</c:v>
                </c:pt>
              </c:strCache>
            </c:strRef>
          </c:tx>
          <c:spPr>
            <a:solidFill>
              <a:schemeClr val="accent1"/>
            </a:solidFill>
            <a:ln>
              <a:noFill/>
            </a:ln>
            <a:effectLst/>
          </c:spPr>
          <c:invertIfNegative val="0"/>
          <c:cat>
            <c:strRef>
              <c:f>Latihan!$D$2:$D$11</c:f>
              <c:strCache>
                <c:ptCount val="10"/>
                <c:pt idx="0">
                  <c:v>JNE OKE</c:v>
                </c:pt>
                <c:pt idx="1">
                  <c:v>POS KILAT KHUSUS</c:v>
                </c:pt>
                <c:pt idx="2">
                  <c:v>JNT EXPRESS</c:v>
                </c:pt>
                <c:pt idx="3">
                  <c:v>JNE OKE</c:v>
                </c:pt>
                <c:pt idx="4">
                  <c:v>POS KILAT KHUSUS</c:v>
                </c:pt>
                <c:pt idx="5">
                  <c:v>JNT EXPRESS</c:v>
                </c:pt>
                <c:pt idx="6">
                  <c:v>POS KILAT KHUSUS</c:v>
                </c:pt>
                <c:pt idx="7">
                  <c:v>JNE OKE</c:v>
                </c:pt>
                <c:pt idx="8">
                  <c:v>JNT EXPRESS</c:v>
                </c:pt>
                <c:pt idx="9">
                  <c:v>JNE OKE</c:v>
                </c:pt>
              </c:strCache>
            </c:strRef>
          </c:cat>
          <c:val>
            <c:numRef>
              <c:f>Latihan!$H$2:$H$11</c:f>
              <c:numCache>
                <c:formatCode>General</c:formatCode>
                <c:ptCount val="10"/>
                <c:pt idx="0">
                  <c:v>34000</c:v>
                </c:pt>
                <c:pt idx="1">
                  <c:v>162000</c:v>
                </c:pt>
                <c:pt idx="2">
                  <c:v>19000</c:v>
                </c:pt>
                <c:pt idx="3">
                  <c:v>44800</c:v>
                </c:pt>
                <c:pt idx="4">
                  <c:v>42000</c:v>
                </c:pt>
                <c:pt idx="5">
                  <c:v>207000</c:v>
                </c:pt>
                <c:pt idx="6">
                  <c:v>100800</c:v>
                </c:pt>
                <c:pt idx="7">
                  <c:v>70200</c:v>
                </c:pt>
                <c:pt idx="8">
                  <c:v>86400</c:v>
                </c:pt>
                <c:pt idx="9">
                  <c:v>352000</c:v>
                </c:pt>
              </c:numCache>
            </c:numRef>
          </c:val>
          <c:extLst>
            <c:ext xmlns:c16="http://schemas.microsoft.com/office/drawing/2014/chart" uri="{C3380CC4-5D6E-409C-BE32-E72D297353CC}">
              <c16:uniqueId val="{00000000-F3A8-42FF-A5FC-EB26F26234DA}"/>
            </c:ext>
          </c:extLst>
        </c:ser>
        <c:dLbls>
          <c:showLegendKey val="0"/>
          <c:showVal val="0"/>
          <c:showCatName val="0"/>
          <c:showSerName val="0"/>
          <c:showPercent val="0"/>
          <c:showBubbleSize val="0"/>
        </c:dLbls>
        <c:gapWidth val="182"/>
        <c:axId val="1499446479"/>
        <c:axId val="1499451055"/>
      </c:barChart>
      <c:catAx>
        <c:axId val="1499446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451055"/>
        <c:crosses val="autoZero"/>
        <c:auto val="1"/>
        <c:lblAlgn val="ctr"/>
        <c:lblOffset val="100"/>
        <c:noMultiLvlLbl val="0"/>
      </c:catAx>
      <c:valAx>
        <c:axId val="1499451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4464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SULFUR MONOKSIDA</c:v>
          </c:tx>
          <c:spPr>
            <a:ln w="25400" cap="rnd">
              <a:noFill/>
              <a:round/>
            </a:ln>
            <a:effectLst/>
          </c:spPr>
          <c:marker>
            <c:symbol val="circle"/>
            <c:size val="5"/>
            <c:spPr>
              <a:solidFill>
                <a:schemeClr val="accent1"/>
              </a:solidFill>
              <a:ln w="9525">
                <a:solidFill>
                  <a:schemeClr val="accent1"/>
                </a:solidFill>
              </a:ln>
              <a:effectLst/>
            </c:spPr>
          </c:marker>
          <c:xVal>
            <c:numRef>
              <c:f>'Lat ETS lg'!$AQ$13:$AY$13</c:f>
              <c:numCache>
                <c:formatCode>General</c:formatCode>
                <c:ptCount val="9"/>
                <c:pt idx="0">
                  <c:v>0.96</c:v>
                </c:pt>
                <c:pt idx="1">
                  <c:v>0.82</c:v>
                </c:pt>
                <c:pt idx="2">
                  <c:v>0.75</c:v>
                </c:pt>
                <c:pt idx="3">
                  <c:v>0.61</c:v>
                </c:pt>
                <c:pt idx="4">
                  <c:v>0.89</c:v>
                </c:pt>
                <c:pt idx="5">
                  <c:v>0.64</c:v>
                </c:pt>
                <c:pt idx="6">
                  <c:v>0.81</c:v>
                </c:pt>
                <c:pt idx="7">
                  <c:v>0.68</c:v>
                </c:pt>
                <c:pt idx="8">
                  <c:v>0.65</c:v>
                </c:pt>
              </c:numCache>
            </c:numRef>
          </c:xVal>
          <c:yVal>
            <c:numRef>
              <c:f>'Lat ETS lg'!$AQ$14:$AY$14</c:f>
              <c:numCache>
                <c:formatCode>General</c:formatCode>
                <c:ptCount val="9"/>
                <c:pt idx="0">
                  <c:v>0.87</c:v>
                </c:pt>
                <c:pt idx="1">
                  <c:v>0.74</c:v>
                </c:pt>
                <c:pt idx="2">
                  <c:v>0.63</c:v>
                </c:pt>
                <c:pt idx="3">
                  <c:v>0.55000000000000004</c:v>
                </c:pt>
                <c:pt idx="4">
                  <c:v>0.76</c:v>
                </c:pt>
                <c:pt idx="5">
                  <c:v>0.7</c:v>
                </c:pt>
                <c:pt idx="6">
                  <c:v>0.69</c:v>
                </c:pt>
                <c:pt idx="7">
                  <c:v>0.56999999999999995</c:v>
                </c:pt>
                <c:pt idx="8">
                  <c:v>0.53</c:v>
                </c:pt>
              </c:numCache>
            </c:numRef>
          </c:yVal>
          <c:smooth val="0"/>
          <c:extLst>
            <c:ext xmlns:c16="http://schemas.microsoft.com/office/drawing/2014/chart" uri="{C3380CC4-5D6E-409C-BE32-E72D297353CC}">
              <c16:uniqueId val="{00000000-B9AA-496B-AF32-3CF3CF86635A}"/>
            </c:ext>
          </c:extLst>
        </c:ser>
        <c:dLbls>
          <c:showLegendKey val="0"/>
          <c:showVal val="0"/>
          <c:showCatName val="0"/>
          <c:showSerName val="0"/>
          <c:showPercent val="0"/>
          <c:showBubbleSize val="0"/>
        </c:dLbls>
        <c:axId val="953113135"/>
        <c:axId val="953113551"/>
      </c:scatterChart>
      <c:valAx>
        <c:axId val="95311313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ALAT A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13551"/>
        <c:crosses val="autoZero"/>
        <c:crossBetween val="midCat"/>
      </c:valAx>
      <c:valAx>
        <c:axId val="953113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ALAT 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31131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Mobil</c:v>
          </c:tx>
          <c:spPr>
            <a:ln w="25400" cap="rnd">
              <a:noFill/>
              <a:round/>
            </a:ln>
            <a:effectLst/>
          </c:spPr>
          <c:marker>
            <c:symbol val="circle"/>
            <c:size val="5"/>
            <c:spPr>
              <a:solidFill>
                <a:schemeClr val="accent1"/>
              </a:solidFill>
              <a:ln w="9525">
                <a:solidFill>
                  <a:schemeClr val="accent1"/>
                </a:solidFill>
              </a:ln>
              <a:effectLst/>
            </c:spPr>
          </c:marker>
          <c:xVal>
            <c:numRef>
              <c:f>'Lat ETS lg'!$AQ$17:$BA$17</c:f>
              <c:numCache>
                <c:formatCode>0</c:formatCode>
                <c:ptCount val="11"/>
                <c:pt idx="0">
                  <c:v>5</c:v>
                </c:pt>
                <c:pt idx="1">
                  <c:v>4</c:v>
                </c:pt>
                <c:pt idx="2">
                  <c:v>6</c:v>
                </c:pt>
                <c:pt idx="3">
                  <c:v>5</c:v>
                </c:pt>
                <c:pt idx="4">
                  <c:v>5</c:v>
                </c:pt>
                <c:pt idx="5">
                  <c:v>5</c:v>
                </c:pt>
                <c:pt idx="6">
                  <c:v>6</c:v>
                </c:pt>
                <c:pt idx="7">
                  <c:v>6</c:v>
                </c:pt>
                <c:pt idx="8">
                  <c:v>2</c:v>
                </c:pt>
                <c:pt idx="9">
                  <c:v>7</c:v>
                </c:pt>
                <c:pt idx="10">
                  <c:v>7</c:v>
                </c:pt>
              </c:numCache>
            </c:numRef>
          </c:xVal>
          <c:yVal>
            <c:numRef>
              <c:f>'Lat ETS lg'!$AQ$18:$BA$18</c:f>
              <c:numCache>
                <c:formatCode>0</c:formatCode>
                <c:ptCount val="11"/>
                <c:pt idx="0">
                  <c:v>85</c:v>
                </c:pt>
                <c:pt idx="1">
                  <c:v>103</c:v>
                </c:pt>
                <c:pt idx="2">
                  <c:v>70</c:v>
                </c:pt>
                <c:pt idx="3">
                  <c:v>82</c:v>
                </c:pt>
                <c:pt idx="4">
                  <c:v>89</c:v>
                </c:pt>
                <c:pt idx="5">
                  <c:v>98</c:v>
                </c:pt>
                <c:pt idx="6">
                  <c:v>66</c:v>
                </c:pt>
                <c:pt idx="7">
                  <c:v>95</c:v>
                </c:pt>
                <c:pt idx="8">
                  <c:v>169</c:v>
                </c:pt>
                <c:pt idx="9">
                  <c:v>70</c:v>
                </c:pt>
                <c:pt idx="10">
                  <c:v>48</c:v>
                </c:pt>
              </c:numCache>
            </c:numRef>
          </c:yVal>
          <c:smooth val="0"/>
          <c:extLst>
            <c:ext xmlns:c16="http://schemas.microsoft.com/office/drawing/2014/chart" uri="{C3380CC4-5D6E-409C-BE32-E72D297353CC}">
              <c16:uniqueId val="{00000000-DF59-4C18-8D2B-2A2F3DA0D923}"/>
            </c:ext>
          </c:extLst>
        </c:ser>
        <c:dLbls>
          <c:showLegendKey val="0"/>
          <c:showVal val="0"/>
          <c:showCatName val="0"/>
          <c:showSerName val="0"/>
          <c:showPercent val="0"/>
          <c:showBubbleSize val="0"/>
        </c:dLbls>
        <c:axId val="814920639"/>
        <c:axId val="814922719"/>
      </c:scatterChart>
      <c:valAx>
        <c:axId val="8149206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Umur mobil</a:t>
                </a:r>
                <a:r>
                  <a:rPr lang="en-US" baseline="0"/>
                  <a:t> bekas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922719"/>
        <c:crosses val="autoZero"/>
        <c:crossBetween val="midCat"/>
      </c:valAx>
      <c:valAx>
        <c:axId val="814922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Harga jual mobil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9206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292100</xdr:colOff>
      <xdr:row>1</xdr:row>
      <xdr:rowOff>12700</xdr:rowOff>
    </xdr:from>
    <xdr:to>
      <xdr:col>21</xdr:col>
      <xdr:colOff>109220</xdr:colOff>
      <xdr:row>15</xdr:row>
      <xdr:rowOff>105410</xdr:rowOff>
    </xdr:to>
    <xdr:sp macro="" textlink="">
      <xdr:nvSpPr>
        <xdr:cNvPr id="2" name="TextBox 1">
          <a:extLst>
            <a:ext uri="{FF2B5EF4-FFF2-40B4-BE49-F238E27FC236}">
              <a16:creationId xmlns:a16="http://schemas.microsoft.com/office/drawing/2014/main" id="{47E01D71-0272-4437-94F2-26C356E1F1D0}"/>
            </a:ext>
          </a:extLst>
        </xdr:cNvPr>
        <xdr:cNvSpPr txBox="1"/>
      </xdr:nvSpPr>
      <xdr:spPr>
        <a:xfrm>
          <a:off x="8826500" y="196850"/>
          <a:ext cx="4084320" cy="30391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2 huruf</a:t>
          </a:r>
          <a:r>
            <a:rPr lang="en-US" sz="1100" baseline="0"/>
            <a:t> pertama adalah blok parkir</a:t>
          </a:r>
          <a:br>
            <a:rPr lang="en-US" sz="1100" baseline="0"/>
          </a:br>
          <a:r>
            <a:rPr lang="en-US" sz="1100" baseline="0"/>
            <a:t>4 angka setelah huruf pertama adalah jam masuk</a:t>
          </a:r>
        </a:p>
        <a:p>
          <a:r>
            <a:rPr lang="en-US" sz="1100" baseline="0"/>
            <a:t>4 angka sebelum 1 huruf terakhir adalah jam keluar</a:t>
          </a:r>
        </a:p>
        <a:p>
          <a:r>
            <a:rPr lang="en-US" sz="1100" baseline="0"/>
            <a:t>angka terakhir menunjukan kelas</a:t>
          </a:r>
        </a:p>
        <a:p>
          <a:endParaRPr lang="en-US" sz="1100" baseline="0"/>
        </a:p>
        <a:p>
          <a:endParaRPr lang="en-US" sz="1100" baseline="0"/>
        </a:p>
        <a:p>
          <a:r>
            <a:rPr lang="en-US" sz="1100"/>
            <a:t>Buat pivot</a:t>
          </a:r>
          <a:r>
            <a:rPr lang="en-US" sz="1100" baseline="0"/>
            <a:t> tabel dan subtotal yang menurut kalian palin informatif</a:t>
          </a:r>
          <a:br>
            <a:rPr lang="en-US" sz="1100" baseline="0"/>
          </a:br>
          <a:r>
            <a:rPr lang="en-US" sz="1100" baseline="0"/>
            <a:t>(bisa berdasarkan kelas/blok parkir/keduanya)</a:t>
          </a:r>
        </a:p>
        <a:p>
          <a:endParaRPr lang="en-US" sz="1100" baseline="0"/>
        </a:p>
        <a:p>
          <a:r>
            <a:rPr lang="en-US" sz="1100" baseline="0"/>
            <a:t>Hitung statistika deskriptif berdasarkan blok parkir</a:t>
          </a:r>
        </a:p>
        <a:p>
          <a:endParaRPr lang="en-US" sz="1100" baseline="0"/>
        </a:p>
        <a:p>
          <a:endParaRPr lang="id-ID"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673555</xdr:colOff>
      <xdr:row>13</xdr:row>
      <xdr:rowOff>57150</xdr:rowOff>
    </xdr:from>
    <xdr:to>
      <xdr:col>16</xdr:col>
      <xdr:colOff>392340</xdr:colOff>
      <xdr:row>27</xdr:row>
      <xdr:rowOff>124279</xdr:rowOff>
    </xdr:to>
    <xdr:graphicFrame macro="">
      <xdr:nvGraphicFramePr>
        <xdr:cNvPr id="8" name="Bagan 7">
          <a:extLst>
            <a:ext uri="{FF2B5EF4-FFF2-40B4-BE49-F238E27FC236}">
              <a16:creationId xmlns:a16="http://schemas.microsoft.com/office/drawing/2014/main" id="{BE82291B-0B58-4E95-A2F9-CEDB83171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41</xdr:col>
      <xdr:colOff>20437</xdr:colOff>
      <xdr:row>24</xdr:row>
      <xdr:rowOff>194003</xdr:rowOff>
    </xdr:from>
    <xdr:to>
      <xdr:col>47</xdr:col>
      <xdr:colOff>59851</xdr:colOff>
      <xdr:row>38</xdr:row>
      <xdr:rowOff>97950</xdr:rowOff>
    </xdr:to>
    <xdr:graphicFrame macro="">
      <xdr:nvGraphicFramePr>
        <xdr:cNvPr id="4" name="Bagan 3">
          <a:extLst>
            <a:ext uri="{FF2B5EF4-FFF2-40B4-BE49-F238E27FC236}">
              <a16:creationId xmlns:a16="http://schemas.microsoft.com/office/drawing/2014/main" id="{A35077C4-8CCF-463D-9AD7-99C97869A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11544</xdr:colOff>
      <xdr:row>25</xdr:row>
      <xdr:rowOff>2309</xdr:rowOff>
    </xdr:from>
    <xdr:to>
      <xdr:col>55</xdr:col>
      <xdr:colOff>300181</xdr:colOff>
      <xdr:row>38</xdr:row>
      <xdr:rowOff>90054</xdr:rowOff>
    </xdr:to>
    <xdr:graphicFrame macro="">
      <xdr:nvGraphicFramePr>
        <xdr:cNvPr id="5" name="Bagan 4">
          <a:extLst>
            <a:ext uri="{FF2B5EF4-FFF2-40B4-BE49-F238E27FC236}">
              <a16:creationId xmlns:a16="http://schemas.microsoft.com/office/drawing/2014/main" id="{7027C50B-A29B-4FBE-B029-F59E539B7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294.860266203701" createdVersion="7" refreshedVersion="7" minRefreshableVersion="3" recordCount="12" xr:uid="{ED81DDB7-C480-4DD5-ADBD-52EB978361FC}">
  <cacheSource type="worksheet">
    <worksheetSource ref="A2:L14" sheet="UTS"/>
  </cacheSource>
  <cacheFields count="12">
    <cacheField name="ID" numFmtId="0">
      <sharedItems/>
    </cacheField>
    <cacheField name="NAMA" numFmtId="0">
      <sharedItems/>
    </cacheField>
    <cacheField name="JENIS PASIEN" numFmtId="0">
      <sharedItems count="3">
        <s v="MANDIRI-EKSEKUTIF"/>
        <s v="BPJS"/>
        <s v="MANDIRI-PROFESIONAL"/>
      </sharedItems>
    </cacheField>
    <cacheField name="KODE PERAWATAN" numFmtId="0">
      <sharedItems/>
    </cacheField>
    <cacheField name="JENIS PERAWATAN" numFmtId="0">
      <sharedItems/>
    </cacheField>
    <cacheField name="TGL" numFmtId="1">
      <sharedItems/>
    </cacheField>
    <cacheField name="BLN" numFmtId="0">
      <sharedItems/>
    </cacheField>
    <cacheField name="TGL2" numFmtId="166">
      <sharedItems/>
    </cacheField>
    <cacheField name="BLN2" numFmtId="166">
      <sharedItems/>
    </cacheField>
    <cacheField name="LAMA PERAWATAN(HARI)" numFmtId="1">
      <sharedItems containsSemiMixedTypes="0" containsString="0" containsNumber="1" containsInteger="1" minValue="3" maxValue="14" count="9">
        <n v="14"/>
        <n v="4"/>
        <n v="3"/>
        <n v="10"/>
        <n v="7"/>
        <n v="9"/>
        <n v="6"/>
        <n v="8"/>
        <n v="5"/>
      </sharedItems>
    </cacheField>
    <cacheField name="BIAYA" numFmtId="1">
      <sharedItems containsSemiMixedTypes="0" containsString="0" containsNumber="1" containsInteger="1" minValue="400000" maxValue="6000000"/>
    </cacheField>
    <cacheField name="BIAYA DIBAYAR" numFmtId="1">
      <sharedItems containsSemiMixedTypes="0" containsString="0" containsNumber="1" containsInteger="1" minValue="0" maxValue="4455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295.568670023145" createdVersion="7" refreshedVersion="7" minRefreshableVersion="3" recordCount="10" xr:uid="{AFF22B15-A34B-422C-B0EC-ADB179FE7F8A}">
  <cacheSource type="worksheet">
    <worksheetSource ref="A1:K11" sheet="Latihan"/>
  </cacheSource>
  <cacheFields count="10">
    <cacheField name="No" numFmtId="0">
      <sharedItems containsSemiMixedTypes="0" containsString="0" containsNumber="1" containsInteger="1" minValue="1" maxValue="10"/>
    </cacheField>
    <cacheField name="Kode Pengiriman" numFmtId="0">
      <sharedItems/>
    </cacheField>
    <cacheField name="Asal Pengiriman" numFmtId="0">
      <sharedItems count="4">
        <s v="JAKARTA"/>
        <s v="BATAM"/>
        <s v="SURABAYA"/>
        <s v="YOGYAKARTA"/>
      </sharedItems>
    </cacheField>
    <cacheField name="Jenis pengiriman" numFmtId="0">
      <sharedItems count="3">
        <s v="JNE OKE"/>
        <s v="POS KILAT KHUSUS"/>
        <s v="JNT EXPRESS"/>
      </sharedItems>
    </cacheField>
    <cacheField name="Tanggal Kirim" numFmtId="14">
      <sharedItems/>
    </cacheField>
    <cacheField name="Tanggal diterima" numFmtId="14">
      <sharedItems/>
    </cacheField>
    <cacheField name="Berat Barang" numFmtId="0">
      <sharedItems containsSemiMixedTypes="0" containsString="0" containsNumber="1" containsInteger="1" minValue="1" maxValue="12"/>
    </cacheField>
    <cacheField name="Ongkos Kirim" numFmtId="0">
      <sharedItems containsSemiMixedTypes="0" containsString="0" containsNumber="1" containsInteger="1" minValue="17000" maxValue="352000"/>
    </cacheField>
    <cacheField name="Bonus" numFmtId="0">
      <sharedItems/>
    </cacheField>
    <cacheField name="Lama Pengiriman" numFmtId="0">
      <sharedItems containsSemiMixedTypes="0" containsString="0" containsNumber="1" containsInteger="1" minValue="2"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M1903-0204E"/>
    <s v="BAGUS P"/>
    <x v="0"/>
    <s v="KU02"/>
    <s v="KULIT OPERASI"/>
    <s v="19"/>
    <s v="03"/>
    <s v="02"/>
    <s v="04"/>
    <x v="0"/>
    <n v="4950000"/>
    <n v="4455000"/>
  </r>
  <r>
    <s v="B3003-0304P"/>
    <s v="GURUH L"/>
    <x v="1"/>
    <s v="JA01"/>
    <s v="JANTUNG TANPA OPERASI"/>
    <s v="30"/>
    <s v="03"/>
    <s v="03"/>
    <s v="04"/>
    <x v="1"/>
    <n v="1100000"/>
    <n v="275000"/>
  </r>
  <r>
    <s v="B0104-0404P"/>
    <s v="ANINDIA"/>
    <x v="1"/>
    <s v="KU01"/>
    <s v="KULIT TANPA OPERASI"/>
    <s v="01"/>
    <s v="04"/>
    <s v="04"/>
    <s v="04"/>
    <x v="2"/>
    <n v="500000"/>
    <n v="500000"/>
  </r>
  <r>
    <s v="M1203-1603P"/>
    <s v="LUKCY A"/>
    <x v="2"/>
    <s v="KU01"/>
    <s v="KULIT TANPA OPERASI"/>
    <s v="12"/>
    <s v="03"/>
    <s v="16"/>
    <s v="03"/>
    <x v="1"/>
    <n v="600000"/>
    <n v="600000"/>
  </r>
  <r>
    <s v="M2803-0104P"/>
    <s v="CINTYA F"/>
    <x v="2"/>
    <s v="KA01"/>
    <s v="KANDUNGAN TANPA OPERASI"/>
    <s v="28"/>
    <s v="03"/>
    <s v="01"/>
    <s v="04"/>
    <x v="1"/>
    <n v="800000"/>
    <n v="200000"/>
  </r>
  <r>
    <s v="M2003-3003E"/>
    <s v="KARINA K"/>
    <x v="0"/>
    <s v="JA02"/>
    <s v="JANTUNG OPERASI"/>
    <s v="20"/>
    <s v="03"/>
    <s v="30"/>
    <s v="03"/>
    <x v="3"/>
    <n v="6000000"/>
    <n v="0"/>
  </r>
  <r>
    <s v="M1703-2403P"/>
    <s v="HENDRA W"/>
    <x v="2"/>
    <s v="JA02"/>
    <s v="JANTUNG OPERASI"/>
    <s v="17"/>
    <s v="03"/>
    <s v="24"/>
    <s v="03"/>
    <x v="4"/>
    <n v="4900000"/>
    <n v="0"/>
  </r>
  <r>
    <s v="B2303-0104P"/>
    <s v="DANIA W"/>
    <x v="1"/>
    <s v="AN01"/>
    <s v="ANAK TANPA OPERASI"/>
    <s v="23"/>
    <s v="03"/>
    <s v="01"/>
    <s v="04"/>
    <x v="5"/>
    <n v="1000000"/>
    <n v="0"/>
  </r>
  <r>
    <s v="M2403-3003P"/>
    <s v="FERDIAN"/>
    <x v="2"/>
    <s v="JA01"/>
    <s v="JANTUNG TANPA OPERASI"/>
    <s v="24"/>
    <s v="03"/>
    <s v="30"/>
    <s v="03"/>
    <x v="6"/>
    <n v="1800000"/>
    <n v="450000"/>
  </r>
  <r>
    <s v="B0703-1503P"/>
    <s v="INDAH P"/>
    <x v="1"/>
    <s v="KA02"/>
    <s v="KANDUNGAN OPERASI"/>
    <s v="07"/>
    <s v="03"/>
    <s v="15"/>
    <s v="03"/>
    <x v="7"/>
    <n v="4100000"/>
    <n v="0"/>
  </r>
  <r>
    <s v="M2703-0104E"/>
    <s v="ERIKA T"/>
    <x v="0"/>
    <s v="AN02"/>
    <s v="ANAK OPERASI"/>
    <s v="27"/>
    <s v="03"/>
    <s v="01"/>
    <s v="04"/>
    <x v="8"/>
    <n v="3400000"/>
    <n v="850000"/>
  </r>
  <r>
    <s v="M1303-1603P"/>
    <s v="MAUREEN"/>
    <x v="2"/>
    <s v="AN01"/>
    <s v="ANAK TANPA OPERASI"/>
    <s v="13"/>
    <s v="03"/>
    <s v="16"/>
    <s v="03"/>
    <x v="2"/>
    <n v="400000"/>
    <n v="1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s v="JKT-JNE-02022020-05022020"/>
    <x v="0"/>
    <x v="0"/>
    <s v="02/02/20"/>
    <s v="05/02/20"/>
    <n v="2"/>
    <n v="34000"/>
    <s v="-"/>
    <n v="3"/>
  </r>
  <r>
    <n v="2"/>
    <s v="BTM-POS-08022020-12022020"/>
    <x v="1"/>
    <x v="1"/>
    <s v="08/02/20"/>
    <s v="12/02/20"/>
    <n v="4"/>
    <n v="162000"/>
    <s v="-"/>
    <n v="4"/>
  </r>
  <r>
    <n v="3"/>
    <s v="JKT-JNE-10022020-15022020"/>
    <x v="0"/>
    <x v="0"/>
    <s v="10/02/20"/>
    <s v="15/02/20"/>
    <n v="1"/>
    <n v="17000"/>
    <s v="-"/>
    <n v="5"/>
  </r>
  <r>
    <n v="4"/>
    <s v="SUB-JNE-18022020-21022020"/>
    <x v="2"/>
    <x v="0"/>
    <s v="18/02/20"/>
    <s v="21/02/20"/>
    <n v="8"/>
    <n v="44800"/>
    <s v="HP CASE"/>
    <n v="3"/>
  </r>
  <r>
    <n v="5"/>
    <s v="YKT-POS-20022020-22022020"/>
    <x v="3"/>
    <x v="1"/>
    <s v="20/02/20"/>
    <s v="22/02/20"/>
    <n v="3"/>
    <n v="42000"/>
    <s v="-"/>
    <n v="2"/>
  </r>
  <r>
    <n v="6"/>
    <s v="BTM-JNT-22022020-25022020"/>
    <x v="1"/>
    <x v="2"/>
    <s v="22/02/20"/>
    <s v="25/02/20"/>
    <n v="5"/>
    <n v="207000"/>
    <s v="HP RING"/>
    <n v="3"/>
  </r>
  <r>
    <n v="7"/>
    <s v="JKT-POS-22022020-24022020"/>
    <x v="0"/>
    <x v="1"/>
    <s v="22/02/20"/>
    <s v="24/02/20"/>
    <n v="7"/>
    <n v="100800"/>
    <s v="HP CASE"/>
    <n v="2"/>
  </r>
  <r>
    <n v="8"/>
    <s v="YKT-JNE-25022020-28022020"/>
    <x v="3"/>
    <x v="0"/>
    <s v="25/02/20"/>
    <s v="28/02/20"/>
    <n v="6"/>
    <n v="70200"/>
    <s v="HP RING"/>
    <n v="3"/>
  </r>
  <r>
    <n v="9"/>
    <s v="SUB-JNT-26022020-29022020"/>
    <x v="2"/>
    <x v="2"/>
    <s v="26/02/20"/>
    <s v="29/02/20"/>
    <n v="12"/>
    <n v="86400"/>
    <s v="HP CASE"/>
    <n v="3"/>
  </r>
  <r>
    <n v="10"/>
    <s v="BTM-JNE-28022020-04032020"/>
    <x v="1"/>
    <x v="0"/>
    <s v="28/02/20"/>
    <s v="04/03/20"/>
    <n v="10"/>
    <n v="352000"/>
    <s v="HP CASE"/>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6E7DA5-1830-4FCC-B1C0-41AC107FAD77}" name="PivotTable3" cacheId="0" applyNumberFormats="0" applyBorderFormats="0" applyFontFormats="0" applyPatternFormats="0" applyAlignmentFormats="0" applyWidthHeightFormats="1" dataCaption="Nilai" updatedVersion="7" minRefreshableVersion="3" useAutoFormatting="1" itemPrintTitles="1" createdVersion="7" indent="0" outline="1" outlineData="1" multipleFieldFilters="0">
  <location ref="A37:D41" firstHeaderRow="0" firstDataRow="1" firstDataCol="1"/>
  <pivotFields count="12">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dataField="1" numFmtId="1" showAll="0" avgSubtotal="1">
      <items count="10">
        <item x="2"/>
        <item x="1"/>
        <item x="8"/>
        <item x="6"/>
        <item x="4"/>
        <item x="7"/>
        <item x="5"/>
        <item x="3"/>
        <item x="0"/>
        <item t="avg"/>
      </items>
    </pivotField>
    <pivotField numFmtId="1" showAll="0"/>
    <pivotField dataField="1" numFmtId="1" showAll="0"/>
  </pivotFields>
  <rowFields count="1">
    <field x="2"/>
  </rowFields>
  <rowItems count="4">
    <i>
      <x/>
    </i>
    <i>
      <x v="1"/>
    </i>
    <i>
      <x v="2"/>
    </i>
    <i t="grand">
      <x/>
    </i>
  </rowItems>
  <colFields count="1">
    <field x="-2"/>
  </colFields>
  <colItems count="3">
    <i>
      <x/>
    </i>
    <i i="1">
      <x v="1"/>
    </i>
    <i i="2">
      <x v="2"/>
    </i>
  </colItems>
  <dataFields count="3">
    <dataField name="Hitung dari JENIS PASIEN" fld="2" subtotal="count" baseField="0" baseItem="0"/>
    <dataField name="Jumlah dari BIAYA DIBAYAR" fld="11" baseField="2" baseItem="0"/>
    <dataField name="Rata-rata dari LAMA PERAWATAN(HARI)" fld="9" subtotal="average" baseField="2" baseItem="1"/>
  </dataFields>
  <formats count="4">
    <format dxfId="3">
      <pivotArea field="2" type="button" dataOnly="0" labelOnly="1" outline="0" axis="axisRow" fieldPosition="0"/>
    </format>
    <format dxfId="2">
      <pivotArea dataOnly="0" labelOnly="1" outline="0" fieldPosition="0">
        <references count="1">
          <reference field="4294967294" count="3">
            <x v="0"/>
            <x v="1"/>
            <x v="2"/>
          </reference>
        </references>
      </pivotArea>
    </format>
    <format dxfId="1">
      <pivotArea dataOnly="0" labelOnly="1" outline="0" fieldPosition="0">
        <references count="1">
          <reference field="4294967294" count="1">
            <x v="1"/>
          </reference>
        </references>
      </pivotArea>
    </format>
    <format dxfId="0">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8F48BF-4D1D-4E63-BAEC-C138CBE91BB6}" name="PivotTable2" cacheId="1" applyNumberFormats="0" applyBorderFormats="0" applyFontFormats="0" applyPatternFormats="0" applyAlignmentFormats="0" applyWidthHeightFormats="1" dataCaption="Nilai" updatedVersion="7" minRefreshableVersion="3" useAutoFormatting="1" itemPrintTitles="1" createdVersion="7" indent="0" outline="1" outlineData="1" multipleFieldFilters="0">
  <location ref="M5:Q11" firstHeaderRow="1" firstDataRow="2" firstDataCol="1"/>
  <pivotFields count="10">
    <pivotField showAll="0"/>
    <pivotField showAll="0"/>
    <pivotField axis="axisRow" showAll="0">
      <items count="5">
        <item x="1"/>
        <item x="0"/>
        <item x="2"/>
        <item x="3"/>
        <item t="default"/>
      </items>
    </pivotField>
    <pivotField axis="axisCol" showAll="0">
      <items count="4">
        <item x="0"/>
        <item x="2"/>
        <item x="1"/>
        <item t="default"/>
      </items>
    </pivotField>
    <pivotField showAll="0"/>
    <pivotField showAll="0"/>
    <pivotField showAll="0"/>
    <pivotField showAll="0"/>
    <pivotField showAll="0"/>
    <pivotField dataField="1" showAll="0"/>
  </pivotFields>
  <rowFields count="1">
    <field x="2"/>
  </rowFields>
  <rowItems count="5">
    <i>
      <x/>
    </i>
    <i>
      <x v="1"/>
    </i>
    <i>
      <x v="2"/>
    </i>
    <i>
      <x v="3"/>
    </i>
    <i t="grand">
      <x/>
    </i>
  </rowItems>
  <colFields count="1">
    <field x="3"/>
  </colFields>
  <colItems count="4">
    <i>
      <x/>
    </i>
    <i>
      <x v="1"/>
    </i>
    <i>
      <x v="2"/>
    </i>
    <i t="grand">
      <x/>
    </i>
  </colItems>
  <dataFields count="1">
    <dataField name="Jumlah dari Lama Pengiriman"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41234-AB17-4588-94EB-5C3ADA11EBCD}">
  <dimension ref="A1:L259"/>
  <sheetViews>
    <sheetView zoomScale="84" workbookViewId="0">
      <selection activeCell="E18" sqref="E18"/>
    </sheetView>
  </sheetViews>
  <sheetFormatPr defaultRowHeight="14.5"/>
  <cols>
    <col min="1" max="1" width="22.54296875" customWidth="1"/>
    <col min="2" max="2" width="13.453125" customWidth="1"/>
    <col min="3" max="3" width="14.453125" customWidth="1"/>
    <col min="4" max="4" width="19" customWidth="1"/>
    <col min="5" max="5" width="14" customWidth="1"/>
    <col min="6" max="6" width="22.6328125" customWidth="1"/>
    <col min="7" max="7" width="13.6328125" customWidth="1"/>
    <col min="8" max="8" width="19.54296875" customWidth="1"/>
    <col min="9" max="9" width="16.54296875" customWidth="1"/>
    <col min="11" max="12" width="8.90625" style="132" bestFit="1" customWidth="1"/>
  </cols>
  <sheetData>
    <row r="1" spans="1:12" ht="28" customHeight="1" thickBot="1">
      <c r="A1" s="1" t="s">
        <v>0</v>
      </c>
      <c r="B1" s="1" t="s">
        <v>1</v>
      </c>
      <c r="C1" s="1" t="s">
        <v>11</v>
      </c>
      <c r="D1" s="1" t="s">
        <v>12</v>
      </c>
      <c r="E1" s="1" t="s">
        <v>13</v>
      </c>
      <c r="F1" s="1" t="s">
        <v>14</v>
      </c>
      <c r="G1" s="1" t="s">
        <v>15</v>
      </c>
      <c r="H1" s="1" t="s">
        <v>16</v>
      </c>
      <c r="I1" s="2" t="s">
        <v>17</v>
      </c>
      <c r="K1"/>
      <c r="L1"/>
    </row>
    <row r="2" spans="1:12">
      <c r="A2" s="25">
        <v>42979</v>
      </c>
      <c r="B2" s="2" t="s">
        <v>29</v>
      </c>
      <c r="C2" s="2" t="str">
        <f>VLOOKUP(LEFT(B2,3),$A$17:$B$18,2,FALSE)</f>
        <v>Indonesia</v>
      </c>
      <c r="D2" s="2" t="str">
        <f>HLOOKUP(MID(B2,5,1),$E$16:$F$17,2,FALSE)</f>
        <v>Novel</v>
      </c>
      <c r="E2" s="2" t="str">
        <f t="shared" ref="E2:E11" si="0">RIGHT(B2,2)</f>
        <v>10</v>
      </c>
      <c r="F2" s="25">
        <v>42981</v>
      </c>
      <c r="G2" s="2">
        <v>4</v>
      </c>
      <c r="H2" s="2">
        <f t="shared" ref="H2:H10" si="1">DATEDIF(A2,F2,"d")</f>
        <v>2</v>
      </c>
      <c r="I2" s="2">
        <f>IF((H2&gt;G2),HLOOKUP(D2,$B$20:$C$21,2,FALSE)*H2,0)</f>
        <v>0</v>
      </c>
      <c r="K2" s="134" t="s">
        <v>628</v>
      </c>
      <c r="L2" s="134" t="s">
        <v>629</v>
      </c>
    </row>
    <row r="3" spans="1:12" ht="15" thickBot="1">
      <c r="A3" s="25">
        <v>42973</v>
      </c>
      <c r="B3" s="2" t="s">
        <v>2</v>
      </c>
      <c r="C3" s="2" t="str">
        <f t="shared" ref="C3:C11" si="2">VLOOKUP(LEFT(B3,3),$A$17:$B$18,2,FALSE)</f>
        <v>Inggris</v>
      </c>
      <c r="D3" s="2" t="str">
        <f t="shared" ref="D3:D11" si="3">HLOOKUP(MID(B3,5,1),$E$16:$F$17,2,FALSE)</f>
        <v>Novel</v>
      </c>
      <c r="E3" s="2" t="str">
        <f t="shared" si="0"/>
        <v>15</v>
      </c>
      <c r="F3" s="25">
        <v>42982</v>
      </c>
      <c r="G3" s="2">
        <v>5</v>
      </c>
      <c r="H3" s="2">
        <f t="shared" si="1"/>
        <v>9</v>
      </c>
      <c r="I3" s="2">
        <f>IF((H3&gt;G3),HLOOKUP(D3,$B$20:$C$21,2,FALSE)*H3,0)</f>
        <v>13500</v>
      </c>
      <c r="K3" s="135"/>
      <c r="L3" s="135"/>
    </row>
    <row r="4" spans="1:12">
      <c r="A4" s="25">
        <v>42981</v>
      </c>
      <c r="B4" s="2" t="s">
        <v>3</v>
      </c>
      <c r="C4" s="2" t="str">
        <f t="shared" si="2"/>
        <v>Inggris</v>
      </c>
      <c r="D4" s="2" t="str">
        <f t="shared" si="3"/>
        <v>Ilmiah</v>
      </c>
      <c r="E4" s="2" t="str">
        <f t="shared" si="0"/>
        <v>03</v>
      </c>
      <c r="F4" s="25">
        <v>42982</v>
      </c>
      <c r="G4" s="2">
        <v>2</v>
      </c>
      <c r="H4" s="2">
        <f t="shared" si="1"/>
        <v>1</v>
      </c>
      <c r="I4" s="2">
        <f t="shared" ref="I4:I11" si="4">IF((H4&gt;G4),HLOOKUP(D4,$B$20:$C$21,2,FALSE)*H4,0)</f>
        <v>0</v>
      </c>
      <c r="K4" s="134" t="s">
        <v>630</v>
      </c>
      <c r="L4" s="134" t="s">
        <v>631</v>
      </c>
    </row>
    <row r="5" spans="1:12" ht="15" thickBot="1">
      <c r="A5" s="25">
        <v>42988</v>
      </c>
      <c r="B5" s="2" t="s">
        <v>4</v>
      </c>
      <c r="C5" s="2" t="str">
        <f t="shared" si="2"/>
        <v>Indonesia</v>
      </c>
      <c r="D5" s="2" t="str">
        <f t="shared" si="3"/>
        <v>Ilmiah</v>
      </c>
      <c r="E5" s="2" t="str">
        <f t="shared" si="0"/>
        <v>05</v>
      </c>
      <c r="F5" s="25">
        <v>42998</v>
      </c>
      <c r="G5" s="2">
        <v>1</v>
      </c>
      <c r="H5" s="2">
        <f t="shared" si="1"/>
        <v>10</v>
      </c>
      <c r="I5" s="2">
        <f t="shared" si="4"/>
        <v>10000</v>
      </c>
      <c r="K5" s="135"/>
      <c r="L5" s="135"/>
    </row>
    <row r="6" spans="1:12">
      <c r="A6" s="25">
        <v>42952</v>
      </c>
      <c r="B6" s="2" t="s">
        <v>5</v>
      </c>
      <c r="C6" s="2" t="str">
        <f t="shared" si="2"/>
        <v>Inggris</v>
      </c>
      <c r="D6" s="2" t="str">
        <f t="shared" si="3"/>
        <v>Novel</v>
      </c>
      <c r="E6" s="2" t="str">
        <f t="shared" si="0"/>
        <v>06</v>
      </c>
      <c r="F6" s="25">
        <v>42953</v>
      </c>
      <c r="G6" s="2">
        <v>1</v>
      </c>
      <c r="H6" s="2">
        <f t="shared" si="1"/>
        <v>1</v>
      </c>
      <c r="I6" s="2">
        <f t="shared" si="4"/>
        <v>0</v>
      </c>
      <c r="K6" s="134" t="s">
        <v>632</v>
      </c>
      <c r="L6" s="134" t="s">
        <v>633</v>
      </c>
    </row>
    <row r="7" spans="1:12" ht="15" thickBot="1">
      <c r="A7" s="25">
        <v>42986</v>
      </c>
      <c r="B7" s="2" t="s">
        <v>6</v>
      </c>
      <c r="C7" s="2" t="str">
        <f t="shared" si="2"/>
        <v>Indonesia</v>
      </c>
      <c r="D7" s="2" t="str">
        <f t="shared" si="3"/>
        <v>Ilmiah</v>
      </c>
      <c r="E7" s="2" t="str">
        <f t="shared" si="0"/>
        <v>03</v>
      </c>
      <c r="F7" s="25">
        <v>42988</v>
      </c>
      <c r="G7" s="2">
        <v>3</v>
      </c>
      <c r="H7" s="2">
        <f t="shared" si="1"/>
        <v>2</v>
      </c>
      <c r="I7" s="2">
        <f t="shared" si="4"/>
        <v>0</v>
      </c>
      <c r="K7" s="135"/>
      <c r="L7" s="135"/>
    </row>
    <row r="8" spans="1:12">
      <c r="A8" s="25">
        <v>42976</v>
      </c>
      <c r="B8" s="2" t="s">
        <v>7</v>
      </c>
      <c r="C8" s="2" t="str">
        <f t="shared" si="2"/>
        <v>Inggris</v>
      </c>
      <c r="D8" s="2" t="str">
        <f t="shared" si="3"/>
        <v>Ilmiah</v>
      </c>
      <c r="E8" s="2" t="str">
        <f t="shared" si="0"/>
        <v>11</v>
      </c>
      <c r="F8" s="25">
        <v>42979</v>
      </c>
      <c r="G8" s="2">
        <v>2</v>
      </c>
      <c r="H8" s="2">
        <f t="shared" si="1"/>
        <v>3</v>
      </c>
      <c r="I8" s="2">
        <f t="shared" si="4"/>
        <v>3000</v>
      </c>
      <c r="K8" s="134">
        <v>43257</v>
      </c>
      <c r="L8" s="134">
        <v>43319</v>
      </c>
    </row>
    <row r="9" spans="1:12" ht="15" thickBot="1">
      <c r="A9" s="25">
        <v>42976</v>
      </c>
      <c r="B9" s="2" t="s">
        <v>8</v>
      </c>
      <c r="C9" s="2" t="str">
        <f t="shared" si="2"/>
        <v>Indonesia</v>
      </c>
      <c r="D9" s="2" t="str">
        <f t="shared" si="3"/>
        <v>Novel</v>
      </c>
      <c r="E9" s="2" t="str">
        <f t="shared" si="0"/>
        <v>09</v>
      </c>
      <c r="F9" s="25">
        <v>42988</v>
      </c>
      <c r="G9" s="2">
        <v>6</v>
      </c>
      <c r="H9" s="2">
        <f t="shared" si="1"/>
        <v>12</v>
      </c>
      <c r="I9" s="2">
        <f t="shared" si="4"/>
        <v>18000</v>
      </c>
      <c r="K9" s="135"/>
      <c r="L9" s="135"/>
    </row>
    <row r="10" spans="1:12">
      <c r="A10" s="25">
        <v>42978</v>
      </c>
      <c r="B10" s="2" t="s">
        <v>9</v>
      </c>
      <c r="C10" s="2" t="str">
        <f t="shared" si="2"/>
        <v>Inggris</v>
      </c>
      <c r="D10" s="2" t="str">
        <f t="shared" si="3"/>
        <v>Novel</v>
      </c>
      <c r="E10" s="2" t="str">
        <f t="shared" si="0"/>
        <v>18</v>
      </c>
      <c r="F10" s="25">
        <v>42987</v>
      </c>
      <c r="G10" s="2">
        <v>4</v>
      </c>
      <c r="H10" s="2">
        <f t="shared" si="1"/>
        <v>9</v>
      </c>
      <c r="I10" s="2">
        <f t="shared" si="4"/>
        <v>13500</v>
      </c>
      <c r="K10" s="134">
        <v>43196</v>
      </c>
      <c r="L10" s="134">
        <v>43350</v>
      </c>
    </row>
    <row r="11" spans="1:12" ht="15" thickBot="1">
      <c r="A11" s="25">
        <v>42980</v>
      </c>
      <c r="B11" s="2" t="s">
        <v>10</v>
      </c>
      <c r="C11" s="2" t="str">
        <f t="shared" si="2"/>
        <v>Inggris</v>
      </c>
      <c r="D11" s="2" t="str">
        <f t="shared" si="3"/>
        <v>Ilmiah</v>
      </c>
      <c r="E11" s="2" t="str">
        <f t="shared" si="0"/>
        <v>01</v>
      </c>
      <c r="F11" s="25">
        <v>42983</v>
      </c>
      <c r="G11" s="2">
        <v>1</v>
      </c>
      <c r="H11" s="2">
        <f>DATEDIF(A11,F11,"d")</f>
        <v>3</v>
      </c>
      <c r="I11" s="2">
        <f t="shared" si="4"/>
        <v>3000</v>
      </c>
      <c r="K11" s="135"/>
      <c r="L11" s="135"/>
    </row>
    <row r="12" spans="1:12">
      <c r="K12" s="134" t="s">
        <v>634</v>
      </c>
      <c r="L12" s="134" t="s">
        <v>635</v>
      </c>
    </row>
    <row r="13" spans="1:12" ht="15" thickBot="1">
      <c r="K13" s="135"/>
      <c r="L13" s="135"/>
    </row>
    <row r="14" spans="1:12">
      <c r="K14" s="134" t="s">
        <v>636</v>
      </c>
      <c r="L14" s="134" t="s">
        <v>637</v>
      </c>
    </row>
    <row r="15" spans="1:12" ht="15" thickBot="1">
      <c r="K15" s="135"/>
      <c r="L15" s="135"/>
    </row>
    <row r="16" spans="1:12">
      <c r="A16" s="3" t="s">
        <v>18</v>
      </c>
      <c r="B16" s="3" t="s">
        <v>21</v>
      </c>
      <c r="D16" s="3" t="s">
        <v>18</v>
      </c>
      <c r="E16" s="3" t="s">
        <v>24</v>
      </c>
      <c r="F16" s="3" t="s">
        <v>28</v>
      </c>
      <c r="K16" s="134" t="s">
        <v>638</v>
      </c>
      <c r="L16" s="134" t="s">
        <v>635</v>
      </c>
    </row>
    <row r="17" spans="1:12" ht="15" thickBot="1">
      <c r="A17" s="3" t="s">
        <v>19</v>
      </c>
      <c r="B17" s="3" t="s">
        <v>22</v>
      </c>
      <c r="D17" s="3" t="s">
        <v>12</v>
      </c>
      <c r="E17" s="3" t="s">
        <v>25</v>
      </c>
      <c r="F17" s="3" t="s">
        <v>26</v>
      </c>
      <c r="K17" s="135"/>
      <c r="L17" s="135"/>
    </row>
    <row r="18" spans="1:12">
      <c r="A18" s="3" t="s">
        <v>20</v>
      </c>
      <c r="B18" s="3" t="s">
        <v>23</v>
      </c>
      <c r="K18" s="134" t="s">
        <v>639</v>
      </c>
      <c r="L18" s="134" t="s">
        <v>634</v>
      </c>
    </row>
    <row r="19" spans="1:12" ht="15" thickBot="1">
      <c r="K19" s="135"/>
      <c r="L19" s="135"/>
    </row>
    <row r="20" spans="1:12">
      <c r="A20" s="3" t="s">
        <v>27</v>
      </c>
      <c r="B20" s="3" t="s">
        <v>25</v>
      </c>
      <c r="C20" s="3" t="s">
        <v>26</v>
      </c>
      <c r="K20" s="134">
        <v>43319</v>
      </c>
      <c r="L20" s="134">
        <v>43351</v>
      </c>
    </row>
    <row r="21" spans="1:12" ht="15" thickBot="1">
      <c r="A21" s="3" t="s">
        <v>17</v>
      </c>
      <c r="B21" s="3">
        <v>1000</v>
      </c>
      <c r="C21" s="3">
        <v>1500</v>
      </c>
      <c r="K21" s="135"/>
      <c r="L21" s="135"/>
    </row>
    <row r="22" spans="1:12">
      <c r="K22" s="134" t="s">
        <v>640</v>
      </c>
      <c r="L22" s="134" t="s">
        <v>641</v>
      </c>
    </row>
    <row r="23" spans="1:12" ht="15" thickBot="1">
      <c r="K23" s="135"/>
      <c r="L23" s="135"/>
    </row>
    <row r="24" spans="1:12">
      <c r="K24" s="134" t="s">
        <v>642</v>
      </c>
      <c r="L24" s="134" t="s">
        <v>643</v>
      </c>
    </row>
    <row r="25" spans="1:12" ht="15" thickBot="1">
      <c r="K25" s="135"/>
      <c r="L25" s="135"/>
    </row>
    <row r="26" spans="1:12">
      <c r="K26" s="134">
        <v>43410</v>
      </c>
      <c r="L26" s="134" t="s">
        <v>644</v>
      </c>
    </row>
    <row r="27" spans="1:12" ht="15" thickBot="1">
      <c r="K27" s="135"/>
      <c r="L27" s="135"/>
    </row>
    <row r="28" spans="1:12">
      <c r="K28" s="134">
        <v>43258</v>
      </c>
      <c r="L28" s="134">
        <v>43289</v>
      </c>
    </row>
    <row r="29" spans="1:12" ht="15" thickBot="1">
      <c r="K29" s="135"/>
      <c r="L29" s="135"/>
    </row>
    <row r="30" spans="1:12">
      <c r="K30" s="134" t="s">
        <v>628</v>
      </c>
      <c r="L30" s="134" t="s">
        <v>633</v>
      </c>
    </row>
    <row r="31" spans="1:12" ht="15" thickBot="1">
      <c r="K31" s="135"/>
      <c r="L31" s="135"/>
    </row>
    <row r="32" spans="1:12">
      <c r="K32" s="134" t="s">
        <v>645</v>
      </c>
      <c r="L32" s="134" t="s">
        <v>646</v>
      </c>
    </row>
    <row r="33" spans="11:12" ht="15" thickBot="1">
      <c r="K33" s="135"/>
      <c r="L33" s="135"/>
    </row>
    <row r="34" spans="11:12">
      <c r="K34" s="134" t="s">
        <v>647</v>
      </c>
      <c r="L34" s="134" t="s">
        <v>648</v>
      </c>
    </row>
    <row r="35" spans="11:12" ht="15" thickBot="1">
      <c r="K35" s="135"/>
      <c r="L35" s="135"/>
    </row>
    <row r="36" spans="11:12">
      <c r="K36" s="134">
        <v>43137</v>
      </c>
      <c r="L36" s="134">
        <v>43319</v>
      </c>
    </row>
    <row r="37" spans="11:12" ht="15" thickBot="1">
      <c r="K37" s="135"/>
      <c r="L37" s="135"/>
    </row>
    <row r="38" spans="11:12">
      <c r="K38" s="134">
        <v>43411</v>
      </c>
      <c r="L38" s="134">
        <v>43412</v>
      </c>
    </row>
    <row r="39" spans="11:12" ht="15" thickBot="1">
      <c r="K39" s="135"/>
      <c r="L39" s="135"/>
    </row>
    <row r="40" spans="11:12">
      <c r="K40" s="134" t="s">
        <v>642</v>
      </c>
      <c r="L40" s="134" t="s">
        <v>649</v>
      </c>
    </row>
    <row r="41" spans="11:12" ht="15" thickBot="1">
      <c r="K41" s="135"/>
      <c r="L41" s="135"/>
    </row>
    <row r="42" spans="11:12">
      <c r="K42" s="134" t="s">
        <v>650</v>
      </c>
      <c r="L42" s="134" t="s">
        <v>644</v>
      </c>
    </row>
    <row r="43" spans="11:12" ht="15" thickBot="1">
      <c r="K43" s="135"/>
      <c r="L43" s="135"/>
    </row>
    <row r="44" spans="11:12">
      <c r="K44" s="134">
        <v>43166</v>
      </c>
      <c r="L44" s="134">
        <v>43228</v>
      </c>
    </row>
    <row r="45" spans="11:12" ht="15" thickBot="1">
      <c r="K45" s="135"/>
      <c r="L45" s="135"/>
    </row>
    <row r="46" spans="11:12">
      <c r="K46" s="134" t="s">
        <v>645</v>
      </c>
      <c r="L46" s="134" t="s">
        <v>631</v>
      </c>
    </row>
    <row r="47" spans="11:12" ht="15" thickBot="1">
      <c r="K47" s="135"/>
      <c r="L47" s="135"/>
    </row>
    <row r="48" spans="11:12">
      <c r="K48" s="134">
        <v>43380</v>
      </c>
      <c r="L48" s="134">
        <v>43412</v>
      </c>
    </row>
    <row r="49" spans="11:12" ht="15" thickBot="1">
      <c r="K49" s="135"/>
      <c r="L49" s="135"/>
    </row>
    <row r="50" spans="11:12">
      <c r="K50" s="134" t="s">
        <v>636</v>
      </c>
      <c r="L50" s="134" t="s">
        <v>651</v>
      </c>
    </row>
    <row r="51" spans="11:12" ht="15" thickBot="1">
      <c r="K51" s="135"/>
      <c r="L51" s="135"/>
    </row>
    <row r="52" spans="11:12">
      <c r="K52" s="134" t="s">
        <v>652</v>
      </c>
      <c r="L52" s="134" t="s">
        <v>649</v>
      </c>
    </row>
    <row r="53" spans="11:12" ht="15" thickBot="1">
      <c r="K53" s="135"/>
      <c r="L53" s="135"/>
    </row>
    <row r="54" spans="11:12">
      <c r="K54" s="134" t="s">
        <v>636</v>
      </c>
      <c r="L54" s="134" t="s">
        <v>653</v>
      </c>
    </row>
    <row r="55" spans="11:12" ht="15" thickBot="1">
      <c r="K55" s="135"/>
      <c r="L55" s="135"/>
    </row>
    <row r="56" spans="11:12">
      <c r="K56" s="134">
        <v>43257</v>
      </c>
      <c r="L56" s="134">
        <v>43288</v>
      </c>
    </row>
    <row r="57" spans="11:12" ht="15" thickBot="1">
      <c r="K57" s="135"/>
      <c r="L57" s="135"/>
    </row>
    <row r="58" spans="11:12">
      <c r="K58" s="134" t="s">
        <v>639</v>
      </c>
      <c r="L58" s="134" t="s">
        <v>654</v>
      </c>
    </row>
    <row r="59" spans="11:12" ht="15" thickBot="1">
      <c r="K59" s="135"/>
      <c r="L59" s="135"/>
    </row>
    <row r="60" spans="11:12">
      <c r="K60" s="134">
        <v>43227</v>
      </c>
      <c r="L60" s="134">
        <v>43381</v>
      </c>
    </row>
    <row r="61" spans="11:12" ht="15" thickBot="1">
      <c r="K61" s="135"/>
      <c r="L61" s="135"/>
    </row>
    <row r="62" spans="11:12">
      <c r="K62" s="134">
        <v>43287</v>
      </c>
      <c r="L62" s="134" t="s">
        <v>644</v>
      </c>
    </row>
    <row r="63" spans="11:12" ht="15" thickBot="1">
      <c r="K63" s="135"/>
      <c r="L63" s="135"/>
    </row>
    <row r="64" spans="11:12">
      <c r="K64" s="134" t="s">
        <v>655</v>
      </c>
      <c r="L64" s="134" t="s">
        <v>656</v>
      </c>
    </row>
    <row r="65" spans="11:12" ht="15" thickBot="1">
      <c r="K65" s="135"/>
      <c r="L65" s="135"/>
    </row>
    <row r="66" spans="11:12">
      <c r="K66" s="134">
        <v>43410</v>
      </c>
      <c r="L66" s="134" t="s">
        <v>644</v>
      </c>
    </row>
    <row r="67" spans="11:12" ht="15" thickBot="1">
      <c r="K67" s="135"/>
      <c r="L67" s="135"/>
    </row>
    <row r="68" spans="11:12">
      <c r="K68" s="134" t="s">
        <v>657</v>
      </c>
      <c r="L68" s="134" t="s">
        <v>630</v>
      </c>
    </row>
    <row r="69" spans="11:12" ht="15" thickBot="1">
      <c r="K69" s="135"/>
      <c r="L69" s="135"/>
    </row>
    <row r="70" spans="11:12">
      <c r="K70" s="134">
        <v>43318</v>
      </c>
      <c r="L70" s="134">
        <v>43411</v>
      </c>
    </row>
    <row r="71" spans="11:12" ht="15" thickBot="1">
      <c r="K71" s="135"/>
      <c r="L71" s="135"/>
    </row>
    <row r="72" spans="11:12">
      <c r="K72" s="134" t="s">
        <v>650</v>
      </c>
      <c r="L72" s="134" t="s">
        <v>652</v>
      </c>
    </row>
    <row r="73" spans="11:12" ht="15" thickBot="1">
      <c r="K73" s="135"/>
      <c r="L73" s="135"/>
    </row>
    <row r="74" spans="11:12">
      <c r="K74" s="134" t="s">
        <v>658</v>
      </c>
      <c r="L74" s="134" t="s">
        <v>640</v>
      </c>
    </row>
    <row r="75" spans="11:12" ht="15" thickBot="1">
      <c r="K75" s="135"/>
      <c r="L75" s="135"/>
    </row>
    <row r="76" spans="11:12">
      <c r="K76" s="134" t="s">
        <v>654</v>
      </c>
      <c r="L76" s="134" t="s">
        <v>653</v>
      </c>
    </row>
    <row r="77" spans="11:12" ht="15" thickBot="1">
      <c r="K77" s="135"/>
      <c r="L77" s="135"/>
    </row>
    <row r="78" spans="11:12">
      <c r="K78" s="134" t="s">
        <v>636</v>
      </c>
      <c r="L78" s="134" t="s">
        <v>651</v>
      </c>
    </row>
    <row r="79" spans="11:12" ht="15" thickBot="1">
      <c r="K79" s="135"/>
      <c r="L79" s="135"/>
    </row>
    <row r="80" spans="11:12">
      <c r="K80" s="134" t="s">
        <v>659</v>
      </c>
      <c r="L80" s="134" t="s">
        <v>652</v>
      </c>
    </row>
    <row r="81" spans="11:12" ht="15" thickBot="1">
      <c r="K81" s="135"/>
      <c r="L81" s="135"/>
    </row>
    <row r="82" spans="11:12">
      <c r="K82" s="134" t="s">
        <v>660</v>
      </c>
      <c r="L82" s="134" t="s">
        <v>642</v>
      </c>
    </row>
    <row r="83" spans="11:12" ht="15" thickBot="1">
      <c r="K83" s="135"/>
      <c r="L83" s="135"/>
    </row>
    <row r="84" spans="11:12">
      <c r="K84" s="134" t="s">
        <v>640</v>
      </c>
      <c r="L84" s="134" t="s">
        <v>643</v>
      </c>
    </row>
    <row r="85" spans="11:12" ht="15" thickBot="1">
      <c r="K85" s="135"/>
      <c r="L85" s="135"/>
    </row>
    <row r="86" spans="11:12">
      <c r="K86" s="134">
        <v>43349</v>
      </c>
      <c r="L86" s="134" t="s">
        <v>655</v>
      </c>
    </row>
    <row r="87" spans="11:12" ht="15" thickBot="1">
      <c r="K87" s="135"/>
      <c r="L87" s="135"/>
    </row>
    <row r="88" spans="11:12">
      <c r="K88" s="134">
        <v>43288</v>
      </c>
      <c r="L88" s="134" t="s">
        <v>661</v>
      </c>
    </row>
    <row r="89" spans="11:12" ht="15" thickBot="1">
      <c r="K89" s="135"/>
      <c r="L89" s="135"/>
    </row>
    <row r="90" spans="11:12">
      <c r="K90" s="134" t="s">
        <v>657</v>
      </c>
      <c r="L90" s="134" t="s">
        <v>662</v>
      </c>
    </row>
    <row r="91" spans="11:12" ht="15" thickBot="1">
      <c r="K91" s="135"/>
      <c r="L91" s="135"/>
    </row>
    <row r="92" spans="11:12">
      <c r="K92" s="134">
        <v>43138</v>
      </c>
      <c r="L92" s="134">
        <v>43320</v>
      </c>
    </row>
    <row r="93" spans="11:12" ht="15" thickBot="1">
      <c r="K93" s="135"/>
      <c r="L93" s="135"/>
    </row>
    <row r="94" spans="11:12">
      <c r="K94" s="134" t="s">
        <v>642</v>
      </c>
      <c r="L94" s="134" t="s">
        <v>641</v>
      </c>
    </row>
    <row r="95" spans="11:12" ht="15" thickBot="1">
      <c r="K95" s="135"/>
      <c r="L95" s="135"/>
    </row>
    <row r="96" spans="11:12">
      <c r="K96" s="134">
        <v>43440</v>
      </c>
      <c r="L96" s="134">
        <v>43441</v>
      </c>
    </row>
    <row r="97" spans="11:12" ht="15" thickBot="1">
      <c r="K97" s="135"/>
      <c r="L97" s="135"/>
    </row>
    <row r="98" spans="11:12">
      <c r="K98" s="134" t="s">
        <v>652</v>
      </c>
      <c r="L98" s="134" t="s">
        <v>663</v>
      </c>
    </row>
    <row r="99" spans="11:12" ht="15" thickBot="1">
      <c r="K99" s="135"/>
      <c r="L99" s="135"/>
    </row>
    <row r="100" spans="11:12">
      <c r="K100" s="134" t="s">
        <v>664</v>
      </c>
      <c r="L100" s="134" t="s">
        <v>665</v>
      </c>
    </row>
    <row r="101" spans="11:12" ht="15" thickBot="1">
      <c r="K101" s="135"/>
      <c r="L101" s="135"/>
    </row>
    <row r="102" spans="11:12">
      <c r="K102" s="134">
        <v>44110</v>
      </c>
      <c r="L102" s="134">
        <v>44142</v>
      </c>
    </row>
    <row r="103" spans="11:12" ht="15" thickBot="1">
      <c r="K103" s="135"/>
      <c r="L103" s="135"/>
    </row>
    <row r="104" spans="11:12">
      <c r="K104" s="134">
        <v>43989</v>
      </c>
      <c r="L104" s="134">
        <v>44051</v>
      </c>
    </row>
    <row r="105" spans="11:12" ht="15" thickBot="1">
      <c r="K105" s="135"/>
      <c r="L105" s="135"/>
    </row>
    <row r="106" spans="11:12">
      <c r="K106" s="134">
        <v>43867</v>
      </c>
      <c r="L106" s="134">
        <v>43958</v>
      </c>
    </row>
    <row r="107" spans="11:12" ht="15" thickBot="1">
      <c r="K107" s="135"/>
      <c r="L107" s="135"/>
    </row>
    <row r="108" spans="11:12">
      <c r="K108" s="134" t="s">
        <v>666</v>
      </c>
      <c r="L108" s="134" t="s">
        <v>667</v>
      </c>
    </row>
    <row r="109" spans="11:12" ht="15" thickBot="1">
      <c r="K109" s="135"/>
      <c r="L109" s="135"/>
    </row>
    <row r="110" spans="11:12">
      <c r="K110" s="134">
        <v>43897</v>
      </c>
      <c r="L110" s="134">
        <v>43990</v>
      </c>
    </row>
    <row r="111" spans="11:12" ht="15" thickBot="1">
      <c r="K111" s="135"/>
      <c r="L111" s="135"/>
    </row>
    <row r="112" spans="11:12">
      <c r="K112" s="134">
        <v>43928</v>
      </c>
      <c r="L112" s="134">
        <v>43990</v>
      </c>
    </row>
    <row r="113" spans="11:12" ht="15" thickBot="1">
      <c r="K113" s="135"/>
      <c r="L113" s="135"/>
    </row>
    <row r="114" spans="11:12">
      <c r="K114" s="134" t="s">
        <v>668</v>
      </c>
      <c r="L114" s="134" t="s">
        <v>669</v>
      </c>
    </row>
    <row r="115" spans="11:12" ht="15" thickBot="1">
      <c r="K115" s="135"/>
      <c r="L115" s="135"/>
    </row>
    <row r="116" spans="11:12">
      <c r="K116" s="134" t="s">
        <v>670</v>
      </c>
      <c r="L116" s="134" t="s">
        <v>671</v>
      </c>
    </row>
    <row r="117" spans="11:12" ht="15" thickBot="1">
      <c r="K117" s="135"/>
      <c r="L117" s="135"/>
    </row>
    <row r="118" spans="11:12">
      <c r="K118" s="134">
        <v>44049</v>
      </c>
      <c r="L118" s="134">
        <v>44050</v>
      </c>
    </row>
    <row r="119" spans="11:12" ht="15" thickBot="1">
      <c r="K119" s="135"/>
      <c r="L119" s="135"/>
    </row>
    <row r="120" spans="11:12">
      <c r="K120" s="134" t="s">
        <v>672</v>
      </c>
      <c r="L120" s="134" t="s">
        <v>673</v>
      </c>
    </row>
    <row r="121" spans="11:12" ht="15" thickBot="1">
      <c r="K121" s="135"/>
      <c r="L121" s="135"/>
    </row>
    <row r="122" spans="11:12">
      <c r="K122" s="134">
        <v>44049</v>
      </c>
      <c r="L122" s="134">
        <v>44081</v>
      </c>
    </row>
    <row r="123" spans="11:12" ht="15" thickBot="1">
      <c r="K123" s="135"/>
      <c r="L123" s="135"/>
    </row>
    <row r="124" spans="11:12">
      <c r="K124" s="134" t="s">
        <v>674</v>
      </c>
      <c r="L124" s="134" t="s">
        <v>675</v>
      </c>
    </row>
    <row r="125" spans="11:12" ht="15" thickBot="1">
      <c r="K125" s="135"/>
      <c r="L125" s="135"/>
    </row>
    <row r="126" spans="11:12">
      <c r="K126" s="134" t="s">
        <v>676</v>
      </c>
      <c r="L126" s="134" t="s">
        <v>677</v>
      </c>
    </row>
    <row r="127" spans="11:12" ht="15" thickBot="1">
      <c r="K127" s="135"/>
      <c r="L127" s="135"/>
    </row>
    <row r="128" spans="11:12">
      <c r="K128" s="134" t="s">
        <v>678</v>
      </c>
      <c r="L128" s="134" t="s">
        <v>679</v>
      </c>
    </row>
    <row r="129" spans="11:12" ht="15" thickBot="1">
      <c r="K129" s="135"/>
      <c r="L129" s="135"/>
    </row>
    <row r="130" spans="11:12">
      <c r="K130" s="134">
        <v>43868</v>
      </c>
      <c r="L130" s="134">
        <v>43959</v>
      </c>
    </row>
    <row r="131" spans="11:12" ht="15" thickBot="1">
      <c r="K131" s="135"/>
      <c r="L131" s="135"/>
    </row>
    <row r="132" spans="11:12">
      <c r="K132" s="134" t="s">
        <v>670</v>
      </c>
      <c r="L132" s="134" t="s">
        <v>671</v>
      </c>
    </row>
    <row r="133" spans="11:12" ht="15" thickBot="1">
      <c r="K133" s="135"/>
      <c r="L133" s="135"/>
    </row>
    <row r="134" spans="11:12">
      <c r="K134" s="134">
        <v>43837</v>
      </c>
      <c r="L134" s="134">
        <v>44051</v>
      </c>
    </row>
    <row r="135" spans="11:12" ht="15" thickBot="1">
      <c r="K135" s="135"/>
      <c r="L135" s="135"/>
    </row>
    <row r="136" spans="11:12">
      <c r="K136" s="134" t="s">
        <v>680</v>
      </c>
      <c r="L136" s="134" t="s">
        <v>677</v>
      </c>
    </row>
    <row r="137" spans="11:12" ht="15" thickBot="1">
      <c r="K137" s="135"/>
      <c r="L137" s="135"/>
    </row>
    <row r="138" spans="11:12">
      <c r="K138" s="134">
        <v>44080</v>
      </c>
      <c r="L138" s="134">
        <v>44081</v>
      </c>
    </row>
    <row r="139" spans="11:12" ht="15" thickBot="1">
      <c r="K139" s="135"/>
      <c r="L139" s="135"/>
    </row>
    <row r="140" spans="11:12">
      <c r="K140" s="134" t="s">
        <v>680</v>
      </c>
      <c r="L140" s="134" t="s">
        <v>681</v>
      </c>
    </row>
    <row r="141" spans="11:12" ht="15" thickBot="1">
      <c r="K141" s="135"/>
      <c r="L141" s="135"/>
    </row>
    <row r="142" spans="11:12">
      <c r="K142" s="134" t="s">
        <v>682</v>
      </c>
      <c r="L142" s="134" t="s">
        <v>683</v>
      </c>
    </row>
    <row r="143" spans="11:12" ht="15" thickBot="1">
      <c r="K143" s="135"/>
      <c r="L143" s="135"/>
    </row>
    <row r="144" spans="11:12">
      <c r="K144" s="134">
        <v>43836</v>
      </c>
      <c r="L144" s="134">
        <v>44019</v>
      </c>
    </row>
    <row r="145" spans="11:12" ht="15" thickBot="1">
      <c r="K145" s="135"/>
      <c r="L145" s="135"/>
    </row>
    <row r="146" spans="11:12">
      <c r="K146" s="134">
        <v>44050</v>
      </c>
      <c r="L146" s="134">
        <v>44112</v>
      </c>
    </row>
    <row r="147" spans="11:12" ht="15" thickBot="1">
      <c r="K147" s="135"/>
      <c r="L147" s="135"/>
    </row>
    <row r="148" spans="11:12">
      <c r="K148" s="134">
        <v>43958</v>
      </c>
      <c r="L148" s="134">
        <v>44051</v>
      </c>
    </row>
    <row r="149" spans="11:12" ht="15" thickBot="1">
      <c r="K149" s="135"/>
      <c r="L149" s="135"/>
    </row>
    <row r="150" spans="11:12">
      <c r="K150" s="134" t="s">
        <v>684</v>
      </c>
      <c r="L150" s="134" t="s">
        <v>685</v>
      </c>
    </row>
    <row r="151" spans="11:12" ht="15" thickBot="1">
      <c r="K151" s="135"/>
      <c r="L151" s="135"/>
    </row>
    <row r="152" spans="11:12">
      <c r="K152" s="134" t="s">
        <v>686</v>
      </c>
      <c r="L152" s="134" t="s">
        <v>687</v>
      </c>
    </row>
    <row r="153" spans="11:12" ht="15" thickBot="1">
      <c r="K153" s="135"/>
      <c r="L153" s="135"/>
    </row>
    <row r="154" spans="11:12">
      <c r="K154" s="134">
        <v>43897</v>
      </c>
      <c r="L154" s="134">
        <v>43959</v>
      </c>
    </row>
    <row r="155" spans="11:12" ht="15" thickBot="1">
      <c r="K155" s="135"/>
      <c r="L155" s="135"/>
    </row>
    <row r="156" spans="11:12">
      <c r="K156" s="134" t="s">
        <v>678</v>
      </c>
      <c r="L156" s="134" t="s">
        <v>672</v>
      </c>
    </row>
    <row r="157" spans="11:12" ht="15" thickBot="1">
      <c r="K157" s="135"/>
      <c r="L157" s="135"/>
    </row>
    <row r="158" spans="11:12">
      <c r="K158" s="134" t="s">
        <v>688</v>
      </c>
      <c r="L158" s="134" t="s">
        <v>689</v>
      </c>
    </row>
    <row r="159" spans="11:12" ht="15" thickBot="1">
      <c r="K159" s="135"/>
      <c r="L159" s="135"/>
    </row>
    <row r="160" spans="11:12">
      <c r="K160" s="134" t="s">
        <v>690</v>
      </c>
      <c r="L160" s="134" t="s">
        <v>675</v>
      </c>
    </row>
    <row r="161" spans="11:12" ht="15" thickBot="1">
      <c r="K161" s="135"/>
      <c r="L161" s="135"/>
    </row>
    <row r="162" spans="11:12">
      <c r="K162" s="134" t="s">
        <v>666</v>
      </c>
      <c r="L162" s="134" t="s">
        <v>683</v>
      </c>
    </row>
    <row r="163" spans="11:12" ht="15" thickBot="1">
      <c r="K163" s="135"/>
      <c r="L163" s="135"/>
    </row>
    <row r="164" spans="11:12">
      <c r="K164" s="134" t="s">
        <v>691</v>
      </c>
      <c r="L164" s="134" t="s">
        <v>685</v>
      </c>
    </row>
    <row r="165" spans="11:12" ht="15" thickBot="1">
      <c r="K165" s="135"/>
      <c r="L165" s="135"/>
    </row>
    <row r="166" spans="11:12">
      <c r="K166" s="134" t="s">
        <v>685</v>
      </c>
      <c r="L166" s="134" t="s">
        <v>692</v>
      </c>
    </row>
    <row r="167" spans="11:12" ht="15" thickBot="1">
      <c r="K167" s="135"/>
      <c r="L167" s="135"/>
    </row>
    <row r="168" spans="11:12">
      <c r="K168" s="134">
        <v>44171</v>
      </c>
      <c r="L168" s="134" t="s">
        <v>672</v>
      </c>
    </row>
    <row r="169" spans="11:12" ht="15" thickBot="1">
      <c r="K169" s="135"/>
      <c r="L169" s="135"/>
    </row>
    <row r="170" spans="11:12">
      <c r="K170" s="134" t="s">
        <v>682</v>
      </c>
      <c r="L170" s="134" t="s">
        <v>683</v>
      </c>
    </row>
    <row r="171" spans="11:12" ht="15" thickBot="1">
      <c r="K171" s="135"/>
      <c r="L171" s="135"/>
    </row>
    <row r="172" spans="11:12">
      <c r="K172" s="134">
        <v>43868</v>
      </c>
      <c r="L172" s="134">
        <v>43869</v>
      </c>
    </row>
    <row r="173" spans="11:12" ht="15" thickBot="1">
      <c r="K173" s="135"/>
      <c r="L173" s="135"/>
    </row>
    <row r="174" spans="11:12">
      <c r="K174" s="134">
        <v>43988</v>
      </c>
      <c r="L174" s="134">
        <v>44081</v>
      </c>
    </row>
    <row r="175" spans="11:12" ht="15" thickBot="1">
      <c r="K175" s="135"/>
      <c r="L175" s="135"/>
    </row>
    <row r="176" spans="11:12">
      <c r="K176" s="134">
        <v>44081</v>
      </c>
      <c r="L176" s="134">
        <v>44143</v>
      </c>
    </row>
    <row r="177" spans="11:12" ht="15" thickBot="1">
      <c r="K177" s="135"/>
      <c r="L177" s="135"/>
    </row>
    <row r="178" spans="11:12">
      <c r="K178" s="134">
        <v>44142</v>
      </c>
      <c r="L178" s="134">
        <v>44143</v>
      </c>
    </row>
    <row r="179" spans="11:12" ht="15" thickBot="1">
      <c r="K179" s="135"/>
      <c r="L179" s="135"/>
    </row>
    <row r="180" spans="11:12">
      <c r="K180" s="134" t="s">
        <v>674</v>
      </c>
      <c r="L180" s="134" t="s">
        <v>693</v>
      </c>
    </row>
    <row r="181" spans="11:12" ht="15" thickBot="1">
      <c r="K181" s="135"/>
      <c r="L181" s="135"/>
    </row>
    <row r="182" spans="11:12">
      <c r="K182" s="134" t="s">
        <v>693</v>
      </c>
      <c r="L182" s="134" t="s">
        <v>692</v>
      </c>
    </row>
    <row r="183" spans="11:12" ht="15" thickBot="1">
      <c r="K183" s="135"/>
      <c r="L183" s="135"/>
    </row>
    <row r="184" spans="11:12">
      <c r="K184" s="134" t="s">
        <v>688</v>
      </c>
      <c r="L184" s="134" t="s">
        <v>689</v>
      </c>
    </row>
    <row r="185" spans="11:12" ht="15" thickBot="1">
      <c r="K185" s="135"/>
      <c r="L185" s="135"/>
    </row>
    <row r="186" spans="11:12">
      <c r="K186" s="134">
        <v>43957</v>
      </c>
      <c r="L186" s="134">
        <v>44172</v>
      </c>
    </row>
    <row r="187" spans="11:12" ht="15" thickBot="1">
      <c r="K187" s="135"/>
      <c r="L187" s="135"/>
    </row>
    <row r="188" spans="11:12">
      <c r="K188" s="134" t="s">
        <v>691</v>
      </c>
      <c r="L188" s="134" t="s">
        <v>693</v>
      </c>
    </row>
    <row r="189" spans="11:12" ht="15" thickBot="1">
      <c r="K189" s="135"/>
      <c r="L189" s="135"/>
    </row>
    <row r="190" spans="11:12">
      <c r="K190" s="134">
        <v>44172</v>
      </c>
      <c r="L190" s="134" t="s">
        <v>683</v>
      </c>
    </row>
    <row r="191" spans="11:12" ht="15" thickBot="1">
      <c r="K191" s="135"/>
      <c r="L191" s="135"/>
    </row>
    <row r="192" spans="11:12">
      <c r="K192" s="134" t="s">
        <v>694</v>
      </c>
      <c r="L192" s="134" t="s">
        <v>677</v>
      </c>
    </row>
    <row r="193" spans="11:12" ht="15" thickBot="1">
      <c r="K193" s="135"/>
      <c r="L193" s="135"/>
    </row>
    <row r="194" spans="11:12">
      <c r="K194" s="134">
        <v>43867</v>
      </c>
      <c r="L194" s="134">
        <v>44050</v>
      </c>
    </row>
    <row r="195" spans="11:12" ht="15" thickBot="1">
      <c r="K195" s="135"/>
      <c r="L195" s="135"/>
    </row>
    <row r="196" spans="11:12">
      <c r="K196" s="134">
        <v>44050</v>
      </c>
      <c r="L196" s="134">
        <v>44051</v>
      </c>
    </row>
    <row r="197" spans="11:12" ht="15" thickBot="1">
      <c r="K197" s="135"/>
      <c r="L197" s="135"/>
    </row>
    <row r="198" spans="11:12">
      <c r="K198" s="134" t="s">
        <v>695</v>
      </c>
      <c r="L198" s="134" t="s">
        <v>671</v>
      </c>
    </row>
    <row r="199" spans="11:12" ht="15" thickBot="1">
      <c r="K199" s="135"/>
      <c r="L199" s="135"/>
    </row>
    <row r="200" spans="11:12">
      <c r="K200" s="134">
        <v>43928</v>
      </c>
      <c r="L200" s="134">
        <v>44082</v>
      </c>
    </row>
    <row r="201" spans="11:12" ht="15" thickBot="1">
      <c r="K201" s="135"/>
      <c r="L201" s="135"/>
    </row>
    <row r="202" spans="11:12">
      <c r="K202" s="134" t="s">
        <v>696</v>
      </c>
      <c r="L202" s="134" t="s">
        <v>695</v>
      </c>
    </row>
    <row r="203" spans="11:12" ht="15" thickBot="1">
      <c r="K203" s="135"/>
      <c r="L203" s="135"/>
    </row>
    <row r="204" spans="11:12">
      <c r="K204" s="134">
        <v>43684</v>
      </c>
      <c r="L204" s="134">
        <v>43685</v>
      </c>
    </row>
    <row r="205" spans="11:12" ht="15" thickBot="1">
      <c r="K205" s="135"/>
      <c r="L205" s="135"/>
    </row>
    <row r="206" spans="11:12">
      <c r="K206" s="134">
        <v>43472</v>
      </c>
      <c r="L206" s="134">
        <v>43624</v>
      </c>
    </row>
    <row r="207" spans="11:12" ht="15" thickBot="1">
      <c r="K207" s="135"/>
      <c r="L207" s="135"/>
    </row>
    <row r="208" spans="11:12">
      <c r="K208" s="134">
        <v>43592</v>
      </c>
      <c r="L208" s="134">
        <v>43654</v>
      </c>
    </row>
    <row r="209" spans="11:12" ht="15" thickBot="1">
      <c r="K209" s="135"/>
      <c r="L209" s="135"/>
    </row>
    <row r="210" spans="11:12">
      <c r="K210" s="134" t="s">
        <v>697</v>
      </c>
      <c r="L210" s="134" t="s">
        <v>698</v>
      </c>
    </row>
    <row r="211" spans="11:12" ht="15" thickBot="1">
      <c r="K211" s="135"/>
      <c r="L211" s="135"/>
    </row>
    <row r="212" spans="11:12">
      <c r="K212" s="134">
        <v>43714</v>
      </c>
      <c r="L212" s="134">
        <v>43776</v>
      </c>
    </row>
    <row r="213" spans="11:12" ht="15" thickBot="1">
      <c r="K213" s="135"/>
      <c r="L213" s="135"/>
    </row>
    <row r="214" spans="11:12">
      <c r="K214" s="134" t="s">
        <v>699</v>
      </c>
      <c r="L214" s="134" t="s">
        <v>700</v>
      </c>
    </row>
    <row r="215" spans="11:12" ht="15" thickBot="1">
      <c r="K215" s="135"/>
      <c r="L215" s="135"/>
    </row>
    <row r="216" spans="11:12">
      <c r="K216" s="134" t="s">
        <v>701</v>
      </c>
      <c r="L216" s="134" t="s">
        <v>702</v>
      </c>
    </row>
    <row r="217" spans="11:12" ht="15" thickBot="1">
      <c r="K217" s="135"/>
      <c r="L217" s="135"/>
    </row>
    <row r="218" spans="11:12">
      <c r="K218" s="134" t="s">
        <v>703</v>
      </c>
      <c r="L218" s="134" t="s">
        <v>704</v>
      </c>
    </row>
    <row r="219" spans="11:12" ht="15" thickBot="1">
      <c r="K219" s="135"/>
      <c r="L219" s="135"/>
    </row>
    <row r="220" spans="11:12">
      <c r="K220" s="134">
        <v>43592</v>
      </c>
      <c r="L220" s="134">
        <v>43716</v>
      </c>
    </row>
    <row r="221" spans="11:12" ht="15" thickBot="1">
      <c r="K221" s="135"/>
      <c r="L221" s="135"/>
    </row>
    <row r="222" spans="11:12">
      <c r="K222" s="134" t="s">
        <v>705</v>
      </c>
      <c r="L222" s="134" t="s">
        <v>706</v>
      </c>
    </row>
    <row r="223" spans="11:12" ht="15" thickBot="1">
      <c r="K223" s="135"/>
      <c r="L223" s="135"/>
    </row>
    <row r="224" spans="11:12">
      <c r="K224" s="134" t="s">
        <v>701</v>
      </c>
      <c r="L224" s="134" t="s">
        <v>707</v>
      </c>
    </row>
    <row r="225" spans="11:12" ht="15" thickBot="1">
      <c r="K225" s="135"/>
      <c r="L225" s="135"/>
    </row>
    <row r="226" spans="11:12">
      <c r="K226" s="134">
        <v>43775</v>
      </c>
      <c r="L226" s="134">
        <v>43806</v>
      </c>
    </row>
    <row r="227" spans="11:12" ht="15" thickBot="1">
      <c r="K227" s="135"/>
      <c r="L227" s="135"/>
    </row>
    <row r="228" spans="11:12">
      <c r="K228" s="134" t="s">
        <v>708</v>
      </c>
      <c r="L228" s="134" t="s">
        <v>709</v>
      </c>
    </row>
    <row r="229" spans="11:12" ht="15" thickBot="1">
      <c r="K229" s="135"/>
      <c r="L229" s="135"/>
    </row>
    <row r="230" spans="11:12">
      <c r="K230" s="134" t="s">
        <v>710</v>
      </c>
      <c r="L230" s="134" t="s">
        <v>711</v>
      </c>
    </row>
    <row r="231" spans="11:12" ht="15" thickBot="1">
      <c r="K231" s="135"/>
      <c r="L231" s="135"/>
    </row>
    <row r="232" spans="11:12">
      <c r="K232" s="134" t="s">
        <v>712</v>
      </c>
      <c r="L232" s="134" t="s">
        <v>700</v>
      </c>
    </row>
    <row r="233" spans="11:12" ht="15" thickBot="1">
      <c r="K233" s="135"/>
      <c r="L233" s="135"/>
    </row>
    <row r="234" spans="11:12">
      <c r="K234" s="134">
        <v>43561</v>
      </c>
      <c r="L234" s="134">
        <v>43653</v>
      </c>
    </row>
    <row r="235" spans="11:12" ht="15" thickBot="1">
      <c r="K235" s="135"/>
      <c r="L235" s="135"/>
    </row>
    <row r="236" spans="11:12">
      <c r="K236" s="134" t="s">
        <v>713</v>
      </c>
      <c r="L236" s="134" t="s">
        <v>714</v>
      </c>
    </row>
    <row r="237" spans="11:12" ht="15" thickBot="1">
      <c r="K237" s="135"/>
      <c r="L237" s="135"/>
    </row>
    <row r="238" spans="11:12">
      <c r="K238" s="134" t="s">
        <v>715</v>
      </c>
      <c r="L238" s="134" t="s">
        <v>713</v>
      </c>
    </row>
    <row r="239" spans="11:12" ht="15" thickBot="1">
      <c r="K239" s="135"/>
      <c r="L239" s="135"/>
    </row>
    <row r="240" spans="11:12">
      <c r="K240" s="134" t="s">
        <v>716</v>
      </c>
      <c r="L240" s="134" t="s">
        <v>717</v>
      </c>
    </row>
    <row r="241" spans="11:12" ht="15" thickBot="1">
      <c r="K241" s="135"/>
      <c r="L241" s="135"/>
    </row>
    <row r="242" spans="11:12">
      <c r="K242" s="134">
        <v>43471</v>
      </c>
      <c r="L242" s="134">
        <v>43592</v>
      </c>
    </row>
    <row r="243" spans="11:12" ht="15" thickBot="1">
      <c r="K243" s="135"/>
      <c r="L243" s="135"/>
    </row>
    <row r="244" spans="11:12">
      <c r="K244" s="134">
        <v>43776</v>
      </c>
      <c r="L244" s="134" t="s">
        <v>718</v>
      </c>
    </row>
    <row r="245" spans="11:12" ht="15" thickBot="1">
      <c r="K245" s="135"/>
      <c r="L245" s="135"/>
    </row>
    <row r="246" spans="11:12">
      <c r="K246" s="134">
        <v>43592</v>
      </c>
      <c r="L246" s="134">
        <v>43593</v>
      </c>
    </row>
    <row r="247" spans="11:12" ht="15" thickBot="1">
      <c r="K247" s="135"/>
      <c r="L247" s="135"/>
    </row>
    <row r="248" spans="11:12">
      <c r="K248" s="134" t="s">
        <v>719</v>
      </c>
      <c r="L248" s="134" t="s">
        <v>704</v>
      </c>
    </row>
    <row r="249" spans="11:12" ht="15" thickBot="1">
      <c r="K249" s="135"/>
      <c r="L249" s="135"/>
    </row>
    <row r="250" spans="11:12">
      <c r="K250" s="134">
        <v>43502</v>
      </c>
      <c r="L250" s="134">
        <v>43684</v>
      </c>
    </row>
    <row r="251" spans="11:12" ht="15" thickBot="1">
      <c r="K251" s="135"/>
      <c r="L251" s="135"/>
    </row>
    <row r="252" spans="11:12" ht="15" thickBot="1">
      <c r="K252" s="133"/>
      <c r="L252" s="133"/>
    </row>
    <row r="253" spans="11:12" ht="15" thickBot="1">
      <c r="K253" s="133"/>
      <c r="L253" s="133"/>
    </row>
    <row r="254" spans="11:12" ht="15" thickBot="1">
      <c r="K254" s="133"/>
      <c r="L254" s="133"/>
    </row>
    <row r="255" spans="11:12" ht="15" thickBot="1">
      <c r="K255" s="133"/>
      <c r="L255" s="133"/>
    </row>
    <row r="256" spans="11:12" ht="15" thickBot="1">
      <c r="K256" s="133"/>
      <c r="L256" s="133"/>
    </row>
    <row r="257" spans="11:12" ht="15" thickBot="1">
      <c r="K257" s="133"/>
      <c r="L257" s="133"/>
    </row>
    <row r="258" spans="11:12" ht="15" thickBot="1">
      <c r="K258" s="133"/>
      <c r="L258" s="133"/>
    </row>
    <row r="259" spans="11:12" ht="15" thickBot="1">
      <c r="K259" s="133"/>
      <c r="L259" s="133"/>
    </row>
  </sheetData>
  <mergeCells count="250">
    <mergeCell ref="K248:K249"/>
    <mergeCell ref="L248:L249"/>
    <mergeCell ref="K250:K251"/>
    <mergeCell ref="L250:L251"/>
    <mergeCell ref="K242:K243"/>
    <mergeCell ref="L242:L243"/>
    <mergeCell ref="K244:K245"/>
    <mergeCell ref="L244:L245"/>
    <mergeCell ref="K246:K247"/>
    <mergeCell ref="L246:L247"/>
    <mergeCell ref="K236:K237"/>
    <mergeCell ref="L236:L237"/>
    <mergeCell ref="K238:K239"/>
    <mergeCell ref="L238:L239"/>
    <mergeCell ref="K240:K241"/>
    <mergeCell ref="L240:L241"/>
    <mergeCell ref="K230:K231"/>
    <mergeCell ref="L230:L231"/>
    <mergeCell ref="K232:K233"/>
    <mergeCell ref="L232:L233"/>
    <mergeCell ref="K234:K235"/>
    <mergeCell ref="L234:L235"/>
    <mergeCell ref="K224:K225"/>
    <mergeCell ref="L224:L225"/>
    <mergeCell ref="K226:K227"/>
    <mergeCell ref="L226:L227"/>
    <mergeCell ref="K228:K229"/>
    <mergeCell ref="L228:L229"/>
    <mergeCell ref="K218:K219"/>
    <mergeCell ref="L218:L219"/>
    <mergeCell ref="K220:K221"/>
    <mergeCell ref="L220:L221"/>
    <mergeCell ref="K222:K223"/>
    <mergeCell ref="L222:L223"/>
    <mergeCell ref="K212:K213"/>
    <mergeCell ref="L212:L213"/>
    <mergeCell ref="K214:K215"/>
    <mergeCell ref="L214:L215"/>
    <mergeCell ref="K216:K217"/>
    <mergeCell ref="L216:L217"/>
    <mergeCell ref="K206:K207"/>
    <mergeCell ref="L206:L207"/>
    <mergeCell ref="K208:K209"/>
    <mergeCell ref="L208:L209"/>
    <mergeCell ref="K210:K211"/>
    <mergeCell ref="L210:L211"/>
    <mergeCell ref="K200:K201"/>
    <mergeCell ref="L200:L201"/>
    <mergeCell ref="K202:K203"/>
    <mergeCell ref="L202:L203"/>
    <mergeCell ref="K204:K205"/>
    <mergeCell ref="L204:L205"/>
    <mergeCell ref="K194:K195"/>
    <mergeCell ref="L194:L195"/>
    <mergeCell ref="K196:K197"/>
    <mergeCell ref="L196:L197"/>
    <mergeCell ref="K198:K199"/>
    <mergeCell ref="L198:L199"/>
    <mergeCell ref="K188:K189"/>
    <mergeCell ref="L188:L189"/>
    <mergeCell ref="K190:K191"/>
    <mergeCell ref="L190:L191"/>
    <mergeCell ref="K192:K193"/>
    <mergeCell ref="L192:L193"/>
    <mergeCell ref="K182:K183"/>
    <mergeCell ref="L182:L183"/>
    <mergeCell ref="K184:K185"/>
    <mergeCell ref="L184:L185"/>
    <mergeCell ref="K186:K187"/>
    <mergeCell ref="L186:L187"/>
    <mergeCell ref="K176:K177"/>
    <mergeCell ref="L176:L177"/>
    <mergeCell ref="K178:K179"/>
    <mergeCell ref="L178:L179"/>
    <mergeCell ref="K180:K181"/>
    <mergeCell ref="L180:L181"/>
    <mergeCell ref="K170:K171"/>
    <mergeCell ref="L170:L171"/>
    <mergeCell ref="K172:K173"/>
    <mergeCell ref="L172:L173"/>
    <mergeCell ref="K174:K175"/>
    <mergeCell ref="L174:L175"/>
    <mergeCell ref="K164:K165"/>
    <mergeCell ref="L164:L165"/>
    <mergeCell ref="K166:K167"/>
    <mergeCell ref="L166:L167"/>
    <mergeCell ref="K168:K169"/>
    <mergeCell ref="L168:L169"/>
    <mergeCell ref="K158:K159"/>
    <mergeCell ref="L158:L159"/>
    <mergeCell ref="K160:K161"/>
    <mergeCell ref="L160:L161"/>
    <mergeCell ref="K162:K163"/>
    <mergeCell ref="L162:L163"/>
    <mergeCell ref="K152:K153"/>
    <mergeCell ref="L152:L153"/>
    <mergeCell ref="K154:K155"/>
    <mergeCell ref="L154:L155"/>
    <mergeCell ref="K156:K157"/>
    <mergeCell ref="L156:L157"/>
    <mergeCell ref="K146:K147"/>
    <mergeCell ref="L146:L147"/>
    <mergeCell ref="K148:K149"/>
    <mergeCell ref="L148:L149"/>
    <mergeCell ref="K150:K151"/>
    <mergeCell ref="L150:L151"/>
    <mergeCell ref="K140:K141"/>
    <mergeCell ref="L140:L141"/>
    <mergeCell ref="K142:K143"/>
    <mergeCell ref="L142:L143"/>
    <mergeCell ref="K144:K145"/>
    <mergeCell ref="L144:L145"/>
    <mergeCell ref="K134:K135"/>
    <mergeCell ref="L134:L135"/>
    <mergeCell ref="K136:K137"/>
    <mergeCell ref="L136:L137"/>
    <mergeCell ref="K138:K139"/>
    <mergeCell ref="L138:L139"/>
    <mergeCell ref="K128:K129"/>
    <mergeCell ref="L128:L129"/>
    <mergeCell ref="K130:K131"/>
    <mergeCell ref="L130:L131"/>
    <mergeCell ref="K132:K133"/>
    <mergeCell ref="L132:L133"/>
    <mergeCell ref="K122:K123"/>
    <mergeCell ref="L122:L123"/>
    <mergeCell ref="K124:K125"/>
    <mergeCell ref="L124:L125"/>
    <mergeCell ref="K126:K127"/>
    <mergeCell ref="L126:L127"/>
    <mergeCell ref="K116:K117"/>
    <mergeCell ref="L116:L117"/>
    <mergeCell ref="K118:K119"/>
    <mergeCell ref="L118:L119"/>
    <mergeCell ref="K120:K121"/>
    <mergeCell ref="L120:L121"/>
    <mergeCell ref="K110:K111"/>
    <mergeCell ref="L110:L111"/>
    <mergeCell ref="K112:K113"/>
    <mergeCell ref="L112:L113"/>
    <mergeCell ref="K114:K115"/>
    <mergeCell ref="L114:L115"/>
    <mergeCell ref="K104:K105"/>
    <mergeCell ref="L104:L105"/>
    <mergeCell ref="K106:K107"/>
    <mergeCell ref="L106:L107"/>
    <mergeCell ref="K108:K109"/>
    <mergeCell ref="L108:L109"/>
    <mergeCell ref="K98:K99"/>
    <mergeCell ref="L98:L99"/>
    <mergeCell ref="K100:K101"/>
    <mergeCell ref="L100:L101"/>
    <mergeCell ref="K102:K103"/>
    <mergeCell ref="L102:L103"/>
    <mergeCell ref="K92:K93"/>
    <mergeCell ref="L92:L93"/>
    <mergeCell ref="K94:K95"/>
    <mergeCell ref="L94:L95"/>
    <mergeCell ref="K96:K97"/>
    <mergeCell ref="L96:L97"/>
    <mergeCell ref="K86:K87"/>
    <mergeCell ref="L86:L87"/>
    <mergeCell ref="K88:K89"/>
    <mergeCell ref="L88:L89"/>
    <mergeCell ref="K90:K91"/>
    <mergeCell ref="L90:L91"/>
    <mergeCell ref="K80:K81"/>
    <mergeCell ref="L80:L81"/>
    <mergeCell ref="K82:K83"/>
    <mergeCell ref="L82:L83"/>
    <mergeCell ref="K84:K85"/>
    <mergeCell ref="L84:L85"/>
    <mergeCell ref="K74:K75"/>
    <mergeCell ref="L74:L75"/>
    <mergeCell ref="K76:K77"/>
    <mergeCell ref="L76:L77"/>
    <mergeCell ref="K78:K79"/>
    <mergeCell ref="L78:L79"/>
    <mergeCell ref="K68:K69"/>
    <mergeCell ref="L68:L69"/>
    <mergeCell ref="K70:K71"/>
    <mergeCell ref="L70:L71"/>
    <mergeCell ref="K72:K73"/>
    <mergeCell ref="L72:L73"/>
    <mergeCell ref="K62:K63"/>
    <mergeCell ref="L62:L63"/>
    <mergeCell ref="K64:K65"/>
    <mergeCell ref="L64:L65"/>
    <mergeCell ref="K66:K67"/>
    <mergeCell ref="L66:L67"/>
    <mergeCell ref="K56:K57"/>
    <mergeCell ref="L56:L57"/>
    <mergeCell ref="K58:K59"/>
    <mergeCell ref="L58:L59"/>
    <mergeCell ref="K60:K61"/>
    <mergeCell ref="L60:L61"/>
    <mergeCell ref="K50:K51"/>
    <mergeCell ref="L50:L51"/>
    <mergeCell ref="K52:K53"/>
    <mergeCell ref="L52:L53"/>
    <mergeCell ref="K54:K55"/>
    <mergeCell ref="L54:L55"/>
    <mergeCell ref="K44:K45"/>
    <mergeCell ref="L44:L45"/>
    <mergeCell ref="K46:K47"/>
    <mergeCell ref="L46:L47"/>
    <mergeCell ref="K48:K49"/>
    <mergeCell ref="L48:L49"/>
    <mergeCell ref="K38:K39"/>
    <mergeCell ref="L38:L39"/>
    <mergeCell ref="K40:K41"/>
    <mergeCell ref="L40:L41"/>
    <mergeCell ref="K42:K43"/>
    <mergeCell ref="L42:L43"/>
    <mergeCell ref="K32:K33"/>
    <mergeCell ref="L32:L33"/>
    <mergeCell ref="K34:K35"/>
    <mergeCell ref="L34:L35"/>
    <mergeCell ref="K36:K37"/>
    <mergeCell ref="L36:L37"/>
    <mergeCell ref="K26:K27"/>
    <mergeCell ref="L26:L27"/>
    <mergeCell ref="K28:K29"/>
    <mergeCell ref="L28:L29"/>
    <mergeCell ref="K30:K31"/>
    <mergeCell ref="L30:L31"/>
    <mergeCell ref="K20:K21"/>
    <mergeCell ref="L20:L21"/>
    <mergeCell ref="K22:K23"/>
    <mergeCell ref="L22:L23"/>
    <mergeCell ref="K24:K25"/>
    <mergeCell ref="L24:L25"/>
    <mergeCell ref="K14:K15"/>
    <mergeCell ref="L14:L15"/>
    <mergeCell ref="K16:K17"/>
    <mergeCell ref="L16:L17"/>
    <mergeCell ref="K18:K19"/>
    <mergeCell ref="L18:L19"/>
    <mergeCell ref="K8:K9"/>
    <mergeCell ref="L8:L9"/>
    <mergeCell ref="K10:K11"/>
    <mergeCell ref="L10:L11"/>
    <mergeCell ref="K12:K13"/>
    <mergeCell ref="L12:L13"/>
    <mergeCell ref="K2:K3"/>
    <mergeCell ref="L2:L3"/>
    <mergeCell ref="K4:K5"/>
    <mergeCell ref="L4:L5"/>
    <mergeCell ref="K6:K7"/>
    <mergeCell ref="L6:L7"/>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4E87C-221E-48E5-B2F9-84EA6611EF7A}">
  <dimension ref="A1:K42"/>
  <sheetViews>
    <sheetView topLeftCell="A5" zoomScale="73" zoomScaleNormal="25" workbookViewId="0">
      <selection activeCell="K2" sqref="K2"/>
    </sheetView>
  </sheetViews>
  <sheetFormatPr defaultRowHeight="14.5"/>
  <cols>
    <col min="1" max="1" width="15.7265625" customWidth="1"/>
    <col min="2" max="2" width="13.08984375" customWidth="1"/>
    <col min="5" max="5" width="15.08984375" customWidth="1"/>
    <col min="9" max="9" width="10.26953125" customWidth="1"/>
    <col min="10" max="10" width="18.1796875" customWidth="1"/>
    <col min="11" max="11" width="20.54296875" customWidth="1"/>
  </cols>
  <sheetData>
    <row r="1" spans="1:11" ht="31" customHeight="1">
      <c r="A1" s="144" t="s">
        <v>30</v>
      </c>
      <c r="B1" s="145"/>
      <c r="C1" s="144" t="s">
        <v>31</v>
      </c>
      <c r="D1" s="145"/>
      <c r="E1" s="5" t="s">
        <v>32</v>
      </c>
      <c r="F1" s="144" t="s">
        <v>33</v>
      </c>
      <c r="G1" s="145"/>
      <c r="H1" s="5" t="s">
        <v>34</v>
      </c>
      <c r="I1" s="6" t="s">
        <v>35</v>
      </c>
      <c r="J1" s="4" t="s">
        <v>36</v>
      </c>
      <c r="K1" s="7" t="s">
        <v>37</v>
      </c>
    </row>
    <row r="2" spans="1:11">
      <c r="A2" s="140" t="s">
        <v>38</v>
      </c>
      <c r="B2" s="141"/>
      <c r="C2" s="146">
        <v>3</v>
      </c>
      <c r="D2" s="147"/>
      <c r="E2" s="8">
        <v>1</v>
      </c>
      <c r="F2" s="161" t="s">
        <v>39</v>
      </c>
      <c r="G2" s="162"/>
      <c r="H2" s="8">
        <v>80</v>
      </c>
      <c r="I2" s="24" t="str">
        <f>VLOOKUP(IF(H2&gt;85,"86-100",IF(H2&gt;75,"76-85",IF(H2&gt;65,"66-75",IF(H2&gt;60,"61-65",IF(H2&gt;55,"56-60",IF(H2&gt;40,"41-55","0-40")))))),$A$30:$C$36,2,FALSE)</f>
        <v>AB</v>
      </c>
      <c r="J2" s="24">
        <f>IF(I2="A",4,IF(I2="AB",3.5,IF(I2="B",3,IF(I2="BC",2.5,IF(I2="C",2,IF(I2="D",1,0))))))</f>
        <v>3.5</v>
      </c>
      <c r="K2" s="24">
        <f>C2*J2</f>
        <v>10.5</v>
      </c>
    </row>
    <row r="3" spans="1:11">
      <c r="A3" s="140" t="s">
        <v>40</v>
      </c>
      <c r="B3" s="141"/>
      <c r="C3" s="146">
        <v>3</v>
      </c>
      <c r="D3" s="147"/>
      <c r="E3" s="8">
        <v>1</v>
      </c>
      <c r="F3" s="161" t="s">
        <v>39</v>
      </c>
      <c r="G3" s="162"/>
      <c r="H3" s="8">
        <v>70</v>
      </c>
      <c r="I3" s="24" t="str">
        <f t="shared" ref="I3:I26" si="0">VLOOKUP(IF(H3&gt;85,"86-100",IF(H3&gt;75,"76-85",IF(H3&gt;65,"66-75",IF(H3&gt;60,"61-65",IF(H3&gt;55,"56-60",IF(H3&gt;40,"41-55","0-40")))))),$A$30:$C$36,2,FALSE)</f>
        <v>B</v>
      </c>
      <c r="J3" s="24">
        <f t="shared" ref="J3:J26" si="1">IF(I3="A",4,IF(I3="AB",3.5,IF(I3="B",3,IF(I3="BC",2.5,IF(I3="C",2,IF(I3="D",1,0))))))</f>
        <v>3</v>
      </c>
      <c r="K3" s="24">
        <f t="shared" ref="K3:K26" si="2">C3*J3</f>
        <v>9</v>
      </c>
    </row>
    <row r="4" spans="1:11">
      <c r="A4" s="140" t="s">
        <v>41</v>
      </c>
      <c r="B4" s="141"/>
      <c r="C4" s="146">
        <v>4</v>
      </c>
      <c r="D4" s="147"/>
      <c r="E4" s="8">
        <v>1</v>
      </c>
      <c r="F4" s="161" t="s">
        <v>39</v>
      </c>
      <c r="G4" s="162"/>
      <c r="H4" s="8">
        <v>78</v>
      </c>
      <c r="I4" s="24" t="str">
        <f t="shared" si="0"/>
        <v>AB</v>
      </c>
      <c r="J4" s="24">
        <f t="shared" si="1"/>
        <v>3.5</v>
      </c>
      <c r="K4" s="24">
        <f t="shared" si="2"/>
        <v>14</v>
      </c>
    </row>
    <row r="5" spans="1:11">
      <c r="A5" s="140" t="s">
        <v>42</v>
      </c>
      <c r="B5" s="141"/>
      <c r="C5" s="146">
        <v>4</v>
      </c>
      <c r="D5" s="147"/>
      <c r="E5" s="8">
        <v>1</v>
      </c>
      <c r="F5" s="161" t="s">
        <v>39</v>
      </c>
      <c r="G5" s="162"/>
      <c r="H5" s="8">
        <v>65</v>
      </c>
      <c r="I5" s="24" t="str">
        <f t="shared" si="0"/>
        <v>BC</v>
      </c>
      <c r="J5" s="24">
        <f t="shared" si="1"/>
        <v>2.5</v>
      </c>
      <c r="K5" s="24">
        <f t="shared" si="2"/>
        <v>10</v>
      </c>
    </row>
    <row r="6" spans="1:11">
      <c r="A6" s="140" t="s">
        <v>43</v>
      </c>
      <c r="B6" s="141"/>
      <c r="C6" s="146">
        <v>3</v>
      </c>
      <c r="D6" s="147"/>
      <c r="E6" s="8">
        <v>1</v>
      </c>
      <c r="F6" s="161" t="s">
        <v>39</v>
      </c>
      <c r="G6" s="162"/>
      <c r="H6" s="8">
        <v>56</v>
      </c>
      <c r="I6" s="24" t="str">
        <f t="shared" si="0"/>
        <v>C</v>
      </c>
      <c r="J6" s="24">
        <f t="shared" si="1"/>
        <v>2</v>
      </c>
      <c r="K6" s="24">
        <f t="shared" si="2"/>
        <v>6</v>
      </c>
    </row>
    <row r="7" spans="1:11">
      <c r="A7" s="140" t="s">
        <v>44</v>
      </c>
      <c r="B7" s="141"/>
      <c r="C7" s="146">
        <v>2</v>
      </c>
      <c r="D7" s="147"/>
      <c r="E7" s="8">
        <v>2</v>
      </c>
      <c r="F7" s="161" t="s">
        <v>39</v>
      </c>
      <c r="G7" s="162"/>
      <c r="H7" s="8">
        <v>85</v>
      </c>
      <c r="I7" s="24" t="str">
        <f t="shared" si="0"/>
        <v>AB</v>
      </c>
      <c r="J7" s="24">
        <f t="shared" si="1"/>
        <v>3.5</v>
      </c>
      <c r="K7" s="24">
        <f t="shared" si="2"/>
        <v>7</v>
      </c>
    </row>
    <row r="8" spans="1:11">
      <c r="A8" s="140" t="s">
        <v>45</v>
      </c>
      <c r="B8" s="141"/>
      <c r="C8" s="146">
        <v>2</v>
      </c>
      <c r="D8" s="147"/>
      <c r="E8" s="8">
        <v>3</v>
      </c>
      <c r="F8" s="161" t="s">
        <v>39</v>
      </c>
      <c r="G8" s="162"/>
      <c r="H8" s="8">
        <v>85</v>
      </c>
      <c r="I8" s="24" t="str">
        <f t="shared" si="0"/>
        <v>AB</v>
      </c>
      <c r="J8" s="24">
        <f t="shared" si="1"/>
        <v>3.5</v>
      </c>
      <c r="K8" s="24">
        <f t="shared" si="2"/>
        <v>7</v>
      </c>
    </row>
    <row r="9" spans="1:11">
      <c r="A9" s="140" t="s">
        <v>46</v>
      </c>
      <c r="B9" s="141"/>
      <c r="C9" s="146">
        <v>2</v>
      </c>
      <c r="D9" s="147"/>
      <c r="E9" s="8">
        <v>2</v>
      </c>
      <c r="F9" s="161" t="s">
        <v>39</v>
      </c>
      <c r="G9" s="162"/>
      <c r="H9" s="8">
        <v>63</v>
      </c>
      <c r="I9" s="24" t="str">
        <f t="shared" si="0"/>
        <v>BC</v>
      </c>
      <c r="J9" s="24">
        <f t="shared" si="1"/>
        <v>2.5</v>
      </c>
      <c r="K9" s="24">
        <f t="shared" si="2"/>
        <v>5</v>
      </c>
    </row>
    <row r="10" spans="1:11">
      <c r="A10" s="140" t="s">
        <v>47</v>
      </c>
      <c r="B10" s="141"/>
      <c r="C10" s="146">
        <v>2</v>
      </c>
      <c r="D10" s="147"/>
      <c r="E10" s="8">
        <v>4</v>
      </c>
      <c r="F10" s="161" t="s">
        <v>39</v>
      </c>
      <c r="G10" s="162"/>
      <c r="H10" s="8">
        <v>82</v>
      </c>
      <c r="I10" s="24" t="str">
        <f t="shared" si="0"/>
        <v>AB</v>
      </c>
      <c r="J10" s="24">
        <f t="shared" si="1"/>
        <v>3.5</v>
      </c>
      <c r="K10" s="24">
        <f t="shared" si="2"/>
        <v>7</v>
      </c>
    </row>
    <row r="11" spans="1:11">
      <c r="A11" s="140" t="s">
        <v>48</v>
      </c>
      <c r="B11" s="141"/>
      <c r="C11" s="146">
        <v>2</v>
      </c>
      <c r="D11" s="147"/>
      <c r="E11" s="8">
        <v>1</v>
      </c>
      <c r="F11" s="161" t="s">
        <v>39</v>
      </c>
      <c r="G11" s="162"/>
      <c r="H11" s="8">
        <v>90</v>
      </c>
      <c r="I11" s="24" t="str">
        <f t="shared" si="0"/>
        <v>A</v>
      </c>
      <c r="J11" s="24">
        <f t="shared" si="1"/>
        <v>4</v>
      </c>
      <c r="K11" s="24">
        <f t="shared" si="2"/>
        <v>8</v>
      </c>
    </row>
    <row r="12" spans="1:11">
      <c r="A12" s="140" t="s">
        <v>49</v>
      </c>
      <c r="B12" s="141"/>
      <c r="C12" s="146">
        <v>3</v>
      </c>
      <c r="D12" s="147"/>
      <c r="E12" s="8">
        <v>2</v>
      </c>
      <c r="F12" s="161" t="s">
        <v>39</v>
      </c>
      <c r="G12" s="162"/>
      <c r="H12" s="8">
        <v>87</v>
      </c>
      <c r="I12" s="24" t="str">
        <f t="shared" si="0"/>
        <v>A</v>
      </c>
      <c r="J12" s="24">
        <f t="shared" si="1"/>
        <v>4</v>
      </c>
      <c r="K12" s="24">
        <f t="shared" si="2"/>
        <v>12</v>
      </c>
    </row>
    <row r="13" spans="1:11">
      <c r="A13" s="140" t="s">
        <v>50</v>
      </c>
      <c r="B13" s="141"/>
      <c r="C13" s="146">
        <v>3</v>
      </c>
      <c r="D13" s="147"/>
      <c r="E13" s="8">
        <v>2</v>
      </c>
      <c r="F13" s="161" t="s">
        <v>39</v>
      </c>
      <c r="G13" s="162"/>
      <c r="H13" s="8">
        <v>90</v>
      </c>
      <c r="I13" s="24" t="str">
        <f t="shared" si="0"/>
        <v>A</v>
      </c>
      <c r="J13" s="24">
        <f t="shared" si="1"/>
        <v>4</v>
      </c>
      <c r="K13" s="24">
        <f t="shared" si="2"/>
        <v>12</v>
      </c>
    </row>
    <row r="14" spans="1:11">
      <c r="A14" s="140" t="s">
        <v>51</v>
      </c>
      <c r="B14" s="141"/>
      <c r="C14" s="146">
        <v>4</v>
      </c>
      <c r="D14" s="147"/>
      <c r="E14" s="8">
        <v>2</v>
      </c>
      <c r="F14" s="161" t="s">
        <v>39</v>
      </c>
      <c r="G14" s="162"/>
      <c r="H14" s="8">
        <v>90</v>
      </c>
      <c r="I14" s="24" t="str">
        <f t="shared" si="0"/>
        <v>A</v>
      </c>
      <c r="J14" s="24">
        <f t="shared" si="1"/>
        <v>4</v>
      </c>
      <c r="K14" s="24">
        <f t="shared" si="2"/>
        <v>16</v>
      </c>
    </row>
    <row r="15" spans="1:11">
      <c r="A15" s="140" t="s">
        <v>52</v>
      </c>
      <c r="B15" s="141"/>
      <c r="C15" s="146">
        <v>3</v>
      </c>
      <c r="D15" s="147"/>
      <c r="E15" s="8">
        <v>2</v>
      </c>
      <c r="F15" s="161" t="s">
        <v>39</v>
      </c>
      <c r="G15" s="162"/>
      <c r="H15" s="8">
        <v>68</v>
      </c>
      <c r="I15" s="24" t="str">
        <f t="shared" si="0"/>
        <v>B</v>
      </c>
      <c r="J15" s="24">
        <f t="shared" si="1"/>
        <v>3</v>
      </c>
      <c r="K15" s="24">
        <f t="shared" si="2"/>
        <v>9</v>
      </c>
    </row>
    <row r="16" spans="1:11">
      <c r="A16" s="140" t="s">
        <v>53</v>
      </c>
      <c r="B16" s="141"/>
      <c r="C16" s="146">
        <v>3</v>
      </c>
      <c r="D16" s="147"/>
      <c r="E16" s="8">
        <v>3</v>
      </c>
      <c r="F16" s="161" t="s">
        <v>54</v>
      </c>
      <c r="G16" s="162"/>
      <c r="H16" s="8">
        <v>68</v>
      </c>
      <c r="I16" s="24" t="str">
        <f t="shared" si="0"/>
        <v>B</v>
      </c>
      <c r="J16" s="24">
        <f t="shared" si="1"/>
        <v>3</v>
      </c>
      <c r="K16" s="24">
        <f t="shared" si="2"/>
        <v>9</v>
      </c>
    </row>
    <row r="17" spans="1:11">
      <c r="A17" s="140" t="s">
        <v>55</v>
      </c>
      <c r="B17" s="141"/>
      <c r="C17" s="146">
        <v>4</v>
      </c>
      <c r="D17" s="147"/>
      <c r="E17" s="8">
        <v>3</v>
      </c>
      <c r="F17" s="161" t="s">
        <v>54</v>
      </c>
      <c r="G17" s="162"/>
      <c r="H17" s="8">
        <v>83</v>
      </c>
      <c r="I17" s="24" t="str">
        <f t="shared" si="0"/>
        <v>AB</v>
      </c>
      <c r="J17" s="24">
        <f t="shared" si="1"/>
        <v>3.5</v>
      </c>
      <c r="K17" s="24">
        <f t="shared" si="2"/>
        <v>14</v>
      </c>
    </row>
    <row r="18" spans="1:11">
      <c r="A18" s="140" t="s">
        <v>56</v>
      </c>
      <c r="B18" s="141"/>
      <c r="C18" s="146">
        <v>3</v>
      </c>
      <c r="D18" s="147"/>
      <c r="E18" s="8">
        <v>3</v>
      </c>
      <c r="F18" s="161" t="s">
        <v>54</v>
      </c>
      <c r="G18" s="162"/>
      <c r="H18" s="8">
        <v>95</v>
      </c>
      <c r="I18" s="24" t="str">
        <f t="shared" si="0"/>
        <v>A</v>
      </c>
      <c r="J18" s="24">
        <f t="shared" si="1"/>
        <v>4</v>
      </c>
      <c r="K18" s="24">
        <f t="shared" si="2"/>
        <v>12</v>
      </c>
    </row>
    <row r="19" spans="1:11">
      <c r="A19" s="140" t="s">
        <v>57</v>
      </c>
      <c r="B19" s="141"/>
      <c r="C19" s="146">
        <v>3</v>
      </c>
      <c r="D19" s="147"/>
      <c r="E19" s="8">
        <v>3</v>
      </c>
      <c r="F19" s="161" t="s">
        <v>54</v>
      </c>
      <c r="G19" s="162"/>
      <c r="H19" s="8">
        <v>82</v>
      </c>
      <c r="I19" s="24" t="str">
        <f t="shared" si="0"/>
        <v>AB</v>
      </c>
      <c r="J19" s="24">
        <f t="shared" si="1"/>
        <v>3.5</v>
      </c>
      <c r="K19" s="24">
        <f t="shared" si="2"/>
        <v>10.5</v>
      </c>
    </row>
    <row r="20" spans="1:11">
      <c r="A20" s="140" t="s">
        <v>58</v>
      </c>
      <c r="B20" s="141"/>
      <c r="C20" s="146">
        <v>3</v>
      </c>
      <c r="D20" s="147"/>
      <c r="E20" s="8">
        <v>3</v>
      </c>
      <c r="F20" s="161" t="s">
        <v>54</v>
      </c>
      <c r="G20" s="162"/>
      <c r="H20" s="8">
        <v>75</v>
      </c>
      <c r="I20" s="24" t="str">
        <f t="shared" si="0"/>
        <v>B</v>
      </c>
      <c r="J20" s="24">
        <f t="shared" si="1"/>
        <v>3</v>
      </c>
      <c r="K20" s="24">
        <f t="shared" si="2"/>
        <v>9</v>
      </c>
    </row>
    <row r="21" spans="1:11">
      <c r="A21" s="140" t="s">
        <v>59</v>
      </c>
      <c r="B21" s="141"/>
      <c r="C21" s="146">
        <v>3</v>
      </c>
      <c r="D21" s="147"/>
      <c r="E21" s="8">
        <v>4</v>
      </c>
      <c r="F21" s="161" t="s">
        <v>54</v>
      </c>
      <c r="G21" s="162"/>
      <c r="H21" s="8">
        <v>84</v>
      </c>
      <c r="I21" s="24" t="str">
        <f t="shared" si="0"/>
        <v>AB</v>
      </c>
      <c r="J21" s="24">
        <f t="shared" si="1"/>
        <v>3.5</v>
      </c>
      <c r="K21" s="24">
        <f t="shared" si="2"/>
        <v>10.5</v>
      </c>
    </row>
    <row r="22" spans="1:11">
      <c r="A22" s="140" t="s">
        <v>60</v>
      </c>
      <c r="B22" s="141"/>
      <c r="C22" s="146">
        <v>3</v>
      </c>
      <c r="D22" s="147"/>
      <c r="E22" s="8">
        <v>4</v>
      </c>
      <c r="F22" s="161" t="s">
        <v>54</v>
      </c>
      <c r="G22" s="162"/>
      <c r="H22" s="8">
        <v>89</v>
      </c>
      <c r="I22" s="24" t="str">
        <f t="shared" si="0"/>
        <v>A</v>
      </c>
      <c r="J22" s="24">
        <f t="shared" si="1"/>
        <v>4</v>
      </c>
      <c r="K22" s="24">
        <f t="shared" si="2"/>
        <v>12</v>
      </c>
    </row>
    <row r="23" spans="1:11">
      <c r="A23" s="140" t="s">
        <v>61</v>
      </c>
      <c r="B23" s="141"/>
      <c r="C23" s="146">
        <v>3</v>
      </c>
      <c r="D23" s="147"/>
      <c r="E23" s="8">
        <v>4</v>
      </c>
      <c r="F23" s="161" t="s">
        <v>54</v>
      </c>
      <c r="G23" s="162"/>
      <c r="H23" s="8">
        <v>67</v>
      </c>
      <c r="I23" s="24" t="str">
        <f t="shared" si="0"/>
        <v>B</v>
      </c>
      <c r="J23" s="24">
        <f t="shared" si="1"/>
        <v>3</v>
      </c>
      <c r="K23" s="24">
        <f t="shared" si="2"/>
        <v>9</v>
      </c>
    </row>
    <row r="24" spans="1:11">
      <c r="A24" s="140" t="s">
        <v>62</v>
      </c>
      <c r="B24" s="141"/>
      <c r="C24" s="146">
        <v>3</v>
      </c>
      <c r="D24" s="147"/>
      <c r="E24" s="8">
        <v>4</v>
      </c>
      <c r="F24" s="161" t="s">
        <v>54</v>
      </c>
      <c r="G24" s="162"/>
      <c r="H24" s="8">
        <v>89</v>
      </c>
      <c r="I24" s="24" t="str">
        <f t="shared" si="0"/>
        <v>A</v>
      </c>
      <c r="J24" s="24">
        <f t="shared" si="1"/>
        <v>4</v>
      </c>
      <c r="K24" s="24">
        <f t="shared" si="2"/>
        <v>12</v>
      </c>
    </row>
    <row r="25" spans="1:11">
      <c r="A25" s="140" t="s">
        <v>63</v>
      </c>
      <c r="B25" s="141"/>
      <c r="C25" s="146">
        <v>2</v>
      </c>
      <c r="D25" s="147"/>
      <c r="E25" s="8">
        <v>4</v>
      </c>
      <c r="F25" s="161" t="s">
        <v>54</v>
      </c>
      <c r="G25" s="162"/>
      <c r="H25" s="8">
        <v>83</v>
      </c>
      <c r="I25" s="24" t="str">
        <f t="shared" si="0"/>
        <v>AB</v>
      </c>
      <c r="J25" s="24">
        <f t="shared" si="1"/>
        <v>3.5</v>
      </c>
      <c r="K25" s="24">
        <f t="shared" si="2"/>
        <v>7</v>
      </c>
    </row>
    <row r="26" spans="1:11">
      <c r="A26" s="165" t="s">
        <v>64</v>
      </c>
      <c r="B26" s="166"/>
      <c r="C26" s="167">
        <v>3</v>
      </c>
      <c r="D26" s="168"/>
      <c r="E26" s="9">
        <v>4</v>
      </c>
      <c r="F26" s="169" t="s">
        <v>54</v>
      </c>
      <c r="G26" s="170"/>
      <c r="H26" s="9">
        <v>90</v>
      </c>
      <c r="I26" s="24" t="str">
        <f t="shared" si="0"/>
        <v>A</v>
      </c>
      <c r="J26" s="24">
        <f t="shared" si="1"/>
        <v>4</v>
      </c>
      <c r="K26" s="24">
        <f t="shared" si="2"/>
        <v>12</v>
      </c>
    </row>
    <row r="29" spans="1:11">
      <c r="A29" s="4" t="s">
        <v>34</v>
      </c>
      <c r="B29" s="144" t="s">
        <v>35</v>
      </c>
      <c r="C29" s="145"/>
      <c r="D29" s="144" t="s">
        <v>36</v>
      </c>
      <c r="E29" s="145"/>
      <c r="G29" s="5" t="s">
        <v>35</v>
      </c>
      <c r="H29" s="158" t="s">
        <v>78</v>
      </c>
      <c r="I29" s="159"/>
      <c r="J29" s="160"/>
    </row>
    <row r="30" spans="1:11">
      <c r="A30" s="23" t="s">
        <v>136</v>
      </c>
      <c r="B30" s="161" t="s">
        <v>65</v>
      </c>
      <c r="C30" s="162"/>
      <c r="D30" s="146">
        <v>4</v>
      </c>
      <c r="E30" s="147"/>
      <c r="G30" s="12" t="s">
        <v>65</v>
      </c>
      <c r="H30" s="155">
        <f>COUNTIF(I2:I26,G30)</f>
        <v>8</v>
      </c>
      <c r="I30" s="156"/>
      <c r="J30" s="157"/>
    </row>
    <row r="31" spans="1:11">
      <c r="A31" s="10" t="s">
        <v>66</v>
      </c>
      <c r="B31" s="161" t="s">
        <v>67</v>
      </c>
      <c r="C31" s="162"/>
      <c r="D31" s="163">
        <v>3.5</v>
      </c>
      <c r="E31" s="164"/>
      <c r="G31" s="12" t="s">
        <v>67</v>
      </c>
      <c r="H31" s="155">
        <f t="shared" ref="H31:H36" si="3">COUNTIF(I3:I27,G31)</f>
        <v>8</v>
      </c>
      <c r="I31" s="156"/>
      <c r="J31" s="157"/>
    </row>
    <row r="32" spans="1:11">
      <c r="A32" s="10" t="s">
        <v>68</v>
      </c>
      <c r="B32" s="161" t="s">
        <v>69</v>
      </c>
      <c r="C32" s="162"/>
      <c r="D32" s="146">
        <v>3</v>
      </c>
      <c r="E32" s="147"/>
      <c r="G32" s="12" t="s">
        <v>69</v>
      </c>
      <c r="H32" s="155">
        <f t="shared" si="3"/>
        <v>4</v>
      </c>
      <c r="I32" s="156"/>
      <c r="J32" s="157"/>
    </row>
    <row r="33" spans="1:11">
      <c r="A33" s="10" t="s">
        <v>70</v>
      </c>
      <c r="B33" s="161" t="s">
        <v>71</v>
      </c>
      <c r="C33" s="162"/>
      <c r="D33" s="163">
        <v>2.5</v>
      </c>
      <c r="E33" s="164"/>
      <c r="G33" s="12" t="s">
        <v>71</v>
      </c>
      <c r="H33" s="155">
        <f t="shared" si="3"/>
        <v>2</v>
      </c>
      <c r="I33" s="156"/>
      <c r="J33" s="157"/>
    </row>
    <row r="34" spans="1:11">
      <c r="A34" s="10" t="s">
        <v>72</v>
      </c>
      <c r="B34" s="161" t="s">
        <v>73</v>
      </c>
      <c r="C34" s="162"/>
      <c r="D34" s="146">
        <v>2</v>
      </c>
      <c r="E34" s="147"/>
      <c r="G34" s="12" t="s">
        <v>73</v>
      </c>
      <c r="H34" s="155">
        <f t="shared" si="3"/>
        <v>1</v>
      </c>
      <c r="I34" s="156"/>
      <c r="J34" s="157"/>
    </row>
    <row r="35" spans="1:11">
      <c r="A35" s="10" t="s">
        <v>74</v>
      </c>
      <c r="B35" s="161" t="s">
        <v>75</v>
      </c>
      <c r="C35" s="162"/>
      <c r="D35" s="146">
        <v>1</v>
      </c>
      <c r="E35" s="147"/>
      <c r="G35" s="12" t="s">
        <v>75</v>
      </c>
      <c r="H35" s="155">
        <f t="shared" si="3"/>
        <v>0</v>
      </c>
      <c r="I35" s="156"/>
      <c r="J35" s="157"/>
    </row>
    <row r="36" spans="1:11">
      <c r="A36" s="11" t="s">
        <v>76</v>
      </c>
      <c r="B36" s="161" t="s">
        <v>77</v>
      </c>
      <c r="C36" s="162"/>
      <c r="D36" s="146">
        <v>0</v>
      </c>
      <c r="E36" s="147"/>
      <c r="G36" s="12" t="s">
        <v>77</v>
      </c>
      <c r="H36" s="155">
        <f t="shared" si="3"/>
        <v>0</v>
      </c>
      <c r="I36" s="156"/>
      <c r="J36" s="157"/>
    </row>
    <row r="38" spans="1:11">
      <c r="A38" s="144" t="s">
        <v>32</v>
      </c>
      <c r="B38" s="145"/>
      <c r="C38" s="144" t="s">
        <v>79</v>
      </c>
      <c r="D38" s="145"/>
      <c r="E38" s="144" t="s">
        <v>80</v>
      </c>
      <c r="F38" s="145"/>
      <c r="H38" s="136" t="s">
        <v>33</v>
      </c>
      <c r="I38" s="137"/>
      <c r="J38" s="138" t="s">
        <v>81</v>
      </c>
      <c r="K38" s="139"/>
    </row>
    <row r="39" spans="1:11">
      <c r="A39" s="146">
        <v>1</v>
      </c>
      <c r="B39" s="147"/>
      <c r="C39" s="148">
        <f>SUMIF($E$2:$E$26,A39,$J$2:$J$26)/COUNTIF($E$2:$E$26,A39)</f>
        <v>3.0833333333333335</v>
      </c>
      <c r="D39" s="143"/>
      <c r="E39" s="149">
        <f>AVERAGE(C39:D42)</f>
        <v>3.4107142857142856</v>
      </c>
      <c r="F39" s="150"/>
      <c r="H39" s="140" t="s">
        <v>39</v>
      </c>
      <c r="I39" s="141"/>
      <c r="J39" s="142">
        <f>AVERAGE(H2:H15)</f>
        <v>77.785714285714292</v>
      </c>
      <c r="K39" s="143"/>
    </row>
    <row r="40" spans="1:11">
      <c r="A40" s="146">
        <v>2</v>
      </c>
      <c r="B40" s="147"/>
      <c r="C40" s="148">
        <f>SUMIF($E$2:$E$26,A40,$J$2:$J$26)/COUNTIF($E$2:$E$26,A40)</f>
        <v>3.5</v>
      </c>
      <c r="D40" s="143"/>
      <c r="E40" s="151"/>
      <c r="F40" s="152"/>
      <c r="H40" s="140" t="s">
        <v>54</v>
      </c>
      <c r="I40" s="141"/>
      <c r="J40" s="142">
        <f>AVERAGE(H16:H26)</f>
        <v>82.272727272727266</v>
      </c>
      <c r="K40" s="143"/>
    </row>
    <row r="41" spans="1:11">
      <c r="A41" s="146">
        <v>3</v>
      </c>
      <c r="B41" s="147"/>
      <c r="C41" s="148">
        <f t="shared" ref="C41:C42" si="4">SUMIF($E$2:$E$26,A41,$J$2:$J$26)/COUNTIF($E$2:$E$26,A41)</f>
        <v>3.4166666666666665</v>
      </c>
      <c r="D41" s="143"/>
      <c r="E41" s="151"/>
      <c r="F41" s="152"/>
    </row>
    <row r="42" spans="1:11">
      <c r="A42" s="146">
        <v>4</v>
      </c>
      <c r="B42" s="147"/>
      <c r="C42" s="148">
        <f t="shared" si="4"/>
        <v>3.6428571428571428</v>
      </c>
      <c r="D42" s="143"/>
      <c r="E42" s="153"/>
      <c r="F42" s="154"/>
    </row>
  </sheetData>
  <mergeCells count="120">
    <mergeCell ref="A25:B25"/>
    <mergeCell ref="C25:D25"/>
    <mergeCell ref="F25:G25"/>
    <mergeCell ref="A26:B26"/>
    <mergeCell ref="C26:D26"/>
    <mergeCell ref="F26:G26"/>
    <mergeCell ref="A22:B22"/>
    <mergeCell ref="C22:D22"/>
    <mergeCell ref="F22:G22"/>
    <mergeCell ref="A23:B23"/>
    <mergeCell ref="C23:D23"/>
    <mergeCell ref="F23:G23"/>
    <mergeCell ref="A24:B24"/>
    <mergeCell ref="C24:D24"/>
    <mergeCell ref="F24:G24"/>
    <mergeCell ref="A19:B19"/>
    <mergeCell ref="C19:D19"/>
    <mergeCell ref="F19:G19"/>
    <mergeCell ref="A20:B20"/>
    <mergeCell ref="C20:D20"/>
    <mergeCell ref="F20:G20"/>
    <mergeCell ref="A21:B21"/>
    <mergeCell ref="C21:D21"/>
    <mergeCell ref="F21:G21"/>
    <mergeCell ref="A16:B16"/>
    <mergeCell ref="C16:D16"/>
    <mergeCell ref="F16:G16"/>
    <mergeCell ref="A17:B17"/>
    <mergeCell ref="C17:D17"/>
    <mergeCell ref="F17:G17"/>
    <mergeCell ref="A18:B18"/>
    <mergeCell ref="C18:D18"/>
    <mergeCell ref="F18:G18"/>
    <mergeCell ref="A13:B13"/>
    <mergeCell ref="C13:D13"/>
    <mergeCell ref="F13:G13"/>
    <mergeCell ref="A14:B14"/>
    <mergeCell ref="C14:D14"/>
    <mergeCell ref="F14:G14"/>
    <mergeCell ref="A15:B15"/>
    <mergeCell ref="C15:D15"/>
    <mergeCell ref="F15:G15"/>
    <mergeCell ref="A10:B10"/>
    <mergeCell ref="C10:D10"/>
    <mergeCell ref="F10:G10"/>
    <mergeCell ref="A11:B11"/>
    <mergeCell ref="C11:D11"/>
    <mergeCell ref="F11:G11"/>
    <mergeCell ref="A12:B12"/>
    <mergeCell ref="C12:D12"/>
    <mergeCell ref="F12:G12"/>
    <mergeCell ref="A7:B7"/>
    <mergeCell ref="C7:D7"/>
    <mergeCell ref="F7:G7"/>
    <mergeCell ref="A8:B8"/>
    <mergeCell ref="C8:D8"/>
    <mergeCell ref="F8:G8"/>
    <mergeCell ref="A9:B9"/>
    <mergeCell ref="C9:D9"/>
    <mergeCell ref="F9:G9"/>
    <mergeCell ref="A4:B4"/>
    <mergeCell ref="C4:D4"/>
    <mergeCell ref="F4:G4"/>
    <mergeCell ref="A5:B5"/>
    <mergeCell ref="C5:D5"/>
    <mergeCell ref="F5:G5"/>
    <mergeCell ref="A6:B6"/>
    <mergeCell ref="C6:D6"/>
    <mergeCell ref="F6:G6"/>
    <mergeCell ref="A1:B1"/>
    <mergeCell ref="C1:D1"/>
    <mergeCell ref="F1:G1"/>
    <mergeCell ref="A2:B2"/>
    <mergeCell ref="C2:D2"/>
    <mergeCell ref="F2:G2"/>
    <mergeCell ref="A3:B3"/>
    <mergeCell ref="C3:D3"/>
    <mergeCell ref="F3:G3"/>
    <mergeCell ref="H34:J34"/>
    <mergeCell ref="H35:J35"/>
    <mergeCell ref="H36:J36"/>
    <mergeCell ref="H29:J29"/>
    <mergeCell ref="H30:J30"/>
    <mergeCell ref="H31:J31"/>
    <mergeCell ref="H32:J32"/>
    <mergeCell ref="B29:C29"/>
    <mergeCell ref="D29:E29"/>
    <mergeCell ref="B30:C30"/>
    <mergeCell ref="D30:E30"/>
    <mergeCell ref="H33:J33"/>
    <mergeCell ref="B31:C31"/>
    <mergeCell ref="D31:E31"/>
    <mergeCell ref="B32:C32"/>
    <mergeCell ref="D32:E32"/>
    <mergeCell ref="B33:C33"/>
    <mergeCell ref="D33:E33"/>
    <mergeCell ref="B34:C34"/>
    <mergeCell ref="D34:E34"/>
    <mergeCell ref="B35:C35"/>
    <mergeCell ref="D35:E35"/>
    <mergeCell ref="B36:C36"/>
    <mergeCell ref="D36:E36"/>
    <mergeCell ref="H38:I38"/>
    <mergeCell ref="J38:K38"/>
    <mergeCell ref="H39:I39"/>
    <mergeCell ref="J39:K39"/>
    <mergeCell ref="H40:I40"/>
    <mergeCell ref="J40:K40"/>
    <mergeCell ref="E38:F38"/>
    <mergeCell ref="A39:B39"/>
    <mergeCell ref="C39:D39"/>
    <mergeCell ref="A40:B40"/>
    <mergeCell ref="C40:D40"/>
    <mergeCell ref="A38:B38"/>
    <mergeCell ref="C38:D38"/>
    <mergeCell ref="E39:F42"/>
    <mergeCell ref="A41:B41"/>
    <mergeCell ref="C41:D41"/>
    <mergeCell ref="A42:B42"/>
    <mergeCell ref="C42:D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219FA-A4D7-42C4-B5B0-7D4504CB8A52}">
  <dimension ref="A1:W61"/>
  <sheetViews>
    <sheetView zoomScale="63" zoomScaleNormal="55" zoomScalePageLayoutView="31" workbookViewId="0">
      <selection activeCell="L4" sqref="L4"/>
    </sheetView>
  </sheetViews>
  <sheetFormatPr defaultRowHeight="15.5"/>
  <cols>
    <col min="1" max="1" width="26.7265625" style="33" bestFit="1" customWidth="1"/>
    <col min="2" max="2" width="26.54296875" style="33" customWidth="1"/>
    <col min="3" max="3" width="32.81640625" style="33" customWidth="1"/>
    <col min="4" max="4" width="35.1796875" style="33" customWidth="1"/>
    <col min="5" max="5" width="32.36328125" style="33" bestFit="1" customWidth="1"/>
    <col min="6" max="6" width="13.26953125" style="33" customWidth="1"/>
    <col min="7" max="7" width="12.6328125" style="33" customWidth="1"/>
    <col min="8" max="8" width="8.36328125" style="33" customWidth="1"/>
    <col min="9" max="9" width="9" style="33" customWidth="1"/>
    <col min="10" max="10" width="27" style="33" customWidth="1"/>
    <col min="11" max="11" width="16.81640625" style="33" bestFit="1" customWidth="1"/>
    <col min="12" max="12" width="21.26953125" style="33" customWidth="1"/>
    <col min="13" max="13" width="18.90625" style="33" customWidth="1"/>
    <col min="14" max="14" width="14" style="33" bestFit="1" customWidth="1"/>
    <col min="15" max="16" width="8.7265625" style="33" customWidth="1"/>
    <col min="17" max="18" width="8.7265625" style="33"/>
    <col min="19" max="19" width="20.08984375" style="33" customWidth="1"/>
    <col min="20" max="20" width="8.7265625" style="33"/>
    <col min="21" max="21" width="31.1796875" style="33" customWidth="1"/>
    <col min="22" max="16384" width="8.7265625" style="33"/>
  </cols>
  <sheetData>
    <row r="1" spans="1:17" ht="15.5" customHeight="1">
      <c r="F1" s="57" t="s">
        <v>197</v>
      </c>
      <c r="G1" s="57"/>
      <c r="H1" s="57" t="s">
        <v>198</v>
      </c>
      <c r="I1" s="57"/>
    </row>
    <row r="2" spans="1:17" ht="31">
      <c r="A2" s="55" t="s">
        <v>156</v>
      </c>
      <c r="B2" s="55" t="s">
        <v>157</v>
      </c>
      <c r="C2" s="55" t="s">
        <v>158</v>
      </c>
      <c r="D2" s="59" t="s">
        <v>159</v>
      </c>
      <c r="E2" s="56" t="s">
        <v>160</v>
      </c>
      <c r="F2" s="44" t="s">
        <v>163</v>
      </c>
      <c r="G2" s="44" t="s">
        <v>164</v>
      </c>
      <c r="H2" s="44" t="s">
        <v>163</v>
      </c>
      <c r="I2" s="44" t="s">
        <v>164</v>
      </c>
      <c r="J2" s="58" t="s">
        <v>199</v>
      </c>
      <c r="K2" s="55" t="s">
        <v>161</v>
      </c>
      <c r="L2" s="55" t="s">
        <v>162</v>
      </c>
      <c r="M2" s="54"/>
      <c r="P2" s="33" t="s">
        <v>623</v>
      </c>
    </row>
    <row r="3" spans="1:17">
      <c r="A3" s="29" t="s">
        <v>165</v>
      </c>
      <c r="B3" s="29" t="s">
        <v>166</v>
      </c>
      <c r="C3" s="38" t="str">
        <f>IF(LEFT(A3,1)="B",$B$19,IF(RIGHT(A3,1)="E",$B$17,$B$18))</f>
        <v>MANDIRI-EKSEKUTIF</v>
      </c>
      <c r="D3" s="39" t="s">
        <v>167</v>
      </c>
      <c r="E3" s="43" t="str">
        <f>HLOOKUP(LEFT(D3,2),$B$21:$E$22,2,FALSE)&amp;" "&amp;VLOOKUP(RIGHT(D3,2),$G$18:$H$19,2,FALSE)</f>
        <v>KULIT OPERASI</v>
      </c>
      <c r="F3" s="41" t="str">
        <f>MID(A3,2,2)</f>
        <v>19</v>
      </c>
      <c r="G3" s="40" t="str">
        <f>MID(A3,4,2)</f>
        <v>03</v>
      </c>
      <c r="H3" s="42" t="str">
        <f>MID(A3,7,2)</f>
        <v>02</v>
      </c>
      <c r="I3" s="42" t="str">
        <f>MID(A3,9,2)</f>
        <v>04</v>
      </c>
      <c r="J3" s="45">
        <f>DATE(2020,I3,H3)-DATE(2020,G3,F3)</f>
        <v>14</v>
      </c>
      <c r="K3" s="41">
        <f>VLOOKUP(LEFT(D3,2),$J$18:$M$21,IF(LEFT(A3,1)="B",4,IF(RIGHT(A3,1)="E",2,3)),FALSE)*1000*IF(ISODD(J3),J3+1,J3)/2+IF(RIGHT(D3,2)="02",2500000,0)</f>
        <v>4950000</v>
      </c>
      <c r="L3" s="48">
        <f>K3-IF(AND(OR(LEFT(A3,1)="M",LEFT(A3,1)="B"),LEFT(D3,2)="KU",J3&lt;7),K3*$B$32,IF(AND(OR(LEFT(A3,1)="M",LEFT(A3,1)="B"),LEFT(D3,2)="KU",J3&gt;=7),K3*$C$32,IF(AND(LEFT(A3,1)="B",OR(LEFT(D3,2)="JA",LEFT(D3,2)="KA",LEFT(D3,2)="AN"),J3&lt;7),K3*$B$33,IF(AND(LEFT(A3,1)="B",OR(LEFT(D3,2)="JA",LEFT(D3,2)="KA",LEFT(D3,2)="AN"),J3&gt;=7),K3*$C$33,0))))</f>
        <v>4455000</v>
      </c>
      <c r="M3" s="54"/>
      <c r="P3" s="33">
        <f>IF(C3="BPJS",1,0)</f>
        <v>0</v>
      </c>
      <c r="Q3" s="33">
        <v>1</v>
      </c>
    </row>
    <row r="4" spans="1:17">
      <c r="A4" s="29" t="s">
        <v>168</v>
      </c>
      <c r="B4" s="29" t="s">
        <v>169</v>
      </c>
      <c r="C4" s="38" t="str">
        <f>IF(LEFT(A4,1)="B",$B$19,IF(RIGHT(A4,1)="E",$B$17,$B$18))</f>
        <v>BPJS</v>
      </c>
      <c r="D4" s="39" t="s">
        <v>170</v>
      </c>
      <c r="E4" s="43" t="str">
        <f t="shared" ref="E4:E14" si="0">HLOOKUP(LEFT(D4,2),$B$21:$E$22,2,FALSE)&amp;" "&amp;VLOOKUP(RIGHT(D4,2),$G$18:$H$19,2,FALSE)</f>
        <v>JANTUNG TANPA OPERASI</v>
      </c>
      <c r="F4" s="41" t="str">
        <f t="shared" ref="F4:F14" si="1">MID(A4,2,2)</f>
        <v>30</v>
      </c>
      <c r="G4" s="40" t="str">
        <f t="shared" ref="G4:G14" si="2">MID(A4,4,2)</f>
        <v>03</v>
      </c>
      <c r="H4" s="42" t="str">
        <f t="shared" ref="H4:H14" si="3">MID(A4,7,2)</f>
        <v>03</v>
      </c>
      <c r="I4" s="42" t="str">
        <f t="shared" ref="I4:I14" si="4">MID(A4,9,2)</f>
        <v>04</v>
      </c>
      <c r="J4" s="45">
        <f>DATE(2020,I4,H4)-DATE(2020,G4,F4)</f>
        <v>4</v>
      </c>
      <c r="K4" s="41">
        <f t="shared" ref="K4:K14" si="5">VLOOKUP(LEFT(D4,2),$J$18:$M$21,IF(LEFT(A4,1)="B",4,IF(RIGHT(A4,1)="E",2,3)),FALSE)*1000*IF(ISODD(J4),J4+1,J4)/2+IF(RIGHT(D4,2)="02",2500000,0)</f>
        <v>1100000</v>
      </c>
      <c r="L4" s="48">
        <f t="shared" ref="L4:L14" si="6">K4-IF(AND(OR(LEFT(A4,1)="M",LEFT(A4,1)="B"),LEFT(D4,2)="KU",J4&lt;7),K4*$B$32,IF(AND(OR(LEFT(A4,1)="M",LEFT(A4,1)="B"),LEFT(D4,2)="KU",J4&gt;=7),K4*$C$32,IF(AND(LEFT(A4,1)="B",OR(LEFT(D4,2)="JA",LEFT(D4,2)="KA",LEFT(D4,2)="AN"),J4&lt;7),K4*$B$33,IF(AND(LEFT(A4,1)="B",OR(LEFT(D4,2)="JA",LEFT(D4,2)="KA",LEFT(D4,2)="AN"),J4&gt;=7),K4*$C$33,0))))</f>
        <v>275000</v>
      </c>
      <c r="M4" s="54"/>
      <c r="N4" s="33">
        <v>0</v>
      </c>
      <c r="P4" s="33">
        <f t="shared" ref="P4:P14" si="7">IF(C4="BPJS",1,0)</f>
        <v>1</v>
      </c>
      <c r="Q4" s="33">
        <v>0</v>
      </c>
    </row>
    <row r="5" spans="1:17">
      <c r="A5" s="29" t="s">
        <v>171</v>
      </c>
      <c r="B5" s="29" t="s">
        <v>172</v>
      </c>
      <c r="C5" s="38" t="str">
        <f t="shared" ref="C5:C14" si="8">IF(LEFT(A5,1)="B",$B$19,IF(RIGHT(A5,1)="E",$B$17,$B$18))</f>
        <v>BPJS</v>
      </c>
      <c r="D5" s="39" t="s">
        <v>173</v>
      </c>
      <c r="E5" s="43" t="str">
        <f t="shared" si="0"/>
        <v>KULIT TANPA OPERASI</v>
      </c>
      <c r="F5" s="41" t="str">
        <f t="shared" si="1"/>
        <v>01</v>
      </c>
      <c r="G5" s="40" t="str">
        <f t="shared" si="2"/>
        <v>04</v>
      </c>
      <c r="H5" s="42" t="str">
        <f t="shared" si="3"/>
        <v>04</v>
      </c>
      <c r="I5" s="42" t="str">
        <f t="shared" si="4"/>
        <v>04</v>
      </c>
      <c r="J5" s="45">
        <f t="shared" ref="J5:J14" si="9">DATE(2020,I5,H5)-DATE(2020,G5,F5)</f>
        <v>3</v>
      </c>
      <c r="K5" s="41">
        <f t="shared" si="5"/>
        <v>500000</v>
      </c>
      <c r="L5" s="48">
        <f t="shared" si="6"/>
        <v>500000</v>
      </c>
      <c r="M5" s="54"/>
      <c r="N5" s="33">
        <v>0</v>
      </c>
      <c r="P5" s="33">
        <f t="shared" si="7"/>
        <v>1</v>
      </c>
      <c r="Q5" s="33">
        <v>0</v>
      </c>
    </row>
    <row r="6" spans="1:17" ht="20" customHeight="1">
      <c r="A6" s="29" t="s">
        <v>174</v>
      </c>
      <c r="B6" s="29" t="s">
        <v>175</v>
      </c>
      <c r="C6" s="38" t="str">
        <f t="shared" si="8"/>
        <v>MANDIRI-PROFESIONAL</v>
      </c>
      <c r="D6" s="39" t="s">
        <v>173</v>
      </c>
      <c r="E6" s="43" t="str">
        <f t="shared" si="0"/>
        <v>KULIT TANPA OPERASI</v>
      </c>
      <c r="F6" s="41" t="str">
        <f t="shared" si="1"/>
        <v>12</v>
      </c>
      <c r="G6" s="40" t="str">
        <f t="shared" si="2"/>
        <v>03</v>
      </c>
      <c r="H6" s="42" t="str">
        <f t="shared" si="3"/>
        <v>16</v>
      </c>
      <c r="I6" s="42" t="str">
        <f t="shared" si="4"/>
        <v>03</v>
      </c>
      <c r="J6" s="45">
        <f t="shared" si="9"/>
        <v>4</v>
      </c>
      <c r="K6" s="41">
        <f t="shared" si="5"/>
        <v>600000</v>
      </c>
      <c r="L6" s="48">
        <f t="shared" si="6"/>
        <v>600000</v>
      </c>
      <c r="M6" s="54"/>
      <c r="N6" s="33">
        <v>0</v>
      </c>
      <c r="P6" s="33">
        <f t="shared" si="7"/>
        <v>0</v>
      </c>
      <c r="Q6" s="33">
        <v>1</v>
      </c>
    </row>
    <row r="7" spans="1:17" ht="15.5" customHeight="1">
      <c r="A7" s="29" t="s">
        <v>176</v>
      </c>
      <c r="B7" s="29" t="s">
        <v>177</v>
      </c>
      <c r="C7" s="38" t="str">
        <f t="shared" si="8"/>
        <v>MANDIRI-PROFESIONAL</v>
      </c>
      <c r="D7" s="39" t="s">
        <v>178</v>
      </c>
      <c r="E7" s="43" t="str">
        <f t="shared" si="0"/>
        <v>KANDUNGAN TANPA OPERASI</v>
      </c>
      <c r="F7" s="41" t="str">
        <f t="shared" si="1"/>
        <v>28</v>
      </c>
      <c r="G7" s="40" t="str">
        <f t="shared" si="2"/>
        <v>03</v>
      </c>
      <c r="H7" s="42" t="str">
        <f t="shared" si="3"/>
        <v>01</v>
      </c>
      <c r="I7" s="42" t="str">
        <f t="shared" si="4"/>
        <v>04</v>
      </c>
      <c r="J7" s="45">
        <f t="shared" si="9"/>
        <v>4</v>
      </c>
      <c r="K7" s="41">
        <f t="shared" si="5"/>
        <v>800000</v>
      </c>
      <c r="L7" s="48">
        <f t="shared" si="6"/>
        <v>800000</v>
      </c>
      <c r="M7" s="54" t="s">
        <v>292</v>
      </c>
      <c r="N7" s="33">
        <v>0</v>
      </c>
      <c r="P7" s="33">
        <f t="shared" si="7"/>
        <v>0</v>
      </c>
      <c r="Q7" s="33">
        <v>1</v>
      </c>
    </row>
    <row r="8" spans="1:17">
      <c r="A8" s="29" t="s">
        <v>179</v>
      </c>
      <c r="B8" s="29" t="s">
        <v>180</v>
      </c>
      <c r="C8" s="38" t="str">
        <f t="shared" si="8"/>
        <v>MANDIRI-EKSEKUTIF</v>
      </c>
      <c r="D8" s="39" t="s">
        <v>181</v>
      </c>
      <c r="E8" s="43" t="str">
        <f t="shared" si="0"/>
        <v>JANTUNG OPERASI</v>
      </c>
      <c r="F8" s="41" t="str">
        <f t="shared" si="1"/>
        <v>20</v>
      </c>
      <c r="G8" s="40" t="str">
        <f t="shared" si="2"/>
        <v>03</v>
      </c>
      <c r="H8" s="42" t="str">
        <f t="shared" si="3"/>
        <v>30</v>
      </c>
      <c r="I8" s="42" t="str">
        <f t="shared" si="4"/>
        <v>03</v>
      </c>
      <c r="J8" s="45">
        <f t="shared" si="9"/>
        <v>10</v>
      </c>
      <c r="K8" s="41">
        <f t="shared" si="5"/>
        <v>6000000</v>
      </c>
      <c r="L8" s="48">
        <f t="shared" si="6"/>
        <v>6000000</v>
      </c>
      <c r="M8" s="54"/>
      <c r="N8" s="33">
        <v>0</v>
      </c>
      <c r="P8" s="33">
        <f t="shared" si="7"/>
        <v>0</v>
      </c>
      <c r="Q8" s="33">
        <v>1</v>
      </c>
    </row>
    <row r="9" spans="1:17" ht="15" customHeight="1">
      <c r="A9" s="29" t="s">
        <v>182</v>
      </c>
      <c r="B9" s="29" t="s">
        <v>183</v>
      </c>
      <c r="C9" s="38" t="str">
        <f t="shared" si="8"/>
        <v>MANDIRI-PROFESIONAL</v>
      </c>
      <c r="D9" s="39" t="s">
        <v>181</v>
      </c>
      <c r="E9" s="43" t="str">
        <f t="shared" si="0"/>
        <v>JANTUNG OPERASI</v>
      </c>
      <c r="F9" s="41" t="str">
        <f t="shared" si="1"/>
        <v>17</v>
      </c>
      <c r="G9" s="40" t="str">
        <f t="shared" si="2"/>
        <v>03</v>
      </c>
      <c r="H9" s="42" t="str">
        <f t="shared" si="3"/>
        <v>24</v>
      </c>
      <c r="I9" s="42" t="str">
        <f t="shared" si="4"/>
        <v>03</v>
      </c>
      <c r="J9" s="45">
        <f t="shared" si="9"/>
        <v>7</v>
      </c>
      <c r="K9" s="41">
        <f t="shared" si="5"/>
        <v>4900000</v>
      </c>
      <c r="L9" s="48">
        <f t="shared" si="6"/>
        <v>4900000</v>
      </c>
      <c r="M9" s="54"/>
      <c r="N9" s="33">
        <v>0</v>
      </c>
      <c r="P9" s="33">
        <f t="shared" si="7"/>
        <v>0</v>
      </c>
      <c r="Q9" s="33">
        <v>1</v>
      </c>
    </row>
    <row r="10" spans="1:17">
      <c r="A10" s="29" t="s">
        <v>184</v>
      </c>
      <c r="B10" s="29" t="s">
        <v>185</v>
      </c>
      <c r="C10" s="38" t="str">
        <f t="shared" si="8"/>
        <v>BPJS</v>
      </c>
      <c r="D10" s="39" t="s">
        <v>186</v>
      </c>
      <c r="E10" s="43" t="str">
        <f t="shared" si="0"/>
        <v>ANAK TANPA OPERASI</v>
      </c>
      <c r="F10" s="41" t="str">
        <f t="shared" si="1"/>
        <v>23</v>
      </c>
      <c r="G10" s="40" t="str">
        <f t="shared" si="2"/>
        <v>03</v>
      </c>
      <c r="H10" s="42" t="str">
        <f t="shared" si="3"/>
        <v>01</v>
      </c>
      <c r="I10" s="42" t="str">
        <f t="shared" si="4"/>
        <v>04</v>
      </c>
      <c r="J10" s="45">
        <f t="shared" si="9"/>
        <v>9</v>
      </c>
      <c r="K10" s="41">
        <f t="shared" si="5"/>
        <v>1000000</v>
      </c>
      <c r="L10" s="48">
        <f t="shared" si="6"/>
        <v>0</v>
      </c>
      <c r="M10" s="54"/>
      <c r="N10" s="33">
        <v>0</v>
      </c>
      <c r="P10" s="33">
        <f t="shared" si="7"/>
        <v>1</v>
      </c>
      <c r="Q10" s="33">
        <v>0</v>
      </c>
    </row>
    <row r="11" spans="1:17" ht="18" customHeight="1">
      <c r="A11" s="29" t="s">
        <v>187</v>
      </c>
      <c r="B11" s="29" t="s">
        <v>188</v>
      </c>
      <c r="C11" s="38" t="str">
        <f t="shared" si="8"/>
        <v>MANDIRI-PROFESIONAL</v>
      </c>
      <c r="D11" s="39" t="s">
        <v>170</v>
      </c>
      <c r="E11" s="43" t="str">
        <f t="shared" si="0"/>
        <v>JANTUNG TANPA OPERASI</v>
      </c>
      <c r="F11" s="41" t="str">
        <f t="shared" si="1"/>
        <v>24</v>
      </c>
      <c r="G11" s="40" t="str">
        <f t="shared" si="2"/>
        <v>03</v>
      </c>
      <c r="H11" s="42" t="str">
        <f t="shared" si="3"/>
        <v>30</v>
      </c>
      <c r="I11" s="42" t="str">
        <f t="shared" si="4"/>
        <v>03</v>
      </c>
      <c r="J11" s="45">
        <f t="shared" si="9"/>
        <v>6</v>
      </c>
      <c r="K11" s="41">
        <f t="shared" si="5"/>
        <v>1800000</v>
      </c>
      <c r="L11" s="48">
        <f t="shared" si="6"/>
        <v>1800000</v>
      </c>
      <c r="M11" s="54"/>
      <c r="N11" s="33">
        <v>0</v>
      </c>
      <c r="P11" s="33">
        <f t="shared" si="7"/>
        <v>0</v>
      </c>
      <c r="Q11" s="33">
        <v>1</v>
      </c>
    </row>
    <row r="12" spans="1:17">
      <c r="A12" s="29" t="s">
        <v>189</v>
      </c>
      <c r="B12" s="29" t="s">
        <v>190</v>
      </c>
      <c r="C12" s="38" t="str">
        <f t="shared" si="8"/>
        <v>BPJS</v>
      </c>
      <c r="D12" s="39" t="s">
        <v>191</v>
      </c>
      <c r="E12" s="43" t="str">
        <f t="shared" si="0"/>
        <v>KANDUNGAN OPERASI</v>
      </c>
      <c r="F12" s="41" t="str">
        <f t="shared" si="1"/>
        <v>07</v>
      </c>
      <c r="G12" s="40" t="str">
        <f t="shared" si="2"/>
        <v>03</v>
      </c>
      <c r="H12" s="42" t="str">
        <f t="shared" si="3"/>
        <v>15</v>
      </c>
      <c r="I12" s="42" t="str">
        <f t="shared" si="4"/>
        <v>03</v>
      </c>
      <c r="J12" s="45">
        <f t="shared" si="9"/>
        <v>8</v>
      </c>
      <c r="K12" s="41">
        <f t="shared" si="5"/>
        <v>4100000</v>
      </c>
      <c r="L12" s="48">
        <f t="shared" si="6"/>
        <v>0</v>
      </c>
      <c r="M12" s="54"/>
      <c r="N12" s="33">
        <v>0</v>
      </c>
      <c r="P12" s="33">
        <f t="shared" si="7"/>
        <v>1</v>
      </c>
      <c r="Q12" s="33">
        <v>0</v>
      </c>
    </row>
    <row r="13" spans="1:17">
      <c r="A13" s="29" t="s">
        <v>192</v>
      </c>
      <c r="B13" s="29" t="s">
        <v>193</v>
      </c>
      <c r="C13" s="38" t="str">
        <f t="shared" si="8"/>
        <v>MANDIRI-EKSEKUTIF</v>
      </c>
      <c r="D13" s="39" t="s">
        <v>194</v>
      </c>
      <c r="E13" s="43" t="str">
        <f t="shared" si="0"/>
        <v>ANAK OPERASI</v>
      </c>
      <c r="F13" s="41" t="str">
        <f t="shared" si="1"/>
        <v>27</v>
      </c>
      <c r="G13" s="40" t="str">
        <f t="shared" si="2"/>
        <v>03</v>
      </c>
      <c r="H13" s="42" t="str">
        <f t="shared" si="3"/>
        <v>01</v>
      </c>
      <c r="I13" s="42" t="str">
        <f t="shared" si="4"/>
        <v>04</v>
      </c>
      <c r="J13" s="45">
        <f t="shared" si="9"/>
        <v>5</v>
      </c>
      <c r="K13" s="41">
        <f t="shared" si="5"/>
        <v>3400000</v>
      </c>
      <c r="L13" s="48">
        <f t="shared" si="6"/>
        <v>3400000</v>
      </c>
      <c r="M13" s="54"/>
      <c r="N13" s="33">
        <v>0</v>
      </c>
      <c r="P13" s="33">
        <f t="shared" si="7"/>
        <v>0</v>
      </c>
      <c r="Q13" s="33">
        <v>1</v>
      </c>
    </row>
    <row r="14" spans="1:17" ht="18" customHeight="1">
      <c r="A14" s="29" t="s">
        <v>195</v>
      </c>
      <c r="B14" s="29" t="s">
        <v>196</v>
      </c>
      <c r="C14" s="38" t="str">
        <f t="shared" si="8"/>
        <v>MANDIRI-PROFESIONAL</v>
      </c>
      <c r="D14" s="39" t="s">
        <v>186</v>
      </c>
      <c r="E14" s="43" t="str">
        <f t="shared" si="0"/>
        <v>ANAK TANPA OPERASI</v>
      </c>
      <c r="F14" s="41" t="str">
        <f t="shared" si="1"/>
        <v>13</v>
      </c>
      <c r="G14" s="40" t="str">
        <f t="shared" si="2"/>
        <v>03</v>
      </c>
      <c r="H14" s="42" t="str">
        <f t="shared" si="3"/>
        <v>16</v>
      </c>
      <c r="I14" s="42" t="str">
        <f t="shared" si="4"/>
        <v>03</v>
      </c>
      <c r="J14" s="45">
        <f t="shared" si="9"/>
        <v>3</v>
      </c>
      <c r="K14" s="41">
        <f t="shared" si="5"/>
        <v>400000</v>
      </c>
      <c r="L14" s="48">
        <f t="shared" si="6"/>
        <v>400000</v>
      </c>
      <c r="M14" s="54"/>
      <c r="N14" s="33">
        <v>0</v>
      </c>
      <c r="P14" s="33">
        <f t="shared" si="7"/>
        <v>0</v>
      </c>
      <c r="Q14" s="33">
        <v>1</v>
      </c>
    </row>
    <row r="15" spans="1:17">
      <c r="J15" s="33">
        <f>VAR(J3:J14)</f>
        <v>11.174242424242426</v>
      </c>
      <c r="P15" s="33">
        <f>VAR(P3:P14)</f>
        <v>0.24242424242424246</v>
      </c>
      <c r="Q15" s="33">
        <f>VAR(Q3:Q14)</f>
        <v>0.24242424242424246</v>
      </c>
    </row>
    <row r="17" spans="1:16" ht="34.5" customHeight="1">
      <c r="A17" s="31" t="s">
        <v>137</v>
      </c>
      <c r="B17" s="31" t="s">
        <v>138</v>
      </c>
      <c r="G17" s="31" t="s">
        <v>202</v>
      </c>
      <c r="H17" s="31" t="s">
        <v>203</v>
      </c>
      <c r="J17" s="31" t="s">
        <v>151</v>
      </c>
      <c r="K17" s="31" t="s">
        <v>137</v>
      </c>
      <c r="L17" s="31" t="s">
        <v>139</v>
      </c>
      <c r="M17" s="31" t="s">
        <v>141</v>
      </c>
    </row>
    <row r="18" spans="1:16" ht="26.5" customHeight="1">
      <c r="A18" s="31" t="s">
        <v>139</v>
      </c>
      <c r="B18" s="31" t="s">
        <v>140</v>
      </c>
      <c r="G18" s="46" t="s">
        <v>216</v>
      </c>
      <c r="H18" s="31" t="s">
        <v>204</v>
      </c>
      <c r="J18" s="31" t="s">
        <v>143</v>
      </c>
      <c r="K18" s="34">
        <v>700</v>
      </c>
      <c r="L18" s="34">
        <v>600</v>
      </c>
      <c r="M18" s="35">
        <v>550</v>
      </c>
    </row>
    <row r="19" spans="1:16" ht="28" customHeight="1">
      <c r="A19" s="31" t="s">
        <v>141</v>
      </c>
      <c r="B19" s="31" t="s">
        <v>142</v>
      </c>
      <c r="C19" s="36"/>
      <c r="G19" s="46" t="s">
        <v>217</v>
      </c>
      <c r="H19" s="31" t="s">
        <v>205</v>
      </c>
      <c r="J19" s="31" t="s">
        <v>144</v>
      </c>
      <c r="K19" s="34">
        <v>400</v>
      </c>
      <c r="L19" s="34">
        <v>400</v>
      </c>
      <c r="M19" s="35">
        <v>400</v>
      </c>
    </row>
    <row r="20" spans="1:16">
      <c r="J20" s="31" t="s">
        <v>145</v>
      </c>
      <c r="K20" s="34">
        <v>350</v>
      </c>
      <c r="L20" s="34">
        <v>300</v>
      </c>
      <c r="M20" s="35">
        <v>250</v>
      </c>
    </row>
    <row r="21" spans="1:16">
      <c r="A21" s="31" t="s">
        <v>200</v>
      </c>
      <c r="B21" s="31" t="s">
        <v>143</v>
      </c>
      <c r="C21" s="31" t="s">
        <v>144</v>
      </c>
      <c r="D21" s="31" t="s">
        <v>145</v>
      </c>
      <c r="E21" s="31" t="s">
        <v>146</v>
      </c>
      <c r="J21" s="31" t="s">
        <v>146</v>
      </c>
      <c r="K21" s="34">
        <v>300</v>
      </c>
      <c r="L21" s="34">
        <v>200</v>
      </c>
      <c r="M21" s="35">
        <v>200</v>
      </c>
    </row>
    <row r="22" spans="1:16" ht="23.5" customHeight="1">
      <c r="A22" s="31" t="s">
        <v>201</v>
      </c>
      <c r="B22" s="31" t="s">
        <v>147</v>
      </c>
      <c r="C22" s="31" t="s">
        <v>148</v>
      </c>
      <c r="D22" s="31" t="s">
        <v>149</v>
      </c>
      <c r="E22" s="31" t="s">
        <v>150</v>
      </c>
      <c r="F22" s="36"/>
      <c r="G22" s="36"/>
      <c r="H22" s="36"/>
      <c r="I22" s="36"/>
      <c r="J22" s="36"/>
      <c r="K22" s="36"/>
      <c r="L22" s="36"/>
    </row>
    <row r="24" spans="1:16">
      <c r="I24" s="33" t="s">
        <v>553</v>
      </c>
      <c r="J24" s="33" t="s">
        <v>595</v>
      </c>
      <c r="N24" t="s">
        <v>601</v>
      </c>
      <c r="O24"/>
      <c r="P24"/>
    </row>
    <row r="25" spans="1:16" ht="16" thickBot="1">
      <c r="A25" s="30"/>
      <c r="B25" s="37"/>
      <c r="C25" s="37"/>
      <c r="D25" s="37"/>
      <c r="E25" s="37"/>
      <c r="J25" s="130"/>
      <c r="N25"/>
      <c r="O25"/>
      <c r="P25"/>
    </row>
    <row r="26" spans="1:16">
      <c r="A26" s="31" t="s">
        <v>152</v>
      </c>
      <c r="B26" s="31" t="s">
        <v>153</v>
      </c>
      <c r="C26" s="171"/>
      <c r="D26" s="31" t="s">
        <v>235</v>
      </c>
      <c r="E26" s="31" t="s">
        <v>210</v>
      </c>
      <c r="J26" s="33" t="s">
        <v>596</v>
      </c>
      <c r="N26" s="122"/>
      <c r="O26" s="122" t="s">
        <v>602</v>
      </c>
      <c r="P26" s="122" t="s">
        <v>603</v>
      </c>
    </row>
    <row r="27" spans="1:16" ht="16.5" customHeight="1">
      <c r="A27" s="31" t="s">
        <v>206</v>
      </c>
      <c r="B27" s="31" t="s">
        <v>208</v>
      </c>
      <c r="C27" s="171"/>
      <c r="D27" s="31" t="s">
        <v>204</v>
      </c>
      <c r="E27" s="31" t="s">
        <v>211</v>
      </c>
      <c r="J27" s="33" t="s">
        <v>597</v>
      </c>
      <c r="N27" t="s">
        <v>604</v>
      </c>
      <c r="O27">
        <v>6.416666666666667</v>
      </c>
      <c r="P27">
        <v>0</v>
      </c>
    </row>
    <row r="28" spans="1:16">
      <c r="A28" s="31" t="s">
        <v>207</v>
      </c>
      <c r="B28" s="31" t="s">
        <v>209</v>
      </c>
      <c r="C28" s="171"/>
      <c r="D28" s="31" t="s">
        <v>205</v>
      </c>
      <c r="E28" s="31" t="s">
        <v>212</v>
      </c>
      <c r="N28" t="s">
        <v>605</v>
      </c>
      <c r="O28">
        <v>11.17</v>
      </c>
      <c r="P28">
        <v>9.9999999999999998E-20</v>
      </c>
    </row>
    <row r="29" spans="1:16">
      <c r="J29" s="33" t="s">
        <v>598</v>
      </c>
      <c r="K29" s="33">
        <v>0.05</v>
      </c>
      <c r="N29" t="s">
        <v>564</v>
      </c>
      <c r="O29">
        <v>12</v>
      </c>
      <c r="P29">
        <v>11</v>
      </c>
    </row>
    <row r="30" spans="1:16">
      <c r="J30" s="33" t="s">
        <v>599</v>
      </c>
      <c r="K30" s="33" t="s">
        <v>600</v>
      </c>
      <c r="L30" s="33" t="s">
        <v>617</v>
      </c>
      <c r="N30" t="s">
        <v>606</v>
      </c>
      <c r="O30">
        <v>7</v>
      </c>
      <c r="P30"/>
    </row>
    <row r="31" spans="1:16">
      <c r="A31" s="31" t="s">
        <v>213</v>
      </c>
      <c r="B31" s="31" t="s">
        <v>214</v>
      </c>
      <c r="C31" s="31" t="s">
        <v>215</v>
      </c>
      <c r="K31" s="131" t="s">
        <v>612</v>
      </c>
      <c r="L31" s="33" t="s">
        <v>618</v>
      </c>
      <c r="N31" s="124" t="s">
        <v>607</v>
      </c>
      <c r="O31" s="124">
        <v>-0.6046176631981145</v>
      </c>
      <c r="P31"/>
    </row>
    <row r="32" spans="1:16">
      <c r="A32" s="31" t="s">
        <v>154</v>
      </c>
      <c r="B32" s="49">
        <v>0</v>
      </c>
      <c r="C32" s="49">
        <v>0.1</v>
      </c>
      <c r="E32" s="33" t="s">
        <v>142</v>
      </c>
      <c r="N32" s="124" t="s">
        <v>608</v>
      </c>
      <c r="O32" s="124">
        <v>0.27271653384011219</v>
      </c>
      <c r="P32"/>
    </row>
    <row r="33" spans="1:23">
      <c r="A33" s="31" t="s">
        <v>155</v>
      </c>
      <c r="B33" s="49">
        <v>0.75</v>
      </c>
      <c r="C33" s="49">
        <v>1</v>
      </c>
      <c r="E33" s="33" t="s">
        <v>620</v>
      </c>
      <c r="J33" s="33" t="s">
        <v>613</v>
      </c>
      <c r="N33" s="124" t="s">
        <v>609</v>
      </c>
      <c r="O33" s="124">
        <v>1.6448536269514715</v>
      </c>
      <c r="P33"/>
    </row>
    <row r="34" spans="1:23">
      <c r="J34" s="33" t="s">
        <v>614</v>
      </c>
      <c r="N34" t="s">
        <v>610</v>
      </c>
      <c r="O34">
        <v>0.54543306768022437</v>
      </c>
      <c r="P34"/>
    </row>
    <row r="35" spans="1:23" ht="16" thickBot="1">
      <c r="A35"/>
      <c r="B35"/>
      <c r="N35" s="121" t="s">
        <v>611</v>
      </c>
      <c r="O35" s="121">
        <v>1.9599639845400536</v>
      </c>
      <c r="P35" s="121"/>
    </row>
    <row r="37" spans="1:23" ht="36" customHeight="1">
      <c r="A37" s="61" t="s">
        <v>289</v>
      </c>
      <c r="B37" s="62" t="s">
        <v>291</v>
      </c>
      <c r="C37" s="62" t="s">
        <v>288</v>
      </c>
      <c r="D37" t="s">
        <v>290</v>
      </c>
      <c r="E37"/>
      <c r="F37"/>
      <c r="G37"/>
      <c r="H37"/>
      <c r="I37"/>
      <c r="J37"/>
      <c r="K37"/>
    </row>
    <row r="38" spans="1:23">
      <c r="A38" s="60" t="s">
        <v>142</v>
      </c>
      <c r="B38">
        <v>4</v>
      </c>
      <c r="C38">
        <v>775000</v>
      </c>
      <c r="D38">
        <v>6</v>
      </c>
      <c r="E38"/>
      <c r="F38"/>
      <c r="G38"/>
      <c r="H38"/>
      <c r="I38"/>
      <c r="J38" t="s">
        <v>615</v>
      </c>
      <c r="K38"/>
      <c r="N38" t="s">
        <v>601</v>
      </c>
      <c r="O38"/>
      <c r="P38"/>
      <c r="U38" t="s">
        <v>601</v>
      </c>
      <c r="V38"/>
      <c r="W38"/>
    </row>
    <row r="39" spans="1:23" ht="16" thickBot="1">
      <c r="A39" s="60" t="s">
        <v>138</v>
      </c>
      <c r="B39">
        <v>3</v>
      </c>
      <c r="C39">
        <v>5305000</v>
      </c>
      <c r="D39">
        <v>9.6666666666666661</v>
      </c>
      <c r="E39"/>
      <c r="F39"/>
      <c r="G39"/>
      <c r="H39"/>
      <c r="I39"/>
      <c r="J39"/>
      <c r="K39"/>
      <c r="N39"/>
      <c r="O39"/>
      <c r="P39"/>
      <c r="U39"/>
      <c r="V39"/>
      <c r="W39"/>
    </row>
    <row r="40" spans="1:23">
      <c r="A40" s="60" t="s">
        <v>140</v>
      </c>
      <c r="B40">
        <v>5</v>
      </c>
      <c r="C40">
        <v>1350000</v>
      </c>
      <c r="D40">
        <v>4.8</v>
      </c>
      <c r="E40"/>
      <c r="F40"/>
      <c r="G40"/>
      <c r="H40"/>
      <c r="I40"/>
      <c r="J40" t="s">
        <v>621</v>
      </c>
      <c r="K40"/>
      <c r="N40" s="122"/>
      <c r="O40" s="122" t="s">
        <v>602</v>
      </c>
      <c r="P40" s="122" t="s">
        <v>603</v>
      </c>
      <c r="U40" s="122"/>
      <c r="V40" s="122" t="s">
        <v>602</v>
      </c>
      <c r="W40" s="122" t="s">
        <v>603</v>
      </c>
    </row>
    <row r="41" spans="1:23">
      <c r="A41" s="60" t="s">
        <v>287</v>
      </c>
      <c r="B41">
        <v>12</v>
      </c>
      <c r="C41">
        <v>7430000</v>
      </c>
      <c r="D41">
        <v>6.416666666666667</v>
      </c>
      <c r="E41"/>
      <c r="F41"/>
      <c r="G41"/>
      <c r="H41"/>
      <c r="I41"/>
      <c r="J41" t="s">
        <v>622</v>
      </c>
      <c r="K41"/>
      <c r="N41" t="s">
        <v>604</v>
      </c>
      <c r="O41">
        <v>0.33333333333333331</v>
      </c>
      <c r="P41">
        <v>0</v>
      </c>
      <c r="U41" t="s">
        <v>604</v>
      </c>
      <c r="V41">
        <v>0.33333333333333331</v>
      </c>
      <c r="W41">
        <v>0.66666666666666663</v>
      </c>
    </row>
    <row r="42" spans="1:23">
      <c r="A42"/>
      <c r="B42"/>
      <c r="C42"/>
      <c r="D42"/>
      <c r="E42"/>
      <c r="F42"/>
      <c r="G42"/>
      <c r="H42"/>
      <c r="I42"/>
      <c r="J42"/>
      <c r="K42"/>
      <c r="N42" t="s">
        <v>605</v>
      </c>
      <c r="O42">
        <v>0.24199999999999999</v>
      </c>
      <c r="P42">
        <v>9.9999999999999998E-20</v>
      </c>
      <c r="U42" t="s">
        <v>605</v>
      </c>
      <c r="V42">
        <v>0.24199999999999999</v>
      </c>
      <c r="W42">
        <v>0.24199999999999999</v>
      </c>
    </row>
    <row r="43" spans="1:23">
      <c r="A43"/>
      <c r="B43"/>
      <c r="C43"/>
      <c r="D43"/>
      <c r="E43"/>
      <c r="J43" s="33" t="s">
        <v>598</v>
      </c>
      <c r="K43" s="33">
        <v>0.05</v>
      </c>
      <c r="N43" t="s">
        <v>564</v>
      </c>
      <c r="O43">
        <v>12</v>
      </c>
      <c r="P43">
        <v>11</v>
      </c>
      <c r="U43" t="s">
        <v>564</v>
      </c>
      <c r="V43">
        <v>12</v>
      </c>
      <c r="W43">
        <v>12</v>
      </c>
    </row>
    <row r="44" spans="1:23">
      <c r="A44"/>
      <c r="B44"/>
      <c r="C44"/>
      <c r="D44"/>
      <c r="E44"/>
      <c r="J44" s="33" t="s">
        <v>616</v>
      </c>
      <c r="K44" s="33" t="s">
        <v>619</v>
      </c>
      <c r="N44" t="s">
        <v>606</v>
      </c>
      <c r="O44">
        <v>0</v>
      </c>
      <c r="P44"/>
      <c r="U44" t="s">
        <v>606</v>
      </c>
      <c r="V44">
        <v>0</v>
      </c>
      <c r="W44"/>
    </row>
    <row r="45" spans="1:23">
      <c r="A45"/>
      <c r="B45"/>
      <c r="C45"/>
      <c r="D45"/>
      <c r="E45"/>
      <c r="K45" s="33" t="s">
        <v>624</v>
      </c>
      <c r="N45" t="s">
        <v>607</v>
      </c>
      <c r="O45">
        <v>2.3472626340651011</v>
      </c>
      <c r="P45"/>
      <c r="U45" t="s">
        <v>607</v>
      </c>
      <c r="V45">
        <v>-1.6597653257732305</v>
      </c>
      <c r="W45"/>
    </row>
    <row r="46" spans="1:23">
      <c r="A46"/>
      <c r="B46"/>
      <c r="C46"/>
      <c r="D46"/>
      <c r="E46"/>
      <c r="J46" s="33" t="s">
        <v>625</v>
      </c>
      <c r="N46" t="s">
        <v>608</v>
      </c>
      <c r="O46">
        <v>9.4559594544588732E-3</v>
      </c>
      <c r="P46"/>
      <c r="U46" t="s">
        <v>608</v>
      </c>
      <c r="V46">
        <v>4.8480835893115692E-2</v>
      </c>
      <c r="W46"/>
    </row>
    <row r="47" spans="1:23">
      <c r="A47"/>
      <c r="B47"/>
      <c r="C47"/>
      <c r="D47"/>
      <c r="E47"/>
      <c r="J47" s="33" t="s">
        <v>626</v>
      </c>
      <c r="N47" t="s">
        <v>609</v>
      </c>
      <c r="O47">
        <v>1.6448536269514715</v>
      </c>
      <c r="P47"/>
      <c r="U47" t="s">
        <v>609</v>
      </c>
      <c r="V47">
        <v>1.6448536269514715</v>
      </c>
      <c r="W47"/>
    </row>
    <row r="48" spans="1:23">
      <c r="A48"/>
      <c r="B48"/>
      <c r="C48"/>
      <c r="D48"/>
      <c r="E48"/>
      <c r="N48" t="s">
        <v>610</v>
      </c>
      <c r="O48">
        <v>1.8911918908917746E-2</v>
      </c>
      <c r="P48"/>
      <c r="U48" t="s">
        <v>610</v>
      </c>
      <c r="V48">
        <v>9.6961671786231385E-2</v>
      </c>
      <c r="W48"/>
    </row>
    <row r="49" spans="1:23" ht="16" thickBot="1">
      <c r="A49"/>
      <c r="B49"/>
      <c r="C49"/>
      <c r="J49" s="33" t="s">
        <v>627</v>
      </c>
      <c r="N49" s="121" t="s">
        <v>611</v>
      </c>
      <c r="O49" s="121">
        <v>1.9599639845400536</v>
      </c>
      <c r="P49" s="121"/>
      <c r="U49" s="121" t="s">
        <v>611</v>
      </c>
      <c r="V49" s="121">
        <v>1.9599639845400536</v>
      </c>
      <c r="W49" s="121"/>
    </row>
    <row r="50" spans="1:23">
      <c r="A50"/>
      <c r="B50"/>
      <c r="C50"/>
    </row>
    <row r="51" spans="1:23">
      <c r="A51"/>
      <c r="B51"/>
      <c r="C51"/>
    </row>
    <row r="52" spans="1:23">
      <c r="A52"/>
      <c r="B52"/>
      <c r="C52"/>
    </row>
    <row r="53" spans="1:23">
      <c r="A53"/>
      <c r="B53"/>
      <c r="C53"/>
    </row>
    <row r="54" spans="1:23">
      <c r="A54"/>
      <c r="B54"/>
      <c r="C54"/>
    </row>
    <row r="55" spans="1:23">
      <c r="A55"/>
      <c r="B55"/>
    </row>
    <row r="56" spans="1:23">
      <c r="A56"/>
      <c r="B56"/>
    </row>
    <row r="57" spans="1:23">
      <c r="A57"/>
      <c r="B57"/>
    </row>
    <row r="58" spans="1:23">
      <c r="A58"/>
      <c r="B58"/>
    </row>
    <row r="59" spans="1:23">
      <c r="A59"/>
      <c r="B59"/>
    </row>
    <row r="60" spans="1:23">
      <c r="A60"/>
      <c r="B60"/>
    </row>
    <row r="61" spans="1:23">
      <c r="A61"/>
      <c r="B61"/>
    </row>
  </sheetData>
  <mergeCells count="1">
    <mergeCell ref="C26:C28"/>
  </mergeCells>
  <pageMargins left="0.7" right="0.7" top="0.75" bottom="0.75" header="0.3" footer="0.3"/>
  <pageSetup orientation="portrait" horizontalDpi="4294967293" verticalDpi="4294967293"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A9C6E-DDD7-4C9D-8498-B3E7310F4146}">
  <dimension ref="A1:O30"/>
  <sheetViews>
    <sheetView zoomScale="69" workbookViewId="0">
      <selection activeCell="O3" sqref="O3"/>
    </sheetView>
  </sheetViews>
  <sheetFormatPr defaultRowHeight="14.5"/>
  <cols>
    <col min="1" max="1" width="15.26953125" customWidth="1"/>
    <col min="2" max="2" width="13.54296875" customWidth="1"/>
    <col min="3" max="3" width="17.1796875" customWidth="1"/>
    <col min="4" max="4" width="16.90625" customWidth="1"/>
    <col min="6" max="6" width="21.453125" customWidth="1"/>
    <col min="7" max="7" width="20" customWidth="1"/>
    <col min="8" max="8" width="17.453125" customWidth="1"/>
    <col min="9" max="9" width="16.6328125" customWidth="1"/>
    <col min="13" max="13" width="15.1796875" customWidth="1"/>
    <col min="14" max="14" width="12.36328125" customWidth="1"/>
    <col min="15" max="15" width="11.54296875" customWidth="1"/>
  </cols>
  <sheetData>
    <row r="1" spans="1:15" ht="28">
      <c r="A1" s="177" t="s">
        <v>82</v>
      </c>
      <c r="B1" s="179" t="s">
        <v>83</v>
      </c>
      <c r="C1" s="180"/>
      <c r="D1" s="183" t="s">
        <v>84</v>
      </c>
      <c r="E1" s="184"/>
      <c r="F1" s="187" t="s">
        <v>85</v>
      </c>
      <c r="G1" s="188"/>
      <c r="H1" s="187" t="s">
        <v>86</v>
      </c>
      <c r="I1" s="188"/>
      <c r="J1" s="26" t="s">
        <v>87</v>
      </c>
      <c r="K1" s="27" t="s">
        <v>88</v>
      </c>
      <c r="L1" s="26" t="s">
        <v>89</v>
      </c>
      <c r="M1" s="26" t="s">
        <v>90</v>
      </c>
      <c r="N1" s="27" t="s">
        <v>91</v>
      </c>
      <c r="O1" s="27" t="s">
        <v>92</v>
      </c>
    </row>
    <row r="2" spans="1:15">
      <c r="A2" s="178"/>
      <c r="B2" s="181"/>
      <c r="C2" s="182"/>
      <c r="D2" s="185"/>
      <c r="E2" s="186"/>
      <c r="F2" s="17" t="s">
        <v>93</v>
      </c>
      <c r="G2" s="17" t="s">
        <v>94</v>
      </c>
      <c r="H2" s="17" t="s">
        <v>93</v>
      </c>
      <c r="I2" s="16" t="s">
        <v>94</v>
      </c>
      <c r="J2" s="28"/>
      <c r="K2" s="28"/>
      <c r="L2" s="28"/>
      <c r="M2" s="28"/>
      <c r="N2" s="28"/>
      <c r="O2" s="28"/>
    </row>
    <row r="3" spans="1:15">
      <c r="A3" s="13" t="s">
        <v>95</v>
      </c>
      <c r="B3" s="140" t="s">
        <v>96</v>
      </c>
      <c r="C3" s="141"/>
      <c r="D3" s="148" t="str">
        <f>LEFT(A3,2)</f>
        <v>DM</v>
      </c>
      <c r="E3" s="143"/>
      <c r="F3" s="14">
        <v>9</v>
      </c>
      <c r="G3" s="14">
        <v>45</v>
      </c>
      <c r="H3" s="14">
        <v>12</v>
      </c>
      <c r="I3" s="14">
        <v>0</v>
      </c>
      <c r="J3" s="32">
        <f>(H3-F3)+(I3-G3)/60</f>
        <v>2.25</v>
      </c>
      <c r="K3" s="32">
        <f>IF((J3&gt;=2),J3-2,0)</f>
        <v>0.25</v>
      </c>
      <c r="L3" s="15">
        <f>IF(D3="DM",$C$23,IF(D3="LG",$C$22,$C$24))</f>
        <v>4000</v>
      </c>
      <c r="M3" s="15">
        <f>IF(AND(K3&gt;1,D3="LG"),$E$22,IF(AND(K3&gt;1,D3="DM"),$E$23,IF(AND(K3&gt;1,D3="TR"),$E$24,0)))+IF(AND(K3&gt;3,D3="LG"),$G$22,IF(AND(K3&gt;3,D3="DM"),$G$23,IF(AND(K3&gt;3,D3="TR"),$G$24)))</f>
        <v>0</v>
      </c>
      <c r="N3" s="15">
        <f>L3+M3</f>
        <v>4000</v>
      </c>
      <c r="O3" s="15" t="str">
        <f>IF(AND(K3&gt;3,D3="DM"),"Dapat Hadiah","Tidak")</f>
        <v>Tidak</v>
      </c>
    </row>
    <row r="4" spans="1:15">
      <c r="A4" s="13" t="s">
        <v>97</v>
      </c>
      <c r="B4" s="140" t="s">
        <v>98</v>
      </c>
      <c r="C4" s="141"/>
      <c r="D4" s="148" t="str">
        <f t="shared" ref="D4:D14" si="0">LEFT(A4,2)</f>
        <v>DM</v>
      </c>
      <c r="E4" s="143"/>
      <c r="F4" s="14">
        <v>9</v>
      </c>
      <c r="G4" s="14">
        <v>50</v>
      </c>
      <c r="H4" s="14">
        <v>15</v>
      </c>
      <c r="I4" s="14">
        <v>25</v>
      </c>
      <c r="J4" s="32">
        <f t="shared" ref="J4:J14" si="1">(H4-F4)+(I4-G4)/60</f>
        <v>5.583333333333333</v>
      </c>
      <c r="K4" s="32">
        <f t="shared" ref="K4:K14" si="2">IF((J4&gt;=2),J4-2,0)</f>
        <v>3.583333333333333</v>
      </c>
      <c r="L4" s="15">
        <f>IF(D4="DM",$C$23,IF(D4="LG",$C$22,$C$24))</f>
        <v>4000</v>
      </c>
      <c r="M4" s="15">
        <f t="shared" ref="M4:M14" si="3">IF(AND(K4&gt;1,D4="LG"),$E$22,IF(AND(K4&gt;1,D4="DM"),$E$23,IF(AND(K4&gt;1,D4="TR"),$E$24,0)))+IF(AND(K4&gt;3,D4="LG"),$G$22,IF(AND(K4&gt;3,D4="DM"),$G$23,IF(AND(K4&gt;3,D4="TR"),$G$24)))</f>
        <v>4000</v>
      </c>
      <c r="N4" s="15">
        <f t="shared" ref="N4:N14" si="4">L4+M4</f>
        <v>8000</v>
      </c>
      <c r="O4" s="15" t="str">
        <f t="shared" ref="O4:O14" si="5">IF(AND(K4&gt;3,D4="DM"),"Dapat Hadiah","Tidak")</f>
        <v>Dapat Hadiah</v>
      </c>
    </row>
    <row r="5" spans="1:15">
      <c r="A5" s="13" t="s">
        <v>99</v>
      </c>
      <c r="B5" s="140" t="s">
        <v>100</v>
      </c>
      <c r="C5" s="141"/>
      <c r="D5" s="148" t="str">
        <f t="shared" si="0"/>
        <v>LG</v>
      </c>
      <c r="E5" s="143"/>
      <c r="F5" s="14">
        <v>10</v>
      </c>
      <c r="G5" s="14">
        <v>0</v>
      </c>
      <c r="H5" s="14">
        <v>11</v>
      </c>
      <c r="I5" s="14">
        <v>55</v>
      </c>
      <c r="J5" s="32">
        <f t="shared" si="1"/>
        <v>1.9166666666666665</v>
      </c>
      <c r="K5" s="32">
        <f t="shared" si="2"/>
        <v>0</v>
      </c>
      <c r="L5" s="15">
        <f t="shared" ref="L5:L14" si="6">IF(D5="DM",$C$23,IF(D5="LG",$C$22,$C$24))</f>
        <v>2000</v>
      </c>
      <c r="M5" s="15">
        <f t="shared" si="3"/>
        <v>0</v>
      </c>
      <c r="N5" s="15">
        <f t="shared" si="4"/>
        <v>2000</v>
      </c>
      <c r="O5" s="15" t="str">
        <f t="shared" si="5"/>
        <v>Tidak</v>
      </c>
    </row>
    <row r="6" spans="1:15">
      <c r="A6" s="13" t="s">
        <v>101</v>
      </c>
      <c r="B6" s="140" t="s">
        <v>102</v>
      </c>
      <c r="C6" s="141"/>
      <c r="D6" s="148" t="str">
        <f t="shared" si="0"/>
        <v>TR</v>
      </c>
      <c r="E6" s="143"/>
      <c r="F6" s="14">
        <v>10</v>
      </c>
      <c r="G6" s="14">
        <v>5</v>
      </c>
      <c r="H6" s="14">
        <v>16</v>
      </c>
      <c r="I6" s="14">
        <v>25</v>
      </c>
      <c r="J6" s="32">
        <f t="shared" si="1"/>
        <v>6.333333333333333</v>
      </c>
      <c r="K6" s="32">
        <f t="shared" si="2"/>
        <v>4.333333333333333</v>
      </c>
      <c r="L6" s="15">
        <f t="shared" si="6"/>
        <v>8000</v>
      </c>
      <c r="M6" s="15">
        <f t="shared" si="3"/>
        <v>8000</v>
      </c>
      <c r="N6" s="15">
        <f t="shared" si="4"/>
        <v>16000</v>
      </c>
      <c r="O6" s="15" t="str">
        <f t="shared" si="5"/>
        <v>Tidak</v>
      </c>
    </row>
    <row r="7" spans="1:15">
      <c r="A7" s="13" t="s">
        <v>103</v>
      </c>
      <c r="B7" s="140" t="s">
        <v>104</v>
      </c>
      <c r="C7" s="141"/>
      <c r="D7" s="148" t="str">
        <f t="shared" si="0"/>
        <v>TR</v>
      </c>
      <c r="E7" s="143"/>
      <c r="F7" s="14">
        <v>10</v>
      </c>
      <c r="G7" s="14">
        <v>15</v>
      </c>
      <c r="H7" s="14">
        <v>15</v>
      </c>
      <c r="I7" s="14">
        <v>45</v>
      </c>
      <c r="J7" s="32">
        <f t="shared" si="1"/>
        <v>5.5</v>
      </c>
      <c r="K7" s="32">
        <f t="shared" si="2"/>
        <v>3.5</v>
      </c>
      <c r="L7" s="15">
        <f t="shared" si="6"/>
        <v>8000</v>
      </c>
      <c r="M7" s="15">
        <f t="shared" si="3"/>
        <v>8000</v>
      </c>
      <c r="N7" s="15">
        <f t="shared" si="4"/>
        <v>16000</v>
      </c>
      <c r="O7" s="15" t="str">
        <f t="shared" si="5"/>
        <v>Tidak</v>
      </c>
    </row>
    <row r="8" spans="1:15">
      <c r="A8" s="13" t="s">
        <v>105</v>
      </c>
      <c r="B8" s="140" t="s">
        <v>106</v>
      </c>
      <c r="C8" s="141"/>
      <c r="D8" s="148" t="str">
        <f t="shared" si="0"/>
        <v>DM</v>
      </c>
      <c r="E8" s="143"/>
      <c r="F8" s="14">
        <v>10</v>
      </c>
      <c r="G8" s="14">
        <v>30</v>
      </c>
      <c r="H8" s="14">
        <v>13</v>
      </c>
      <c r="I8" s="14">
        <v>55</v>
      </c>
      <c r="J8" s="32">
        <f t="shared" si="1"/>
        <v>3.4166666666666665</v>
      </c>
      <c r="K8" s="32">
        <f t="shared" si="2"/>
        <v>1.4166666666666665</v>
      </c>
      <c r="L8" s="15">
        <f t="shared" si="6"/>
        <v>4000</v>
      </c>
      <c r="M8" s="15">
        <f t="shared" si="3"/>
        <v>2500</v>
      </c>
      <c r="N8" s="15">
        <f t="shared" si="4"/>
        <v>6500</v>
      </c>
      <c r="O8" s="15" t="str">
        <f t="shared" si="5"/>
        <v>Tidak</v>
      </c>
    </row>
    <row r="9" spans="1:15">
      <c r="A9" s="13" t="s">
        <v>107</v>
      </c>
      <c r="B9" s="140" t="s">
        <v>108</v>
      </c>
      <c r="C9" s="141"/>
      <c r="D9" s="148" t="str">
        <f t="shared" si="0"/>
        <v>LG</v>
      </c>
      <c r="E9" s="143"/>
      <c r="F9" s="14">
        <v>11</v>
      </c>
      <c r="G9" s="14">
        <v>20</v>
      </c>
      <c r="H9" s="14">
        <v>18</v>
      </c>
      <c r="I9" s="14">
        <v>15</v>
      </c>
      <c r="J9" s="32">
        <f t="shared" si="1"/>
        <v>6.916666666666667</v>
      </c>
      <c r="K9" s="32">
        <f t="shared" si="2"/>
        <v>4.916666666666667</v>
      </c>
      <c r="L9" s="15">
        <f t="shared" si="6"/>
        <v>2000</v>
      </c>
      <c r="M9" s="15">
        <f t="shared" si="3"/>
        <v>2500</v>
      </c>
      <c r="N9" s="15">
        <f t="shared" si="4"/>
        <v>4500</v>
      </c>
      <c r="O9" s="15" t="str">
        <f t="shared" si="5"/>
        <v>Tidak</v>
      </c>
    </row>
    <row r="10" spans="1:15">
      <c r="A10" s="13" t="s">
        <v>109</v>
      </c>
      <c r="B10" s="140" t="s">
        <v>110</v>
      </c>
      <c r="C10" s="141"/>
      <c r="D10" s="148" t="str">
        <f t="shared" si="0"/>
        <v>LG</v>
      </c>
      <c r="E10" s="143"/>
      <c r="F10" s="14">
        <v>11</v>
      </c>
      <c r="G10" s="14">
        <v>55</v>
      </c>
      <c r="H10" s="14">
        <v>15</v>
      </c>
      <c r="I10" s="14">
        <v>15</v>
      </c>
      <c r="J10" s="32">
        <f t="shared" si="1"/>
        <v>3.3333333333333335</v>
      </c>
      <c r="K10" s="32">
        <f t="shared" si="2"/>
        <v>1.3333333333333335</v>
      </c>
      <c r="L10" s="15">
        <f t="shared" si="6"/>
        <v>2000</v>
      </c>
      <c r="M10" s="15">
        <f t="shared" si="3"/>
        <v>1500</v>
      </c>
      <c r="N10" s="15">
        <f t="shared" si="4"/>
        <v>3500</v>
      </c>
      <c r="O10" s="15" t="str">
        <f t="shared" si="5"/>
        <v>Tidak</v>
      </c>
    </row>
    <row r="11" spans="1:15">
      <c r="A11" s="13" t="s">
        <v>111</v>
      </c>
      <c r="B11" s="140" t="s">
        <v>112</v>
      </c>
      <c r="C11" s="141"/>
      <c r="D11" s="148" t="str">
        <f t="shared" si="0"/>
        <v>LG</v>
      </c>
      <c r="E11" s="143"/>
      <c r="F11" s="14">
        <v>12</v>
      </c>
      <c r="G11" s="14">
        <v>25</v>
      </c>
      <c r="H11" s="14">
        <v>14</v>
      </c>
      <c r="I11" s="14">
        <v>35</v>
      </c>
      <c r="J11" s="32">
        <f t="shared" si="1"/>
        <v>2.1666666666666665</v>
      </c>
      <c r="K11" s="32">
        <f t="shared" si="2"/>
        <v>0.16666666666666652</v>
      </c>
      <c r="L11" s="15">
        <f t="shared" si="6"/>
        <v>2000</v>
      </c>
      <c r="M11" s="15">
        <f t="shared" si="3"/>
        <v>0</v>
      </c>
      <c r="N11" s="15">
        <f t="shared" si="4"/>
        <v>2000</v>
      </c>
      <c r="O11" s="15" t="str">
        <f t="shared" si="5"/>
        <v>Tidak</v>
      </c>
    </row>
    <row r="12" spans="1:15">
      <c r="A12" s="13" t="s">
        <v>113</v>
      </c>
      <c r="B12" s="140" t="s">
        <v>114</v>
      </c>
      <c r="C12" s="141"/>
      <c r="D12" s="148" t="str">
        <f t="shared" si="0"/>
        <v>DM</v>
      </c>
      <c r="E12" s="143"/>
      <c r="F12" s="14">
        <v>12</v>
      </c>
      <c r="G12" s="14">
        <v>45</v>
      </c>
      <c r="H12" s="14">
        <v>17</v>
      </c>
      <c r="I12" s="14">
        <v>0</v>
      </c>
      <c r="J12" s="32">
        <f t="shared" si="1"/>
        <v>4.25</v>
      </c>
      <c r="K12" s="32">
        <f t="shared" si="2"/>
        <v>2.25</v>
      </c>
      <c r="L12" s="15">
        <f t="shared" si="6"/>
        <v>4000</v>
      </c>
      <c r="M12" s="15">
        <f t="shared" si="3"/>
        <v>2500</v>
      </c>
      <c r="N12" s="15">
        <f t="shared" si="4"/>
        <v>6500</v>
      </c>
      <c r="O12" s="15" t="str">
        <f t="shared" si="5"/>
        <v>Tidak</v>
      </c>
    </row>
    <row r="13" spans="1:15">
      <c r="A13" s="13" t="s">
        <v>115</v>
      </c>
      <c r="B13" s="140" t="s">
        <v>116</v>
      </c>
      <c r="C13" s="141"/>
      <c r="D13" s="148" t="str">
        <f t="shared" si="0"/>
        <v>TR</v>
      </c>
      <c r="E13" s="143"/>
      <c r="F13" s="14">
        <v>13</v>
      </c>
      <c r="G13" s="14">
        <v>25</v>
      </c>
      <c r="H13" s="14">
        <v>15</v>
      </c>
      <c r="I13" s="14">
        <v>10</v>
      </c>
      <c r="J13" s="32">
        <f t="shared" si="1"/>
        <v>1.75</v>
      </c>
      <c r="K13" s="32">
        <f t="shared" si="2"/>
        <v>0</v>
      </c>
      <c r="L13" s="15">
        <f t="shared" si="6"/>
        <v>8000</v>
      </c>
      <c r="M13" s="15">
        <f t="shared" si="3"/>
        <v>0</v>
      </c>
      <c r="N13" s="15">
        <f t="shared" si="4"/>
        <v>8000</v>
      </c>
      <c r="O13" s="15" t="str">
        <f t="shared" si="5"/>
        <v>Tidak</v>
      </c>
    </row>
    <row r="14" spans="1:15">
      <c r="A14" s="13" t="s">
        <v>117</v>
      </c>
      <c r="B14" s="140" t="s">
        <v>118</v>
      </c>
      <c r="C14" s="141"/>
      <c r="D14" s="148" t="str">
        <f t="shared" si="0"/>
        <v>TR</v>
      </c>
      <c r="E14" s="143"/>
      <c r="F14" s="14">
        <v>15</v>
      </c>
      <c r="G14" s="14">
        <v>50</v>
      </c>
      <c r="H14" s="14">
        <v>19</v>
      </c>
      <c r="I14" s="14">
        <v>20</v>
      </c>
      <c r="J14" s="32">
        <f t="shared" si="1"/>
        <v>3.5</v>
      </c>
      <c r="K14" s="32">
        <f t="shared" si="2"/>
        <v>1.5</v>
      </c>
      <c r="L14" s="15">
        <f t="shared" si="6"/>
        <v>8000</v>
      </c>
      <c r="M14" s="15">
        <f t="shared" si="3"/>
        <v>5000</v>
      </c>
      <c r="N14" s="15">
        <f t="shared" si="4"/>
        <v>13000</v>
      </c>
      <c r="O14" s="15" t="str">
        <f t="shared" si="5"/>
        <v>Tidak</v>
      </c>
    </row>
    <row r="15" spans="1:15">
      <c r="A15" s="19"/>
      <c r="B15" s="19"/>
      <c r="C15" s="19"/>
      <c r="D15" s="19"/>
      <c r="E15" s="19"/>
      <c r="F15" s="19"/>
      <c r="G15" s="19"/>
      <c r="H15" s="19"/>
      <c r="I15" s="19"/>
      <c r="J15" s="19"/>
      <c r="K15" s="19"/>
      <c r="L15" s="21"/>
      <c r="M15" s="18" t="s">
        <v>119</v>
      </c>
      <c r="N15" s="15">
        <f>AVERAGE(N3:N14)</f>
        <v>7500</v>
      </c>
      <c r="O15" s="189"/>
    </row>
    <row r="16" spans="1:15">
      <c r="A16" s="20"/>
      <c r="B16" s="20"/>
      <c r="C16" s="20"/>
      <c r="D16" s="20"/>
      <c r="E16" s="20"/>
      <c r="F16" s="20"/>
      <c r="G16" s="20"/>
      <c r="H16" s="20"/>
      <c r="I16" s="20"/>
      <c r="J16" s="20"/>
      <c r="K16" s="20"/>
      <c r="L16" s="22"/>
      <c r="M16" s="18" t="s">
        <v>120</v>
      </c>
      <c r="N16" s="13">
        <f>MAX(N3:N14)</f>
        <v>16000</v>
      </c>
      <c r="O16" s="190"/>
    </row>
    <row r="17" spans="1:15" ht="19" customHeight="1">
      <c r="A17" s="16" t="s">
        <v>123</v>
      </c>
      <c r="B17" s="173" t="s">
        <v>124</v>
      </c>
      <c r="C17" s="174"/>
      <c r="D17" s="173" t="s">
        <v>125</v>
      </c>
      <c r="E17" s="174"/>
      <c r="F17" s="20"/>
      <c r="M17" s="18" t="s">
        <v>121</v>
      </c>
      <c r="N17" s="13">
        <f>MIN(N3:N14)</f>
        <v>2000</v>
      </c>
      <c r="O17" s="190"/>
    </row>
    <row r="18" spans="1:15">
      <c r="A18" s="13" t="s">
        <v>126</v>
      </c>
      <c r="B18" s="140" t="s">
        <v>127</v>
      </c>
      <c r="C18" s="141"/>
      <c r="D18" s="140" t="s">
        <v>128</v>
      </c>
      <c r="E18" s="141"/>
      <c r="F18" s="20"/>
      <c r="M18" s="18" t="s">
        <v>122</v>
      </c>
      <c r="N18" s="13">
        <f>SUM(N3:N14)</f>
        <v>90000</v>
      </c>
      <c r="O18" s="190"/>
    </row>
    <row r="21" spans="1:15">
      <c r="A21" s="173" t="s">
        <v>129</v>
      </c>
      <c r="B21" s="174"/>
      <c r="C21" s="191" t="s">
        <v>130</v>
      </c>
      <c r="D21" s="192"/>
      <c r="E21" s="173" t="s">
        <v>131</v>
      </c>
      <c r="F21" s="174"/>
      <c r="G21" s="16" t="s">
        <v>132</v>
      </c>
      <c r="I21" t="s">
        <v>357</v>
      </c>
    </row>
    <row r="22" spans="1:15">
      <c r="A22" s="173" t="s">
        <v>127</v>
      </c>
      <c r="B22" s="174"/>
      <c r="C22" s="175">
        <v>2000</v>
      </c>
      <c r="D22" s="176"/>
      <c r="E22" s="175">
        <v>1500</v>
      </c>
      <c r="F22" s="176"/>
      <c r="G22" s="14">
        <v>1000</v>
      </c>
    </row>
    <row r="23" spans="1:15">
      <c r="A23" s="173" t="s">
        <v>126</v>
      </c>
      <c r="B23" s="174"/>
      <c r="C23" s="175">
        <v>4000</v>
      </c>
      <c r="D23" s="176"/>
      <c r="E23" s="175">
        <v>2500</v>
      </c>
      <c r="F23" s="176"/>
      <c r="G23" s="14">
        <v>1500</v>
      </c>
    </row>
    <row r="24" spans="1:15">
      <c r="A24" s="173" t="s">
        <v>128</v>
      </c>
      <c r="B24" s="174"/>
      <c r="C24" s="175">
        <v>8000</v>
      </c>
      <c r="D24" s="176"/>
      <c r="E24" s="175">
        <v>5000</v>
      </c>
      <c r="F24" s="176"/>
      <c r="G24" s="14">
        <v>3000</v>
      </c>
    </row>
    <row r="28" spans="1:15" ht="39.5" customHeight="1">
      <c r="A28" s="172" t="s">
        <v>133</v>
      </c>
      <c r="B28" s="172"/>
      <c r="C28" s="172"/>
      <c r="D28" s="172"/>
      <c r="E28" s="172"/>
      <c r="F28" s="172"/>
      <c r="G28" s="172"/>
      <c r="H28" s="172"/>
    </row>
    <row r="29" spans="1:15" ht="46.5" customHeight="1">
      <c r="A29" s="172" t="s">
        <v>134</v>
      </c>
      <c r="B29" s="172"/>
      <c r="C29" s="172"/>
      <c r="D29" s="172"/>
      <c r="E29" s="172"/>
      <c r="F29" s="172"/>
      <c r="G29" s="172"/>
      <c r="H29" s="172"/>
    </row>
    <row r="30" spans="1:15" ht="57" customHeight="1">
      <c r="A30" s="172" t="s">
        <v>135</v>
      </c>
      <c r="B30" s="172"/>
      <c r="C30" s="172"/>
      <c r="D30" s="172"/>
      <c r="E30" s="172"/>
      <c r="F30" s="172"/>
      <c r="G30" s="172"/>
      <c r="H30" s="172"/>
    </row>
  </sheetData>
  <mergeCells count="49">
    <mergeCell ref="A21:B21"/>
    <mergeCell ref="C21:D21"/>
    <mergeCell ref="E21:F21"/>
    <mergeCell ref="A22:B22"/>
    <mergeCell ref="C22:D22"/>
    <mergeCell ref="E22:F22"/>
    <mergeCell ref="O15:O18"/>
    <mergeCell ref="B12:C12"/>
    <mergeCell ref="D12:E12"/>
    <mergeCell ref="B13:C13"/>
    <mergeCell ref="D13:E13"/>
    <mergeCell ref="B14:C14"/>
    <mergeCell ref="D14:E14"/>
    <mergeCell ref="B17:C17"/>
    <mergeCell ref="D17:E17"/>
    <mergeCell ref="B18:C18"/>
    <mergeCell ref="D18:E18"/>
    <mergeCell ref="B9:C9"/>
    <mergeCell ref="D9:E9"/>
    <mergeCell ref="B10:C10"/>
    <mergeCell ref="D10:E10"/>
    <mergeCell ref="B11:C11"/>
    <mergeCell ref="D11:E11"/>
    <mergeCell ref="B6:C6"/>
    <mergeCell ref="D6:E6"/>
    <mergeCell ref="B7:C7"/>
    <mergeCell ref="D7:E7"/>
    <mergeCell ref="B8:C8"/>
    <mergeCell ref="D8:E8"/>
    <mergeCell ref="B3:C3"/>
    <mergeCell ref="D3:E3"/>
    <mergeCell ref="B4:C4"/>
    <mergeCell ref="D4:E4"/>
    <mergeCell ref="B5:C5"/>
    <mergeCell ref="D5:E5"/>
    <mergeCell ref="A1:A2"/>
    <mergeCell ref="B1:C2"/>
    <mergeCell ref="D1:E2"/>
    <mergeCell ref="F1:G1"/>
    <mergeCell ref="H1:I1"/>
    <mergeCell ref="A28:H28"/>
    <mergeCell ref="A29:H29"/>
    <mergeCell ref="A30:H30"/>
    <mergeCell ref="A23:B23"/>
    <mergeCell ref="C23:D23"/>
    <mergeCell ref="E23:F23"/>
    <mergeCell ref="A24:B24"/>
    <mergeCell ref="C24:D24"/>
    <mergeCell ref="E24:F2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696D6-CDDB-4454-A7F8-BD4EDBFEE1B8}">
  <dimension ref="A1:L18"/>
  <sheetViews>
    <sheetView tabSelected="1" zoomScale="88" workbookViewId="0">
      <selection activeCell="E3" sqref="E3"/>
    </sheetView>
  </sheetViews>
  <sheetFormatPr defaultRowHeight="14.5"/>
  <cols>
    <col min="1" max="1" width="20.1796875" customWidth="1"/>
    <col min="2" max="2" width="10.6328125" customWidth="1"/>
    <col min="6" max="6" width="13.1796875" customWidth="1"/>
    <col min="7" max="7" width="13.453125" customWidth="1"/>
    <col min="9" max="9" width="12.6328125" customWidth="1"/>
    <col min="10" max="10" width="17.7265625" customWidth="1"/>
    <col min="11" max="11" width="17" customWidth="1"/>
    <col min="12" max="12" width="17.6328125" customWidth="1"/>
  </cols>
  <sheetData>
    <row r="1" spans="1:12" ht="14.5" customHeight="1">
      <c r="A1" s="196" t="s">
        <v>236</v>
      </c>
      <c r="B1" s="196" t="s">
        <v>237</v>
      </c>
      <c r="C1" s="51"/>
      <c r="D1" s="197" t="s">
        <v>238</v>
      </c>
      <c r="E1" s="199" t="s">
        <v>239</v>
      </c>
      <c r="F1" s="195" t="s">
        <v>240</v>
      </c>
      <c r="G1" s="195" t="s">
        <v>241</v>
      </c>
      <c r="I1" s="50" t="s">
        <v>242</v>
      </c>
      <c r="J1" s="50" t="s">
        <v>243</v>
      </c>
      <c r="K1" s="50" t="s">
        <v>244</v>
      </c>
      <c r="L1" s="50" t="s">
        <v>245</v>
      </c>
    </row>
    <row r="2" spans="1:12">
      <c r="A2" s="196"/>
      <c r="B2" s="196"/>
      <c r="C2" s="52" t="s">
        <v>246</v>
      </c>
      <c r="D2" s="198"/>
      <c r="E2" s="200"/>
      <c r="F2" s="195"/>
      <c r="G2" s="195"/>
      <c r="I2" s="50" t="s">
        <v>247</v>
      </c>
      <c r="J2" s="50" t="s">
        <v>248</v>
      </c>
      <c r="K2" s="50" t="s">
        <v>249</v>
      </c>
      <c r="L2" s="50" t="s">
        <v>250</v>
      </c>
    </row>
    <row r="3" spans="1:12">
      <c r="A3" s="50" t="s">
        <v>251</v>
      </c>
      <c r="B3" s="50" t="s">
        <v>252</v>
      </c>
      <c r="C3" s="50" t="str">
        <f>LEFT(A3,1)</f>
        <v>D</v>
      </c>
      <c r="D3" s="50" t="str">
        <f>LEFT(A3,2)</f>
        <v>DM</v>
      </c>
      <c r="E3" s="80">
        <f>((MID(A3,8,2)*60+MID(A3,10,2))-(MID(A3,3,2)*60+MID(A3,5,2)))/60</f>
        <v>0.25</v>
      </c>
      <c r="F3" s="79">
        <f>IF(E3&gt;5,E3-5,0)</f>
        <v>0</v>
      </c>
      <c r="G3" s="53">
        <f>VLOOKUP(IF(D3="LG","Lower Ground",IF(D3="DM","Depan Mall","Roof Top")),$I$6:$L$8,2,FALSE)+IF(F3&gt;0,VLOOKUP(IF(D3="LG","Lower Ground",IF(D3="DM","Depan Mall","Roof Top")),$I$6:$L$8,3,FALSE),0)+IF(F3&gt;0,VLOOKUP(IF(D3="LG","Lower Ground",IF(D3="DM","Depan Mall","Roof Top")),$I$6:$L$8,4,FALSE),0)*F3+VLOOKUP(IF(RIGHT(A3,1)="V",$I$11,$I$12),$I$11:$J$12,2,FALSE)</f>
        <v>30000</v>
      </c>
    </row>
    <row r="4" spans="1:12">
      <c r="A4" s="50" t="s">
        <v>253</v>
      </c>
      <c r="B4" s="50" t="s">
        <v>254</v>
      </c>
      <c r="C4" s="50" t="str">
        <f t="shared" ref="C4:C14" si="0">LEFT(A4,1)</f>
        <v>D</v>
      </c>
      <c r="D4" s="50" t="str">
        <f t="shared" ref="D4:D14" si="1">LEFT(A4,2)</f>
        <v>DM</v>
      </c>
      <c r="E4" s="80">
        <f t="shared" ref="E4:E14" si="2">((MID(A4,8,2)*60+MID(A4,10,2))-(MID(A4,3,2)*60+MID(A4,5,2)))/60</f>
        <v>2.1666666666666665</v>
      </c>
      <c r="F4" s="79">
        <f t="shared" ref="F4:F14" si="3">IF(E4&gt;5,E4-5,0)</f>
        <v>0</v>
      </c>
      <c r="G4" s="53">
        <f t="shared" ref="G4:G14" si="4">VLOOKUP(IF(D4="LG","Lower Ground",IF(D4="DM","Depan Mall","Roof Top")),$I$6:$L$8,2,FALSE)+IF(F4&gt;0,VLOOKUP(IF(D4="LG","Lower Ground",IF(D4="DM","Depan Mall","Roof Top")),$I$6:$L$8,3,FALSE),0)+IF(F4&gt;0,VLOOKUP(IF(D4="LG","Lower Ground",IF(D4="DM","Depan Mall","Roof Top")),$I$6:$L$8,4,FALSE),0)*F4+VLOOKUP(IF(RIGHT(A4,1)="V",$I$11,$I$12),$I$11:$J$12,2,FALSE)</f>
        <v>30000</v>
      </c>
    </row>
    <row r="5" spans="1:12" ht="14" customHeight="1">
      <c r="A5" s="50" t="s">
        <v>255</v>
      </c>
      <c r="B5" s="50" t="s">
        <v>256</v>
      </c>
      <c r="C5" s="50" t="str">
        <f t="shared" si="0"/>
        <v>L</v>
      </c>
      <c r="D5" s="50" t="str">
        <f t="shared" si="1"/>
        <v>LG</v>
      </c>
      <c r="E5" s="80">
        <f t="shared" si="2"/>
        <v>7.9333333333333336</v>
      </c>
      <c r="F5" s="79">
        <f t="shared" si="3"/>
        <v>2.9333333333333336</v>
      </c>
      <c r="G5" s="53">
        <f t="shared" si="4"/>
        <v>9933.3333333333339</v>
      </c>
      <c r="I5" s="81" t="s">
        <v>257</v>
      </c>
      <c r="J5" s="82" t="s">
        <v>258</v>
      </c>
      <c r="K5" s="82" t="s">
        <v>259</v>
      </c>
      <c r="L5" s="82" t="s">
        <v>260</v>
      </c>
    </row>
    <row r="6" spans="1:12">
      <c r="A6" s="50" t="s">
        <v>261</v>
      </c>
      <c r="B6" s="50" t="s">
        <v>262</v>
      </c>
      <c r="C6" s="50" t="str">
        <f t="shared" si="0"/>
        <v>T</v>
      </c>
      <c r="D6" s="50" t="str">
        <f t="shared" si="1"/>
        <v>TR</v>
      </c>
      <c r="E6" s="80">
        <f t="shared" si="2"/>
        <v>2.9333333333333331</v>
      </c>
      <c r="F6" s="79">
        <f t="shared" si="3"/>
        <v>0</v>
      </c>
      <c r="G6" s="53">
        <f t="shared" si="4"/>
        <v>15000</v>
      </c>
      <c r="I6" s="50" t="s">
        <v>250</v>
      </c>
      <c r="J6" s="83">
        <v>5000</v>
      </c>
      <c r="K6" s="83">
        <v>2000</v>
      </c>
      <c r="L6" s="50">
        <v>1000</v>
      </c>
    </row>
    <row r="7" spans="1:12">
      <c r="A7" s="50" t="s">
        <v>263</v>
      </c>
      <c r="B7" s="50" t="s">
        <v>264</v>
      </c>
      <c r="C7" s="50" t="str">
        <f t="shared" si="0"/>
        <v>T</v>
      </c>
      <c r="D7" s="50" t="str">
        <f t="shared" si="1"/>
        <v>TR</v>
      </c>
      <c r="E7" s="80">
        <f t="shared" si="2"/>
        <v>2.6</v>
      </c>
      <c r="F7" s="79">
        <f t="shared" si="3"/>
        <v>0</v>
      </c>
      <c r="G7" s="53">
        <f t="shared" si="4"/>
        <v>35000</v>
      </c>
      <c r="I7" s="50" t="s">
        <v>248</v>
      </c>
      <c r="J7" s="83">
        <v>10000</v>
      </c>
      <c r="K7" s="83">
        <v>4000</v>
      </c>
      <c r="L7" s="50">
        <v>1500</v>
      </c>
    </row>
    <row r="8" spans="1:12">
      <c r="A8" s="50" t="s">
        <v>265</v>
      </c>
      <c r="B8" s="50" t="s">
        <v>266</v>
      </c>
      <c r="C8" s="50" t="str">
        <f t="shared" si="0"/>
        <v>D</v>
      </c>
      <c r="D8" s="50" t="str">
        <f t="shared" si="1"/>
        <v>DM</v>
      </c>
      <c r="E8" s="80">
        <f t="shared" si="2"/>
        <v>7.2</v>
      </c>
      <c r="F8" s="79">
        <f t="shared" si="3"/>
        <v>2.2000000000000002</v>
      </c>
      <c r="G8" s="53">
        <f t="shared" si="4"/>
        <v>17300</v>
      </c>
      <c r="I8" s="50" t="s">
        <v>249</v>
      </c>
      <c r="J8" s="83">
        <v>15000</v>
      </c>
      <c r="K8" s="83">
        <v>6000</v>
      </c>
      <c r="L8" s="50">
        <v>2000</v>
      </c>
    </row>
    <row r="9" spans="1:12">
      <c r="A9" s="50" t="s">
        <v>267</v>
      </c>
      <c r="B9" s="50" t="s">
        <v>268</v>
      </c>
      <c r="C9" s="50" t="str">
        <f t="shared" si="0"/>
        <v>L</v>
      </c>
      <c r="D9" s="50" t="str">
        <f t="shared" si="1"/>
        <v>LG</v>
      </c>
      <c r="E9" s="80">
        <f t="shared" si="2"/>
        <v>4.2166666666666668</v>
      </c>
      <c r="F9" s="79">
        <f t="shared" si="3"/>
        <v>0</v>
      </c>
      <c r="G9" s="53">
        <f t="shared" si="4"/>
        <v>25000</v>
      </c>
    </row>
    <row r="10" spans="1:12">
      <c r="A10" s="50" t="s">
        <v>269</v>
      </c>
      <c r="B10" s="50" t="s">
        <v>270</v>
      </c>
      <c r="C10" s="50" t="str">
        <f t="shared" si="0"/>
        <v>L</v>
      </c>
      <c r="D10" s="50" t="str">
        <f t="shared" si="1"/>
        <v>LG</v>
      </c>
      <c r="E10" s="80">
        <f t="shared" si="2"/>
        <v>0.53333333333333333</v>
      </c>
      <c r="F10" s="79">
        <f t="shared" si="3"/>
        <v>0</v>
      </c>
      <c r="G10" s="53">
        <f t="shared" si="4"/>
        <v>5000</v>
      </c>
      <c r="I10" s="3" t="s">
        <v>271</v>
      </c>
      <c r="J10" s="3" t="s">
        <v>272</v>
      </c>
    </row>
    <row r="11" spans="1:12">
      <c r="A11" s="50" t="s">
        <v>273</v>
      </c>
      <c r="B11" s="50" t="s">
        <v>274</v>
      </c>
      <c r="C11" s="50" t="str">
        <f t="shared" si="0"/>
        <v>L</v>
      </c>
      <c r="D11" s="50" t="str">
        <f t="shared" si="1"/>
        <v>LG</v>
      </c>
      <c r="E11" s="80">
        <f t="shared" si="2"/>
        <v>4.1166666666666663</v>
      </c>
      <c r="F11" s="79">
        <f t="shared" si="3"/>
        <v>0</v>
      </c>
      <c r="G11" s="53">
        <f t="shared" si="4"/>
        <v>25000</v>
      </c>
      <c r="I11" s="3" t="s">
        <v>275</v>
      </c>
      <c r="J11" s="83">
        <v>20000</v>
      </c>
    </row>
    <row r="12" spans="1:12">
      <c r="A12" s="50" t="s">
        <v>276</v>
      </c>
      <c r="B12" s="50" t="s">
        <v>277</v>
      </c>
      <c r="C12" s="50" t="str">
        <f t="shared" si="0"/>
        <v>D</v>
      </c>
      <c r="D12" s="50" t="str">
        <f t="shared" si="1"/>
        <v>DM</v>
      </c>
      <c r="E12" s="80">
        <f t="shared" si="2"/>
        <v>2.1333333333333333</v>
      </c>
      <c r="F12" s="79">
        <f t="shared" si="3"/>
        <v>0</v>
      </c>
      <c r="G12" s="53">
        <f t="shared" si="4"/>
        <v>10000</v>
      </c>
      <c r="I12" s="3" t="s">
        <v>278</v>
      </c>
      <c r="J12" s="83">
        <v>0</v>
      </c>
    </row>
    <row r="13" spans="1:12">
      <c r="A13" s="50" t="s">
        <v>279</v>
      </c>
      <c r="B13" s="50" t="s">
        <v>280</v>
      </c>
      <c r="C13" s="50" t="str">
        <f t="shared" si="0"/>
        <v>T</v>
      </c>
      <c r="D13" s="50" t="str">
        <f t="shared" si="1"/>
        <v>TR</v>
      </c>
      <c r="E13" s="80">
        <f t="shared" si="2"/>
        <v>10.833333333333334</v>
      </c>
      <c r="F13" s="79">
        <f t="shared" si="3"/>
        <v>5.8333333333333339</v>
      </c>
      <c r="G13" s="53">
        <f>VLOOKUP(IF(D13="LG","Lower Ground",IF(D13="DM","Depan Mall","Roof Top")),$I$6:$L$8,2,FALSE)+IF(F13&gt;0,VLOOKUP(IF(D13="LG","Lower Ground",IF(D13="DM","Depan Mall","Roof Top")),$I$6:$L$8,3,FALSE),0)+IF(F13&gt;0,VLOOKUP(IF(D13="LG","Lower Ground",IF(D13="DM","Depan Mall","Roof Top")),$I$6:$L$8,4,FALSE),0)*F13+VLOOKUP(IF(RIGHT(A13,1)="V",$I$11,$I$12),$I$11:$J$12,2,FALSE)</f>
        <v>52666.666666666672</v>
      </c>
    </row>
    <row r="14" spans="1:12">
      <c r="A14" s="50" t="s">
        <v>281</v>
      </c>
      <c r="B14" s="50" t="s">
        <v>282</v>
      </c>
      <c r="C14" s="50" t="str">
        <f t="shared" si="0"/>
        <v>T</v>
      </c>
      <c r="D14" s="50" t="str">
        <f t="shared" si="1"/>
        <v>TR</v>
      </c>
      <c r="E14" s="80">
        <f t="shared" si="2"/>
        <v>2.2666666666666666</v>
      </c>
      <c r="F14" s="79">
        <f t="shared" si="3"/>
        <v>0</v>
      </c>
      <c r="G14" s="53">
        <f t="shared" si="4"/>
        <v>35000</v>
      </c>
    </row>
    <row r="15" spans="1:12">
      <c r="A15" s="193" t="s">
        <v>283</v>
      </c>
      <c r="B15" s="194"/>
      <c r="C15" s="194"/>
      <c r="D15" s="194"/>
      <c r="E15" s="194"/>
      <c r="F15" s="194"/>
      <c r="G15" s="84">
        <f>SUM(G3:G14)</f>
        <v>289900</v>
      </c>
    </row>
    <row r="16" spans="1:12">
      <c r="A16" s="193" t="s">
        <v>284</v>
      </c>
      <c r="B16" s="194"/>
      <c r="C16" s="194"/>
      <c r="D16" s="194"/>
      <c r="E16" s="194"/>
      <c r="F16" s="194"/>
      <c r="G16" s="84">
        <f>AVERAGE(G3:G14)</f>
        <v>24158.333333333332</v>
      </c>
    </row>
    <row r="17" spans="1:7">
      <c r="A17" s="193" t="s">
        <v>285</v>
      </c>
      <c r="B17" s="194"/>
      <c r="C17" s="194"/>
      <c r="D17" s="194"/>
      <c r="E17" s="194"/>
      <c r="F17" s="194"/>
      <c r="G17" s="85">
        <f>MIN(G3:G14)</f>
        <v>5000</v>
      </c>
    </row>
    <row r="18" spans="1:7">
      <c r="A18" s="193" t="s">
        <v>286</v>
      </c>
      <c r="B18" s="194"/>
      <c r="C18" s="194"/>
      <c r="D18" s="194"/>
      <c r="E18" s="194"/>
      <c r="F18" s="194"/>
      <c r="G18" s="85">
        <f>MAX(G3:G14)</f>
        <v>52666.666666666672</v>
      </c>
    </row>
  </sheetData>
  <mergeCells count="10">
    <mergeCell ref="A17:F17"/>
    <mergeCell ref="A18:F18"/>
    <mergeCell ref="F1:F2"/>
    <mergeCell ref="G1:G2"/>
    <mergeCell ref="A15:F15"/>
    <mergeCell ref="A1:A2"/>
    <mergeCell ref="B1:B2"/>
    <mergeCell ref="D1:D2"/>
    <mergeCell ref="E1:E2"/>
    <mergeCell ref="A16:F1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2620D-E5DA-413D-B641-6A6C302140AA}">
  <dimension ref="A1:Q39"/>
  <sheetViews>
    <sheetView zoomScale="42" workbookViewId="0">
      <selection activeCell="I10" sqref="I10"/>
    </sheetView>
  </sheetViews>
  <sheetFormatPr defaultRowHeight="14.5"/>
  <cols>
    <col min="2" max="2" width="30.54296875" customWidth="1"/>
    <col min="3" max="3" width="15.6328125" customWidth="1"/>
    <col min="4" max="4" width="19.26953125" customWidth="1"/>
    <col min="5" max="5" width="22.26953125" customWidth="1"/>
    <col min="6" max="6" width="17.54296875" customWidth="1"/>
    <col min="7" max="7" width="14.81640625" customWidth="1"/>
    <col min="8" max="8" width="13.54296875" customWidth="1"/>
    <col min="9" max="9" width="13" customWidth="1"/>
    <col min="10" max="10" width="15.26953125" customWidth="1"/>
    <col min="11" max="11" width="19.36328125" customWidth="1"/>
    <col min="13" max="13" width="25.6328125" bestFit="1" customWidth="1"/>
    <col min="14" max="14" width="15" bestFit="1" customWidth="1"/>
    <col min="15" max="15" width="11.6328125" bestFit="1" customWidth="1"/>
    <col min="16" max="16" width="17.1796875" bestFit="1" customWidth="1"/>
    <col min="17" max="17" width="16.08984375" bestFit="1" customWidth="1"/>
  </cols>
  <sheetData>
    <row r="1" spans="1:17">
      <c r="A1" s="63" t="s">
        <v>293</v>
      </c>
      <c r="B1" s="3" t="s">
        <v>294</v>
      </c>
      <c r="C1" s="3" t="s">
        <v>304</v>
      </c>
      <c r="D1" s="3" t="s">
        <v>305</v>
      </c>
      <c r="E1" s="3" t="s">
        <v>306</v>
      </c>
      <c r="F1" s="3" t="s">
        <v>307</v>
      </c>
      <c r="G1" s="63" t="s">
        <v>308</v>
      </c>
      <c r="H1" s="3" t="s">
        <v>309</v>
      </c>
      <c r="I1" s="3" t="s">
        <v>310</v>
      </c>
      <c r="K1" t="s">
        <v>353</v>
      </c>
    </row>
    <row r="2" spans="1:17">
      <c r="A2" s="63">
        <v>1</v>
      </c>
      <c r="B2" s="3" t="s">
        <v>295</v>
      </c>
      <c r="C2" s="3" t="str">
        <f>VLOOKUP(LEFT(B2,3),$A$21:$B$24,2,FALSE)</f>
        <v>JAKARTA</v>
      </c>
      <c r="D2" s="3" t="str">
        <f>VLOOKUP(MID(B2,5,3),$D$21:$E$23,2,FALSE)</f>
        <v>JNE OKE</v>
      </c>
      <c r="E2" s="67" t="str">
        <f>MID(B2,9,2)&amp;"/"&amp;MID(B2,11,2)&amp;"/"&amp;MID(B2,13,2)</f>
        <v>02/02/20</v>
      </c>
      <c r="F2" s="67" t="str">
        <f>MID(B2,18,2)&amp;"/"&amp;MID(B2,20,2)&amp;"/"&amp;MID(B2,22,2)</f>
        <v>05/02/20</v>
      </c>
      <c r="G2" s="63">
        <v>2</v>
      </c>
      <c r="H2" s="3">
        <f>(VLOOKUP(C2,$F$27:$I$30,IF(MID(B2,5,3)="JNE",2,IF(MID(B2,5,3)="JNT",3,4)),FALSE)*G2)-VLOOKUP(C2,$F$27:$I$30,IF(MID(B2,5,3)="JNE",2,IF(MID(B2,5,3)="JNT",3,4)),FALSE)*G2*IF(G2&gt;6,0.2,IF(G2&gt;3,0.1,0))</f>
        <v>34000</v>
      </c>
      <c r="I2" s="63" t="str">
        <f>IF((G2&gt;(VLOOKUP(C2,$F$27:$L$30,IF(MID(B2,5,3)="JNE",5,IF(MID(B2,5,3)="JNT",6,7)),FALSE))),IF((G2-(VLOOKUP(C2,$F$27:$L$30,IF(MID(B2,5,3)="JNE",5,IF(MID(B2,5,3)="JNT",6,7)),FALSE)))&gt;4,"HP CASE",IF((G2-(VLOOKUP(C2,$F$27:$L$30,IF(MID(B2,5,3)="JNE",5,IF(MID(B2,5,3)="JNT",6,7)),FALSE)))&gt;3,"BONEKA","HP RING")),"-")</f>
        <v>-</v>
      </c>
      <c r="K2" s="66">
        <f t="shared" ref="K2:K11" si="0">F2-E2</f>
        <v>3</v>
      </c>
    </row>
    <row r="3" spans="1:17">
      <c r="A3" s="63">
        <v>2</v>
      </c>
      <c r="B3" s="3" t="s">
        <v>296</v>
      </c>
      <c r="C3" s="3" t="str">
        <f t="shared" ref="C3:C11" si="1">VLOOKUP(LEFT(B3,3),$A$21:$B$24,2,FALSE)</f>
        <v>BATAM</v>
      </c>
      <c r="D3" s="3" t="str">
        <f t="shared" ref="D3:D11" si="2">VLOOKUP(MID(B3,5,3),$D$21:$E$23,2,FALSE)</f>
        <v>POS KILAT KHUSUS</v>
      </c>
      <c r="E3" s="67" t="str">
        <f t="shared" ref="E3:E11" si="3">MID(B3,9,2)&amp;"/"&amp;MID(B3,11,2)&amp;"/"&amp;MID(B3,13,2)</f>
        <v>08/02/20</v>
      </c>
      <c r="F3" s="67" t="str">
        <f t="shared" ref="F3:F11" si="4">MID(B3,18,2)&amp;"/"&amp;MID(B3,20,2)&amp;"/"&amp;MID(B3,22,2)</f>
        <v>12/02/20</v>
      </c>
      <c r="G3" s="63">
        <v>4</v>
      </c>
      <c r="H3" s="3">
        <f t="shared" ref="H3:H11" si="5">VLOOKUP(C3,$F$27:$I$30,IF(MID(B3,5,3)="JNE",2,IF(MID(B3,5,3)="JNT",3,4)),FALSE)*G3-VLOOKUP(C3,$F$27:$I$30,IF(MID(B3,5,3)="JNE",2,IF(MID(B3,5,3)="JNT",3,4)),FALSE)*G3*IF(G3&gt;6,0.2,IF(G3&gt;3,0.1,0))</f>
        <v>162000</v>
      </c>
      <c r="I3" s="63" t="str">
        <f>IF((G3&gt;(VLOOKUP(C3,$F$27:$L$30,IF(MID(B3,5,3)="JNE",5,IF(MID(B3,5,3)="JNT",6,7)),FALSE))),IF((G3-(VLOOKUP(C3,$F$27:$L$30,IF(MID(B3,5,3)="JNE",5,IF(MID(B3,5,3)="JNT",6,7)),FALSE)))&gt;4,"HP CASE",IF((G3-(VLOOKUP(C3,$F$27:$L$30,IF(MID(B3,5,3)="JNE",5,IF(MID(B3,5,3)="JNT",6,7)),FALSE)))&gt;3,"BONEKA","HP RING")),"-")</f>
        <v>-</v>
      </c>
      <c r="K3" s="66">
        <f t="shared" si="0"/>
        <v>4</v>
      </c>
    </row>
    <row r="4" spans="1:17">
      <c r="A4" s="63">
        <v>3</v>
      </c>
      <c r="B4" s="3" t="s">
        <v>356</v>
      </c>
      <c r="C4" s="3" t="str">
        <f t="shared" si="1"/>
        <v>JAKARTA</v>
      </c>
      <c r="D4" s="3" t="str">
        <f t="shared" si="2"/>
        <v>JNT EXPRESS</v>
      </c>
      <c r="E4" s="67" t="str">
        <f t="shared" si="3"/>
        <v>10/02/20</v>
      </c>
      <c r="F4" s="67" t="str">
        <f>MID(B4,18,2)&amp;"/"&amp;MID(B4,20,2)&amp;"/"&amp;MID(B4,22,2)</f>
        <v>15/02/20</v>
      </c>
      <c r="G4" s="63">
        <v>1</v>
      </c>
      <c r="H4" s="3">
        <f>VLOOKUP(C4,$F$27:$I$30,IF(MID(B4,5,3)="JNE",2,IF(MID(B4,5,3)="JNT",3,4)),FALSE)*G4-VLOOKUP(C4,$F$27:$I$30,IF(MID(B4,5,3)="JNE",2,IF(MID(B4,5,3)="JNT",3,4)),FALSE)*G4*IF(G4&gt;6,0.2,IF(G4&gt;3,0.1,0))</f>
        <v>19000</v>
      </c>
      <c r="I4" s="63" t="str">
        <f t="shared" ref="I4:I11" si="6">IF((G4&gt;(VLOOKUP(C4,$F$27:$L$30,IF(MID(B4,5,3)="JNE",5,IF(MID(B4,5,3)="JNT",6,7)),FALSE))),IF((G4-(VLOOKUP(C4,$F$27:$L$30,IF(MID(B4,5,3)="JNE",5,IF(MID(B4,5,3)="JNT",6,7)),FALSE)))&gt;4,"HP CASE",IF((G4-(VLOOKUP(C4,$F$27:$L$30,IF(MID(B4,5,3)="JNE",5,IF(MID(B4,5,3)="JNT",6,7)),FALSE)))&gt;3,"BONEKA","HP RING")),"-")</f>
        <v>-</v>
      </c>
      <c r="K4" s="66">
        <f t="shared" si="0"/>
        <v>5</v>
      </c>
    </row>
    <row r="5" spans="1:17">
      <c r="A5" s="63">
        <v>4</v>
      </c>
      <c r="B5" s="3" t="s">
        <v>297</v>
      </c>
      <c r="C5" s="3" t="str">
        <f t="shared" si="1"/>
        <v>SURABAYA</v>
      </c>
      <c r="D5" s="3" t="str">
        <f t="shared" si="2"/>
        <v>JNE OKE</v>
      </c>
      <c r="E5" s="67" t="str">
        <f t="shared" si="3"/>
        <v>18/02/20</v>
      </c>
      <c r="F5" s="67" t="str">
        <f>MID(B5,18,2)&amp;"/"&amp;MID(B5,20,2)&amp;"/"&amp;MID(B5,22,2)</f>
        <v>21/02/20</v>
      </c>
      <c r="G5" s="63">
        <v>8</v>
      </c>
      <c r="H5" s="3">
        <f t="shared" si="5"/>
        <v>44800</v>
      </c>
      <c r="I5" s="63" t="str">
        <f t="shared" si="6"/>
        <v>HP CASE</v>
      </c>
      <c r="K5" s="66">
        <f t="shared" si="0"/>
        <v>3</v>
      </c>
      <c r="M5" s="78" t="s">
        <v>354</v>
      </c>
      <c r="N5" s="78" t="s">
        <v>352</v>
      </c>
    </row>
    <row r="6" spans="1:17">
      <c r="A6" s="63">
        <v>5</v>
      </c>
      <c r="B6" s="3" t="s">
        <v>298</v>
      </c>
      <c r="C6" s="3" t="str">
        <f t="shared" si="1"/>
        <v>YOGYAKARTA</v>
      </c>
      <c r="D6" s="3" t="str">
        <f t="shared" si="2"/>
        <v>POS KILAT KHUSUS</v>
      </c>
      <c r="E6" s="67" t="str">
        <f t="shared" si="3"/>
        <v>20/02/20</v>
      </c>
      <c r="F6" s="67" t="str">
        <f t="shared" si="4"/>
        <v>22/02/20</v>
      </c>
      <c r="G6" s="63">
        <v>3</v>
      </c>
      <c r="H6" s="3">
        <f t="shared" si="5"/>
        <v>42000</v>
      </c>
      <c r="I6" s="63" t="str">
        <f t="shared" si="6"/>
        <v>-</v>
      </c>
      <c r="K6" s="66">
        <f t="shared" si="0"/>
        <v>2</v>
      </c>
      <c r="M6" s="78" t="s">
        <v>289</v>
      </c>
      <c r="N6" t="s">
        <v>326</v>
      </c>
      <c r="O6" t="s">
        <v>327</v>
      </c>
      <c r="P6" t="s">
        <v>328</v>
      </c>
      <c r="Q6" t="s">
        <v>287</v>
      </c>
    </row>
    <row r="7" spans="1:17">
      <c r="A7" s="63">
        <v>6</v>
      </c>
      <c r="B7" s="3" t="s">
        <v>299</v>
      </c>
      <c r="C7" s="3" t="str">
        <f t="shared" si="1"/>
        <v>BATAM</v>
      </c>
      <c r="D7" s="3" t="str">
        <f t="shared" si="2"/>
        <v>JNT EXPRESS</v>
      </c>
      <c r="E7" s="67" t="str">
        <f t="shared" si="3"/>
        <v>22/02/20</v>
      </c>
      <c r="F7" s="67" t="str">
        <f t="shared" si="4"/>
        <v>25/02/20</v>
      </c>
      <c r="G7" s="63">
        <v>5</v>
      </c>
      <c r="H7" s="3">
        <f t="shared" si="5"/>
        <v>207000</v>
      </c>
      <c r="I7" s="63" t="str">
        <f t="shared" si="6"/>
        <v>HP RING</v>
      </c>
      <c r="K7" s="66">
        <f t="shared" si="0"/>
        <v>3</v>
      </c>
      <c r="M7" s="60" t="s">
        <v>320</v>
      </c>
      <c r="N7">
        <v>5</v>
      </c>
      <c r="O7">
        <v>3</v>
      </c>
      <c r="P7">
        <v>4</v>
      </c>
      <c r="Q7">
        <v>12</v>
      </c>
    </row>
    <row r="8" spans="1:17">
      <c r="A8" s="63">
        <v>7</v>
      </c>
      <c r="B8" s="3" t="s">
        <v>300</v>
      </c>
      <c r="C8" s="3" t="str">
        <f t="shared" si="1"/>
        <v>JAKARTA</v>
      </c>
      <c r="D8" s="3" t="str">
        <f t="shared" si="2"/>
        <v>POS KILAT KHUSUS</v>
      </c>
      <c r="E8" s="67" t="str">
        <f t="shared" si="3"/>
        <v>22/02/20</v>
      </c>
      <c r="F8" s="67" t="str">
        <f t="shared" si="4"/>
        <v>24/02/20</v>
      </c>
      <c r="G8" s="63">
        <v>7</v>
      </c>
      <c r="H8" s="3">
        <f t="shared" si="5"/>
        <v>100800</v>
      </c>
      <c r="I8" s="63" t="str">
        <f t="shared" si="6"/>
        <v>HP CASE</v>
      </c>
      <c r="K8" s="66">
        <f t="shared" si="0"/>
        <v>2</v>
      </c>
      <c r="M8" s="60" t="s">
        <v>317</v>
      </c>
      <c r="N8">
        <v>8</v>
      </c>
      <c r="P8">
        <v>2</v>
      </c>
      <c r="Q8">
        <v>10</v>
      </c>
    </row>
    <row r="9" spans="1:17">
      <c r="A9" s="63">
        <v>8</v>
      </c>
      <c r="B9" s="3" t="s">
        <v>301</v>
      </c>
      <c r="C9" s="3" t="str">
        <f t="shared" si="1"/>
        <v>YOGYAKARTA</v>
      </c>
      <c r="D9" s="3" t="str">
        <f t="shared" si="2"/>
        <v>JNE OKE</v>
      </c>
      <c r="E9" s="67" t="str">
        <f t="shared" si="3"/>
        <v>25/02/20</v>
      </c>
      <c r="F9" s="67" t="str">
        <f t="shared" si="4"/>
        <v>28/02/20</v>
      </c>
      <c r="G9" s="63">
        <v>6</v>
      </c>
      <c r="H9" s="3">
        <f t="shared" si="5"/>
        <v>70200</v>
      </c>
      <c r="I9" s="63" t="str">
        <f>IF((G9&gt;(VLOOKUP(C9,$F$27:$L$30,IF(MID(B9,5,3)="JNE",5,IF(MID(B9,5,3)="JNT",6,7)),FALSE))),IF((G9-(VLOOKUP(C9,$F$27:$L$30,IF(MID(B9,5,3)="JNE",5,IF(MID(B9,5,3)="JNT",6,7)),FALSE)))&gt;4,"HP CASE",IF((G9-(VLOOKUP(C9,$F$27:$L$30,IF(MID(B9,5,3)="JNE",5,IF(MID(B9,5,3)="JNT",6,7)),FALSE)))&gt;3,"BONEKA","HP RING")),"-")</f>
        <v>HP RING</v>
      </c>
      <c r="K9" s="66">
        <f t="shared" si="0"/>
        <v>3</v>
      </c>
      <c r="M9" s="60" t="s">
        <v>318</v>
      </c>
      <c r="N9">
        <v>3</v>
      </c>
      <c r="O9">
        <v>3</v>
      </c>
      <c r="Q9">
        <v>6</v>
      </c>
    </row>
    <row r="10" spans="1:17">
      <c r="A10" s="63">
        <v>9</v>
      </c>
      <c r="B10" s="3" t="s">
        <v>302</v>
      </c>
      <c r="C10" s="3" t="str">
        <f t="shared" si="1"/>
        <v>SURABAYA</v>
      </c>
      <c r="D10" s="3" t="str">
        <f t="shared" si="2"/>
        <v>JNT EXPRESS</v>
      </c>
      <c r="E10" s="67" t="str">
        <f t="shared" si="3"/>
        <v>26/02/20</v>
      </c>
      <c r="F10" s="67" t="str">
        <f t="shared" si="4"/>
        <v>29/02/20</v>
      </c>
      <c r="G10" s="63">
        <v>12</v>
      </c>
      <c r="H10" s="3">
        <f t="shared" si="5"/>
        <v>86400</v>
      </c>
      <c r="I10" s="63" t="str">
        <f t="shared" si="6"/>
        <v>HP CASE</v>
      </c>
      <c r="K10" s="66">
        <f t="shared" si="0"/>
        <v>3</v>
      </c>
      <c r="M10" s="60" t="s">
        <v>319</v>
      </c>
      <c r="N10">
        <v>3</v>
      </c>
      <c r="P10">
        <v>2</v>
      </c>
      <c r="Q10">
        <v>5</v>
      </c>
    </row>
    <row r="11" spans="1:17">
      <c r="A11" s="63">
        <v>10</v>
      </c>
      <c r="B11" s="3" t="s">
        <v>303</v>
      </c>
      <c r="C11" s="3" t="str">
        <f t="shared" si="1"/>
        <v>BATAM</v>
      </c>
      <c r="D11" s="3" t="str">
        <f t="shared" si="2"/>
        <v>JNE OKE</v>
      </c>
      <c r="E11" s="67" t="str">
        <f t="shared" si="3"/>
        <v>28/02/20</v>
      </c>
      <c r="F11" s="67" t="str">
        <f t="shared" si="4"/>
        <v>04/03/20</v>
      </c>
      <c r="G11" s="63">
        <v>10</v>
      </c>
      <c r="H11" s="3">
        <f t="shared" si="5"/>
        <v>352000</v>
      </c>
      <c r="I11" s="63" t="str">
        <f t="shared" si="6"/>
        <v>HP CASE</v>
      </c>
      <c r="K11" s="66">
        <f t="shared" si="0"/>
        <v>5</v>
      </c>
      <c r="M11" s="60" t="s">
        <v>287</v>
      </c>
      <c r="N11">
        <v>19</v>
      </c>
      <c r="O11">
        <v>6</v>
      </c>
      <c r="P11">
        <v>8</v>
      </c>
      <c r="Q11">
        <v>33</v>
      </c>
    </row>
    <row r="12" spans="1:17" ht="15.5">
      <c r="A12" s="47"/>
      <c r="F12" s="66"/>
      <c r="G12" s="69" t="s">
        <v>345</v>
      </c>
      <c r="H12" s="70">
        <f>MIN(H2:H11)</f>
        <v>19000</v>
      </c>
      <c r="I12" s="71"/>
    </row>
    <row r="13" spans="1:17" ht="15.5">
      <c r="A13" s="47" t="s">
        <v>218</v>
      </c>
      <c r="F13" s="66"/>
      <c r="G13" s="72" t="s">
        <v>346</v>
      </c>
      <c r="H13">
        <f>MAX(H2:H11)</f>
        <v>352000</v>
      </c>
      <c r="I13" s="73"/>
    </row>
    <row r="14" spans="1:17" ht="15.5">
      <c r="A14" s="47" t="s">
        <v>219</v>
      </c>
      <c r="B14" s="47" t="s">
        <v>220</v>
      </c>
      <c r="F14" s="66"/>
      <c r="G14" s="74" t="s">
        <v>347</v>
      </c>
      <c r="H14" s="75">
        <f>AVERAGE(H2:H11)</f>
        <v>111820</v>
      </c>
      <c r="I14" s="76"/>
    </row>
    <row r="15" spans="1:17" ht="15.5">
      <c r="A15" s="47" t="s">
        <v>221</v>
      </c>
      <c r="B15" s="47" t="s">
        <v>222</v>
      </c>
      <c r="F15" s="66"/>
      <c r="G15" s="66"/>
    </row>
    <row r="16" spans="1:17" ht="15.5">
      <c r="A16" s="47" t="s">
        <v>223</v>
      </c>
      <c r="B16" s="47" t="s">
        <v>224</v>
      </c>
      <c r="I16" t="s">
        <v>355</v>
      </c>
    </row>
    <row r="17" spans="1:12" ht="15.5">
      <c r="A17" s="47" t="s">
        <v>225</v>
      </c>
      <c r="B17" s="47" t="s">
        <v>226</v>
      </c>
    </row>
    <row r="18" spans="1:12" ht="15.5">
      <c r="A18" s="47"/>
    </row>
    <row r="19" spans="1:12" ht="15.5">
      <c r="A19" s="47" t="s">
        <v>227</v>
      </c>
    </row>
    <row r="20" spans="1:12" ht="15.5">
      <c r="A20" s="64" t="s">
        <v>311</v>
      </c>
      <c r="B20" s="64" t="s">
        <v>312</v>
      </c>
      <c r="D20" s="3" t="s">
        <v>321</v>
      </c>
      <c r="E20" s="3" t="s">
        <v>322</v>
      </c>
      <c r="G20" s="3" t="s">
        <v>329</v>
      </c>
      <c r="H20" s="3" t="s">
        <v>333</v>
      </c>
      <c r="J20" s="3" t="s">
        <v>337</v>
      </c>
      <c r="K20" s="3" t="s">
        <v>341</v>
      </c>
    </row>
    <row r="21" spans="1:12" ht="15.5">
      <c r="A21" s="64" t="s">
        <v>313</v>
      </c>
      <c r="B21" s="64" t="s">
        <v>317</v>
      </c>
      <c r="D21" s="3" t="s">
        <v>323</v>
      </c>
      <c r="E21" s="3" t="s">
        <v>326</v>
      </c>
      <c r="G21" s="3" t="s">
        <v>330</v>
      </c>
      <c r="H21" s="3" t="s">
        <v>334</v>
      </c>
      <c r="J21" s="3" t="s">
        <v>338</v>
      </c>
      <c r="K21" s="65">
        <v>0</v>
      </c>
    </row>
    <row r="22" spans="1:12" ht="15.5">
      <c r="A22" s="64" t="s">
        <v>314</v>
      </c>
      <c r="B22" s="64" t="s">
        <v>318</v>
      </c>
      <c r="D22" s="3" t="s">
        <v>324</v>
      </c>
      <c r="E22" s="3" t="s">
        <v>327</v>
      </c>
      <c r="G22" s="3" t="s">
        <v>331</v>
      </c>
      <c r="H22" s="3" t="s">
        <v>335</v>
      </c>
      <c r="J22" s="3" t="s">
        <v>339</v>
      </c>
      <c r="K22" s="65">
        <v>0.1</v>
      </c>
    </row>
    <row r="23" spans="1:12" ht="15.5">
      <c r="A23" s="64" t="s">
        <v>315</v>
      </c>
      <c r="B23" s="64" t="s">
        <v>319</v>
      </c>
      <c r="D23" s="3" t="s">
        <v>325</v>
      </c>
      <c r="E23" s="3" t="s">
        <v>328</v>
      </c>
      <c r="G23" s="3" t="s">
        <v>332</v>
      </c>
      <c r="H23" s="3" t="s">
        <v>336</v>
      </c>
      <c r="J23" s="3" t="s">
        <v>340</v>
      </c>
      <c r="K23" s="65">
        <v>0.2</v>
      </c>
    </row>
    <row r="24" spans="1:12" ht="15.5">
      <c r="A24" s="64" t="s">
        <v>316</v>
      </c>
      <c r="B24" s="64" t="s">
        <v>320</v>
      </c>
    </row>
    <row r="25" spans="1:12" ht="15.5">
      <c r="A25" s="47"/>
      <c r="F25" s="3" t="s">
        <v>342</v>
      </c>
      <c r="G25" s="63" t="s">
        <v>343</v>
      </c>
      <c r="H25" s="63"/>
      <c r="I25" s="63"/>
      <c r="J25" s="3" t="s">
        <v>344</v>
      </c>
      <c r="K25" s="3"/>
      <c r="L25" s="3"/>
    </row>
    <row r="26" spans="1:12">
      <c r="F26" s="3" t="s">
        <v>312</v>
      </c>
      <c r="G26" s="3" t="s">
        <v>323</v>
      </c>
      <c r="H26" s="3" t="s">
        <v>324</v>
      </c>
      <c r="I26" s="3" t="s">
        <v>325</v>
      </c>
      <c r="J26" s="3" t="s">
        <v>323</v>
      </c>
      <c r="K26" s="3" t="s">
        <v>324</v>
      </c>
      <c r="L26" s="3" t="s">
        <v>325</v>
      </c>
    </row>
    <row r="27" spans="1:12">
      <c r="F27" s="3" t="s">
        <v>317</v>
      </c>
      <c r="G27" s="3">
        <v>17000</v>
      </c>
      <c r="H27" s="3">
        <v>19000</v>
      </c>
      <c r="I27" s="3">
        <v>18000</v>
      </c>
      <c r="J27" s="3">
        <v>3</v>
      </c>
      <c r="K27" s="3">
        <v>2</v>
      </c>
      <c r="L27" s="3">
        <v>2</v>
      </c>
    </row>
    <row r="28" spans="1:12">
      <c r="F28" s="3" t="s">
        <v>318</v>
      </c>
      <c r="G28" s="3">
        <v>7000</v>
      </c>
      <c r="H28" s="3">
        <v>9000</v>
      </c>
      <c r="I28" s="3">
        <v>7000</v>
      </c>
      <c r="J28" s="3">
        <v>2</v>
      </c>
      <c r="K28" s="3">
        <v>1</v>
      </c>
      <c r="L28" s="3">
        <v>1</v>
      </c>
    </row>
    <row r="29" spans="1:12" ht="15.5">
      <c r="A29" s="47" t="s">
        <v>228</v>
      </c>
      <c r="F29" s="3" t="s">
        <v>319</v>
      </c>
      <c r="G29" s="3">
        <v>13000</v>
      </c>
      <c r="H29" s="3">
        <v>23000</v>
      </c>
      <c r="I29" s="3">
        <v>14000</v>
      </c>
      <c r="J29" s="3">
        <v>5</v>
      </c>
      <c r="K29" s="3">
        <v>2</v>
      </c>
      <c r="L29" s="3">
        <v>3</v>
      </c>
    </row>
    <row r="30" spans="1:12" ht="15.5">
      <c r="A30" s="47" t="s">
        <v>229</v>
      </c>
      <c r="F30" s="3" t="s">
        <v>320</v>
      </c>
      <c r="G30" s="3">
        <v>44000</v>
      </c>
      <c r="H30" s="3">
        <v>46000</v>
      </c>
      <c r="I30" s="3">
        <v>45000</v>
      </c>
      <c r="J30" s="3">
        <v>4</v>
      </c>
      <c r="K30" s="3">
        <v>4</v>
      </c>
      <c r="L30" s="3">
        <v>4</v>
      </c>
    </row>
    <row r="31" spans="1:12" ht="15.5">
      <c r="A31" s="47" t="s">
        <v>230</v>
      </c>
    </row>
    <row r="32" spans="1:12" ht="15.5">
      <c r="A32" s="47" t="s">
        <v>231</v>
      </c>
    </row>
    <row r="33" spans="1:7" ht="15.5">
      <c r="A33" s="47" t="s">
        <v>232</v>
      </c>
    </row>
    <row r="34" spans="1:7" ht="15.5">
      <c r="A34" s="77" t="s">
        <v>348</v>
      </c>
      <c r="B34" s="68"/>
      <c r="C34" s="68"/>
      <c r="D34" s="68"/>
      <c r="E34" s="68"/>
      <c r="F34" s="68"/>
    </row>
    <row r="35" spans="1:7" ht="15.5">
      <c r="A35" s="47" t="s">
        <v>349</v>
      </c>
      <c r="B35" s="47"/>
      <c r="C35" s="47"/>
      <c r="D35" s="47"/>
      <c r="E35" s="47"/>
      <c r="F35" s="47"/>
    </row>
    <row r="36" spans="1:7" ht="15.5">
      <c r="A36" s="47" t="s">
        <v>233</v>
      </c>
    </row>
    <row r="37" spans="1:7" ht="15.5">
      <c r="A37" s="77" t="s">
        <v>350</v>
      </c>
      <c r="B37" s="77"/>
      <c r="C37" s="77"/>
      <c r="D37" s="77"/>
      <c r="E37" s="77"/>
      <c r="F37" s="77"/>
      <c r="G37" s="77"/>
    </row>
    <row r="38" spans="1:7" ht="15.5">
      <c r="A38" s="47" t="s">
        <v>234</v>
      </c>
    </row>
    <row r="39" spans="1:7" ht="15.5">
      <c r="A39" s="77" t="s">
        <v>351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C0B9F-4AD4-4750-8B27-FD03E103B3E7}">
  <dimension ref="A1:M42"/>
  <sheetViews>
    <sheetView zoomScale="64" zoomScaleNormal="55" workbookViewId="0">
      <selection activeCell="M7" sqref="M7"/>
    </sheetView>
  </sheetViews>
  <sheetFormatPr defaultRowHeight="14.5"/>
  <cols>
    <col min="1" max="1" width="13.1796875" customWidth="1"/>
    <col min="2" max="2" width="16.36328125" customWidth="1"/>
    <col min="3" max="4" width="19" customWidth="1"/>
    <col min="6" max="6" width="20.54296875" customWidth="1"/>
    <col min="7" max="7" width="16" customWidth="1"/>
    <col min="13" max="13" width="14.81640625" customWidth="1"/>
  </cols>
  <sheetData>
    <row r="1" spans="1:13">
      <c r="A1" s="201" t="s">
        <v>358</v>
      </c>
      <c r="B1" s="203" t="s">
        <v>359</v>
      </c>
      <c r="C1" s="205" t="s">
        <v>360</v>
      </c>
      <c r="D1" s="207" t="s">
        <v>361</v>
      </c>
      <c r="E1" s="208"/>
      <c r="F1" s="207" t="s">
        <v>362</v>
      </c>
      <c r="G1" s="208"/>
      <c r="H1" s="205" t="s">
        <v>363</v>
      </c>
      <c r="I1" s="201" t="s">
        <v>364</v>
      </c>
      <c r="J1" s="205" t="s">
        <v>365</v>
      </c>
      <c r="K1" s="201" t="s">
        <v>366</v>
      </c>
      <c r="L1" s="201" t="s">
        <v>367</v>
      </c>
      <c r="M1" s="201" t="s">
        <v>368</v>
      </c>
    </row>
    <row r="2" spans="1:13">
      <c r="A2" s="202"/>
      <c r="B2" s="204"/>
      <c r="C2" s="206"/>
      <c r="D2" s="87" t="s">
        <v>369</v>
      </c>
      <c r="E2" s="87" t="s">
        <v>370</v>
      </c>
      <c r="F2" s="88" t="s">
        <v>371</v>
      </c>
      <c r="G2" s="87" t="s">
        <v>370</v>
      </c>
      <c r="H2" s="206"/>
      <c r="I2" s="202"/>
      <c r="J2" s="206"/>
      <c r="K2" s="202"/>
      <c r="L2" s="202"/>
      <c r="M2" s="202"/>
    </row>
    <row r="3" spans="1:13">
      <c r="A3" s="86" t="s">
        <v>372</v>
      </c>
      <c r="B3" s="86" t="s">
        <v>373</v>
      </c>
      <c r="C3" s="89" t="str">
        <f>HLOOKUP(LEFT(A3,2),$B$16:$D$17,2,FALSE)</f>
        <v>Depan Mall</v>
      </c>
      <c r="D3" s="90">
        <v>9</v>
      </c>
      <c r="E3" s="90">
        <v>45</v>
      </c>
      <c r="F3" s="91">
        <v>12</v>
      </c>
      <c r="G3" s="90">
        <v>0</v>
      </c>
      <c r="H3" s="89">
        <f>(F3-D3)+(G3-E3)/60</f>
        <v>2.25</v>
      </c>
      <c r="I3" s="89">
        <f>IF(H3&gt;2,H3-2,0)</f>
        <v>0.25</v>
      </c>
      <c r="J3" s="89">
        <f>VLOOKUP(C3,$A$27:$B$29,2,FALSE)</f>
        <v>4000</v>
      </c>
      <c r="K3" s="89">
        <f>IF(I3=0,0,IF(I3&gt;3,VLOOKUP(C3,$A$27:$D$29,3,FALSE)+VLOOKUP(C3,$A$27:$D$29,4,FALSE),VLOOKUP(C3,$A$27:$D$29,3,FALSE)))</f>
        <v>2500</v>
      </c>
      <c r="L3" s="89">
        <f>J3+K3</f>
        <v>6500</v>
      </c>
      <c r="M3" s="89" t="str">
        <f>IF(AND(H3&gt;3,C3="Depan Mall"),"Dapat","Tidak Dapat")</f>
        <v>Tidak Dapat</v>
      </c>
    </row>
    <row r="4" spans="1:13">
      <c r="A4" s="86" t="s">
        <v>374</v>
      </c>
      <c r="B4" s="86" t="s">
        <v>375</v>
      </c>
      <c r="C4" s="89" t="str">
        <f t="shared" ref="C4:C14" si="0">HLOOKUP(LEFT(A4,2),$B$16:$D$17,2,FALSE)</f>
        <v>Depan Mall</v>
      </c>
      <c r="D4" s="90">
        <v>9</v>
      </c>
      <c r="E4" s="90">
        <v>50</v>
      </c>
      <c r="F4" s="91">
        <v>15</v>
      </c>
      <c r="G4" s="90">
        <v>25</v>
      </c>
      <c r="H4" s="95">
        <f t="shared" ref="H4:H14" si="1">(F4-D4)+(G4-E4)/60</f>
        <v>5.583333333333333</v>
      </c>
      <c r="I4" s="95">
        <f>IF(H4&gt;2,H4-2,0)</f>
        <v>3.583333333333333</v>
      </c>
      <c r="J4" s="89">
        <f t="shared" ref="J4:J14" si="2">VLOOKUP(C4,$A$27:$B$29,2,FALSE)</f>
        <v>4000</v>
      </c>
      <c r="K4" s="89">
        <f t="shared" ref="K4:K14" si="3">IF(I4=0,0,IF(I4&gt;3,VLOOKUP(C4,$A$27:$D$29,3,FALSE)+VLOOKUP(C4,$A$27:$D$29,4,FALSE),VLOOKUP(C4,$A$27:$D$29,3,FALSE)))</f>
        <v>4000</v>
      </c>
      <c r="L4" s="89">
        <f t="shared" ref="L4:L14" si="4">J4+K4</f>
        <v>8000</v>
      </c>
      <c r="M4" s="89" t="str">
        <f t="shared" ref="M4:M14" si="5">IF(AND(H4&gt;3,C4="Depan Mall"),"Dapat","Tidak Dapat")</f>
        <v>Dapat</v>
      </c>
    </row>
    <row r="5" spans="1:13">
      <c r="A5" s="86" t="s">
        <v>376</v>
      </c>
      <c r="B5" s="86" t="s">
        <v>377</v>
      </c>
      <c r="C5" s="89" t="str">
        <f t="shared" si="0"/>
        <v>Lower Ground</v>
      </c>
      <c r="D5" s="90">
        <v>10</v>
      </c>
      <c r="E5" s="90">
        <v>0</v>
      </c>
      <c r="F5" s="91">
        <v>11</v>
      </c>
      <c r="G5" s="90">
        <v>55</v>
      </c>
      <c r="H5" s="95">
        <f t="shared" si="1"/>
        <v>1.9166666666666665</v>
      </c>
      <c r="I5" s="95">
        <f t="shared" ref="I5:I14" si="6">IF(H5&gt;2,H5-2,0)</f>
        <v>0</v>
      </c>
      <c r="J5" s="89">
        <f t="shared" si="2"/>
        <v>2000</v>
      </c>
      <c r="K5" s="89">
        <f t="shared" si="3"/>
        <v>0</v>
      </c>
      <c r="L5" s="89">
        <f t="shared" si="4"/>
        <v>2000</v>
      </c>
      <c r="M5" s="89" t="str">
        <f t="shared" si="5"/>
        <v>Tidak Dapat</v>
      </c>
    </row>
    <row r="6" spans="1:13">
      <c r="A6" s="86" t="s">
        <v>378</v>
      </c>
      <c r="B6" s="86" t="s">
        <v>379</v>
      </c>
      <c r="C6" s="89" t="str">
        <f t="shared" si="0"/>
        <v>Top Roof</v>
      </c>
      <c r="D6" s="90">
        <v>10</v>
      </c>
      <c r="E6" s="90">
        <v>5</v>
      </c>
      <c r="F6" s="91">
        <v>16</v>
      </c>
      <c r="G6" s="90">
        <v>25</v>
      </c>
      <c r="H6" s="96">
        <f t="shared" si="1"/>
        <v>6.333333333333333</v>
      </c>
      <c r="I6" s="95">
        <f t="shared" si="6"/>
        <v>4.333333333333333</v>
      </c>
      <c r="J6" s="89">
        <f t="shared" si="2"/>
        <v>8000</v>
      </c>
      <c r="K6" s="89">
        <f t="shared" si="3"/>
        <v>8000</v>
      </c>
      <c r="L6" s="89">
        <f t="shared" si="4"/>
        <v>16000</v>
      </c>
      <c r="M6" s="89" t="str">
        <f t="shared" si="5"/>
        <v>Tidak Dapat</v>
      </c>
    </row>
    <row r="7" spans="1:13">
      <c r="A7" s="86" t="s">
        <v>380</v>
      </c>
      <c r="B7" s="86" t="s">
        <v>381</v>
      </c>
      <c r="C7" s="89" t="str">
        <f t="shared" si="0"/>
        <v>Top Roof</v>
      </c>
      <c r="D7" s="90">
        <v>10</v>
      </c>
      <c r="E7" s="90">
        <v>15</v>
      </c>
      <c r="F7" s="91">
        <v>15</v>
      </c>
      <c r="G7" s="90">
        <v>45</v>
      </c>
      <c r="H7" s="89">
        <f t="shared" si="1"/>
        <v>5.5</v>
      </c>
      <c r="I7" s="95">
        <f t="shared" si="6"/>
        <v>3.5</v>
      </c>
      <c r="J7" s="89">
        <f t="shared" si="2"/>
        <v>8000</v>
      </c>
      <c r="K7" s="89">
        <f t="shared" si="3"/>
        <v>8000</v>
      </c>
      <c r="L7" s="89">
        <f t="shared" si="4"/>
        <v>16000</v>
      </c>
      <c r="M7" s="89" t="str">
        <f t="shared" si="5"/>
        <v>Tidak Dapat</v>
      </c>
    </row>
    <row r="8" spans="1:13">
      <c r="A8" s="86" t="s">
        <v>382</v>
      </c>
      <c r="B8" s="86" t="s">
        <v>383</v>
      </c>
      <c r="C8" s="89" t="str">
        <f t="shared" si="0"/>
        <v>Depan Mall</v>
      </c>
      <c r="D8" s="90">
        <v>10</v>
      </c>
      <c r="E8" s="90">
        <v>30</v>
      </c>
      <c r="F8" s="91">
        <v>13</v>
      </c>
      <c r="G8" s="90">
        <v>55</v>
      </c>
      <c r="H8" s="95">
        <f t="shared" si="1"/>
        <v>3.4166666666666665</v>
      </c>
      <c r="I8" s="95">
        <f t="shared" si="6"/>
        <v>1.4166666666666665</v>
      </c>
      <c r="J8" s="89">
        <f t="shared" si="2"/>
        <v>4000</v>
      </c>
      <c r="K8" s="89">
        <f t="shared" si="3"/>
        <v>2500</v>
      </c>
      <c r="L8" s="89">
        <f t="shared" si="4"/>
        <v>6500</v>
      </c>
      <c r="M8" s="89" t="str">
        <f t="shared" si="5"/>
        <v>Dapat</v>
      </c>
    </row>
    <row r="9" spans="1:13">
      <c r="A9" s="86" t="s">
        <v>384</v>
      </c>
      <c r="B9" s="86" t="s">
        <v>385</v>
      </c>
      <c r="C9" s="89" t="str">
        <f t="shared" si="0"/>
        <v>Lower Ground</v>
      </c>
      <c r="D9" s="90">
        <v>11</v>
      </c>
      <c r="E9" s="90">
        <v>20</v>
      </c>
      <c r="F9" s="91">
        <v>18</v>
      </c>
      <c r="G9" s="90">
        <v>15</v>
      </c>
      <c r="H9" s="95">
        <f t="shared" si="1"/>
        <v>6.916666666666667</v>
      </c>
      <c r="I9" s="95">
        <f t="shared" si="6"/>
        <v>4.916666666666667</v>
      </c>
      <c r="J9" s="89">
        <f t="shared" si="2"/>
        <v>2000</v>
      </c>
      <c r="K9" s="89">
        <f t="shared" si="3"/>
        <v>2500</v>
      </c>
      <c r="L9" s="89">
        <f t="shared" si="4"/>
        <v>4500</v>
      </c>
      <c r="M9" s="89" t="str">
        <f t="shared" si="5"/>
        <v>Tidak Dapat</v>
      </c>
    </row>
    <row r="10" spans="1:13">
      <c r="A10" s="86" t="s">
        <v>386</v>
      </c>
      <c r="B10" s="86" t="s">
        <v>387</v>
      </c>
      <c r="C10" s="89" t="str">
        <f t="shared" si="0"/>
        <v>Lower Ground</v>
      </c>
      <c r="D10" s="90">
        <v>11</v>
      </c>
      <c r="E10" s="90">
        <v>55</v>
      </c>
      <c r="F10" s="91">
        <v>15</v>
      </c>
      <c r="G10" s="90">
        <v>15</v>
      </c>
      <c r="H10" s="95">
        <f t="shared" si="1"/>
        <v>3.3333333333333335</v>
      </c>
      <c r="I10" s="95">
        <f t="shared" si="6"/>
        <v>1.3333333333333335</v>
      </c>
      <c r="J10" s="89">
        <f t="shared" si="2"/>
        <v>2000</v>
      </c>
      <c r="K10" s="89">
        <f t="shared" si="3"/>
        <v>1500</v>
      </c>
      <c r="L10" s="89">
        <f t="shared" si="4"/>
        <v>3500</v>
      </c>
      <c r="M10" s="89" t="str">
        <f t="shared" si="5"/>
        <v>Tidak Dapat</v>
      </c>
    </row>
    <row r="11" spans="1:13">
      <c r="A11" s="86" t="s">
        <v>388</v>
      </c>
      <c r="B11" s="86" t="s">
        <v>389</v>
      </c>
      <c r="C11" s="89" t="str">
        <f t="shared" si="0"/>
        <v>Lower Ground</v>
      </c>
      <c r="D11" s="90">
        <v>12</v>
      </c>
      <c r="E11" s="90">
        <v>25</v>
      </c>
      <c r="F11" s="91">
        <v>14</v>
      </c>
      <c r="G11" s="90">
        <v>35</v>
      </c>
      <c r="H11" s="95">
        <f t="shared" si="1"/>
        <v>2.1666666666666665</v>
      </c>
      <c r="I11" s="95">
        <f t="shared" si="6"/>
        <v>0.16666666666666652</v>
      </c>
      <c r="J11" s="89">
        <f t="shared" si="2"/>
        <v>2000</v>
      </c>
      <c r="K11" s="89">
        <f t="shared" si="3"/>
        <v>1500</v>
      </c>
      <c r="L11" s="89">
        <f t="shared" si="4"/>
        <v>3500</v>
      </c>
      <c r="M11" s="89" t="str">
        <f t="shared" si="5"/>
        <v>Tidak Dapat</v>
      </c>
    </row>
    <row r="12" spans="1:13">
      <c r="A12" s="86" t="s">
        <v>390</v>
      </c>
      <c r="B12" s="86" t="s">
        <v>391</v>
      </c>
      <c r="C12" s="89" t="str">
        <f t="shared" si="0"/>
        <v>Depan Mall</v>
      </c>
      <c r="D12" s="90">
        <v>12</v>
      </c>
      <c r="E12" s="90">
        <v>45</v>
      </c>
      <c r="F12" s="91">
        <v>17</v>
      </c>
      <c r="G12" s="90">
        <v>0</v>
      </c>
      <c r="H12" s="95">
        <f t="shared" si="1"/>
        <v>4.25</v>
      </c>
      <c r="I12" s="95">
        <f t="shared" si="6"/>
        <v>2.25</v>
      </c>
      <c r="J12" s="89">
        <f t="shared" si="2"/>
        <v>4000</v>
      </c>
      <c r="K12" s="89">
        <f t="shared" si="3"/>
        <v>2500</v>
      </c>
      <c r="L12" s="89">
        <f t="shared" si="4"/>
        <v>6500</v>
      </c>
      <c r="M12" s="89" t="str">
        <f t="shared" si="5"/>
        <v>Dapat</v>
      </c>
    </row>
    <row r="13" spans="1:13">
      <c r="A13" s="86" t="s">
        <v>392</v>
      </c>
      <c r="B13" s="86" t="s">
        <v>393</v>
      </c>
      <c r="C13" s="89" t="str">
        <f t="shared" si="0"/>
        <v>Top Roof</v>
      </c>
      <c r="D13" s="90">
        <v>13</v>
      </c>
      <c r="E13" s="90">
        <v>25</v>
      </c>
      <c r="F13" s="91">
        <v>15</v>
      </c>
      <c r="G13" s="90">
        <v>10</v>
      </c>
      <c r="H13" s="95">
        <f t="shared" si="1"/>
        <v>1.75</v>
      </c>
      <c r="I13" s="95">
        <f t="shared" si="6"/>
        <v>0</v>
      </c>
      <c r="J13" s="89">
        <f t="shared" si="2"/>
        <v>8000</v>
      </c>
      <c r="K13" s="89">
        <f t="shared" si="3"/>
        <v>0</v>
      </c>
      <c r="L13" s="89">
        <f t="shared" si="4"/>
        <v>8000</v>
      </c>
      <c r="M13" s="89" t="str">
        <f t="shared" si="5"/>
        <v>Tidak Dapat</v>
      </c>
    </row>
    <row r="14" spans="1:13">
      <c r="A14" s="86" t="s">
        <v>394</v>
      </c>
      <c r="B14" s="86" t="s">
        <v>395</v>
      </c>
      <c r="C14" s="89" t="str">
        <f t="shared" si="0"/>
        <v>Top Roof</v>
      </c>
      <c r="D14" s="90">
        <v>15</v>
      </c>
      <c r="E14" s="90">
        <v>50</v>
      </c>
      <c r="F14" s="91">
        <v>19</v>
      </c>
      <c r="G14" s="90">
        <v>20</v>
      </c>
      <c r="H14" s="95">
        <f t="shared" si="1"/>
        <v>3.5</v>
      </c>
      <c r="I14" s="95">
        <f t="shared" si="6"/>
        <v>1.5</v>
      </c>
      <c r="J14" s="89">
        <f t="shared" si="2"/>
        <v>8000</v>
      </c>
      <c r="K14" s="89">
        <f t="shared" si="3"/>
        <v>5000</v>
      </c>
      <c r="L14" s="89">
        <f t="shared" si="4"/>
        <v>13000</v>
      </c>
      <c r="M14" s="89" t="str">
        <f t="shared" si="5"/>
        <v>Tidak Dapat</v>
      </c>
    </row>
    <row r="16" spans="1:13">
      <c r="A16" s="93" t="s">
        <v>396</v>
      </c>
      <c r="B16" s="93" t="s">
        <v>397</v>
      </c>
      <c r="C16" s="93" t="s">
        <v>398</v>
      </c>
      <c r="D16" s="93" t="s">
        <v>399</v>
      </c>
    </row>
    <row r="17" spans="1:4">
      <c r="A17" s="93" t="s">
        <v>400</v>
      </c>
      <c r="B17" s="93" t="s">
        <v>401</v>
      </c>
      <c r="C17" s="93" t="s">
        <v>402</v>
      </c>
      <c r="D17" s="93" t="s">
        <v>403</v>
      </c>
    </row>
    <row r="19" spans="1:4" ht="18.5" customHeight="1">
      <c r="A19" s="92" t="s">
        <v>404</v>
      </c>
    </row>
    <row r="20" spans="1:4">
      <c r="A20" t="s">
        <v>405</v>
      </c>
    </row>
    <row r="21" spans="1:4">
      <c r="A21" t="s">
        <v>406</v>
      </c>
    </row>
    <row r="22" spans="1:4">
      <c r="A22" t="s">
        <v>407</v>
      </c>
    </row>
    <row r="23" spans="1:4">
      <c r="A23" t="s">
        <v>408</v>
      </c>
    </row>
    <row r="26" spans="1:4">
      <c r="A26" s="3" t="s">
        <v>257</v>
      </c>
      <c r="B26" s="3" t="s">
        <v>409</v>
      </c>
      <c r="C26" s="3" t="s">
        <v>410</v>
      </c>
      <c r="D26" s="3" t="s">
        <v>411</v>
      </c>
    </row>
    <row r="27" spans="1:4">
      <c r="A27" s="3" t="s">
        <v>250</v>
      </c>
      <c r="B27" s="3">
        <v>2000</v>
      </c>
      <c r="C27" s="3">
        <v>1500</v>
      </c>
      <c r="D27" s="3">
        <v>1000</v>
      </c>
    </row>
    <row r="28" spans="1:4">
      <c r="A28" s="3" t="s">
        <v>248</v>
      </c>
      <c r="B28" s="3">
        <v>4000</v>
      </c>
      <c r="C28" s="3">
        <v>2500</v>
      </c>
      <c r="D28" s="3">
        <v>1500</v>
      </c>
    </row>
    <row r="29" spans="1:4">
      <c r="A29" s="3" t="s">
        <v>412</v>
      </c>
      <c r="B29" s="3">
        <v>8000</v>
      </c>
      <c r="C29" s="3">
        <v>5000</v>
      </c>
      <c r="D29" s="3">
        <v>3000</v>
      </c>
    </row>
    <row r="31" spans="1:4" ht="14.5" customHeight="1">
      <c r="A31" s="94"/>
      <c r="B31" t="s">
        <v>413</v>
      </c>
    </row>
    <row r="32" spans="1:4">
      <c r="A32" t="s">
        <v>414</v>
      </c>
    </row>
    <row r="33" spans="1:9">
      <c r="A33" t="s">
        <v>424</v>
      </c>
    </row>
    <row r="34" spans="1:9">
      <c r="A34" t="s">
        <v>415</v>
      </c>
    </row>
    <row r="35" spans="1:9">
      <c r="A35" t="s">
        <v>416</v>
      </c>
    </row>
    <row r="37" spans="1:9">
      <c r="A37" t="s">
        <v>417</v>
      </c>
      <c r="E37" t="s">
        <v>418</v>
      </c>
    </row>
    <row r="39" spans="1:9">
      <c r="B39" s="3" t="s">
        <v>419</v>
      </c>
      <c r="C39" s="3" t="s">
        <v>420</v>
      </c>
      <c r="F39" s="3" t="s">
        <v>238</v>
      </c>
      <c r="G39" s="3" t="s">
        <v>421</v>
      </c>
    </row>
    <row r="40" spans="1:9">
      <c r="B40" s="3" t="s">
        <v>422</v>
      </c>
      <c r="C40" s="3">
        <f>COUNTIF(M3:M14,"Dapat")</f>
        <v>3</v>
      </c>
      <c r="F40" s="3" t="s">
        <v>250</v>
      </c>
      <c r="G40" s="97">
        <f>IF(F40="Lower Ground",SUMIF($C$3:$C$14,"Lower Ground",$I$3:$I$14),IF(F40="Depan Mall",SUMIF($C$3:$C$14,"Depan Mall",$I$3:$I$14),SUMIF($C$3:$C$14,"Top Roof",$I$3:$I$14)))</f>
        <v>6.4166666666666661</v>
      </c>
      <c r="I40" s="98">
        <f>SUMIF(C3:C14,IF(F40="Lower Ground","Lower Ground",IF(F40="Depan Mall","Depan Mall","Top Roof")),I3:I14)</f>
        <v>6.4166666666666661</v>
      </c>
    </row>
    <row r="41" spans="1:9">
      <c r="B41" s="3" t="s">
        <v>423</v>
      </c>
      <c r="C41" s="3">
        <f>COUNTIF(M3:M14,"Tidak Dapat")</f>
        <v>9</v>
      </c>
      <c r="F41" s="3" t="s">
        <v>248</v>
      </c>
      <c r="G41" s="97">
        <f>IF(F41="Lower Ground",SUMIF($C$3:$C$14,"Lower Ground",$I$3:$I$14),IF(F41="Depan Mall",SUMIF($C$3:$C$14,"Depan Mall",$I$3:$I$14),SUMIF($C$3:$C$14,"Top Roof",$I$3:$I$14)))</f>
        <v>7.5</v>
      </c>
      <c r="I41">
        <f>SUMIF(C4:C15,IF(F41="Lower Ground","Lower Ground",IF(F41="Depan Mall","Depan Mall","Top Roof")),I4:I15)</f>
        <v>7.25</v>
      </c>
    </row>
    <row r="42" spans="1:9">
      <c r="F42" s="3" t="s">
        <v>412</v>
      </c>
      <c r="G42" s="97">
        <f t="shared" ref="G42" si="7">IF(F42="Lower Ground",SUMIF($C$3:$C$14,"Lower Ground",$I$3:$I$14),IF(F42="Depan Mall",SUMIF($C$3:$C$14,"Depan Mall",$I$3:$I$14),SUMIF($C$3:$C$14,"Top Roof",$I$3:$I$14)))</f>
        <v>9.3333333333333321</v>
      </c>
      <c r="I42" s="98">
        <f>SUMIF(C5:C16,IF(F42="Lower Ground","Lower Ground",IF(F42="Depan Mall","Depan Mall","Top Roof")),I5:I16)</f>
        <v>9.3333333333333321</v>
      </c>
    </row>
  </sheetData>
  <mergeCells count="11">
    <mergeCell ref="M1:M2"/>
    <mergeCell ref="H1:H2"/>
    <mergeCell ref="I1:I2"/>
    <mergeCell ref="J1:J2"/>
    <mergeCell ref="K1:K2"/>
    <mergeCell ref="L1:L2"/>
    <mergeCell ref="A1:A2"/>
    <mergeCell ref="B1:B2"/>
    <mergeCell ref="C1:C2"/>
    <mergeCell ref="D1:E1"/>
    <mergeCell ref="F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952E2-14F1-4120-B49F-8C7B238AD90F}">
  <dimension ref="A1:BJ74"/>
  <sheetViews>
    <sheetView zoomScale="32" zoomScaleNormal="66" workbookViewId="0">
      <selection activeCell="W17" sqref="W17:Y17"/>
    </sheetView>
  </sheetViews>
  <sheetFormatPr defaultRowHeight="14.5"/>
  <cols>
    <col min="4" max="4" width="12.453125" customWidth="1"/>
    <col min="12" max="12" width="13.1796875" customWidth="1"/>
    <col min="13" max="13" width="14" customWidth="1"/>
    <col min="19" max="19" width="15.1796875" customWidth="1"/>
    <col min="28" max="28" width="14.54296875" customWidth="1"/>
    <col min="42" max="42" width="21" customWidth="1"/>
    <col min="43" max="43" width="18" customWidth="1"/>
    <col min="44" max="46" width="8.81640625" bestFit="1" customWidth="1"/>
    <col min="47" max="47" width="19.08984375" customWidth="1"/>
    <col min="49" max="51" width="8.81640625" bestFit="1" customWidth="1"/>
    <col min="54" max="54" width="18.08984375" customWidth="1"/>
    <col min="55" max="55" width="15.90625" customWidth="1"/>
    <col min="56" max="58" width="8.81640625" bestFit="1" customWidth="1"/>
    <col min="59" max="59" width="16.1796875" customWidth="1"/>
    <col min="61" max="62" width="12" bestFit="1" customWidth="1"/>
  </cols>
  <sheetData>
    <row r="1" spans="1:51" ht="15.5">
      <c r="A1" s="227"/>
      <c r="B1" s="227"/>
      <c r="C1" s="227"/>
      <c r="D1" s="227"/>
      <c r="E1" s="227"/>
      <c r="F1" s="227"/>
      <c r="G1" s="100"/>
      <c r="H1" s="271" t="s">
        <v>425</v>
      </c>
      <c r="I1" s="271"/>
      <c r="J1" s="271"/>
      <c r="K1" s="271"/>
      <c r="L1" s="271"/>
      <c r="M1" s="271"/>
      <c r="N1" s="271"/>
      <c r="O1" s="99"/>
      <c r="P1" s="99"/>
    </row>
    <row r="2" spans="1:51">
      <c r="A2" s="250" t="s">
        <v>426</v>
      </c>
      <c r="B2" s="250"/>
      <c r="C2" s="250"/>
      <c r="D2" s="250"/>
      <c r="E2" s="250"/>
      <c r="F2" s="250"/>
      <c r="G2" s="101" t="s">
        <v>427</v>
      </c>
      <c r="H2" s="250" t="s">
        <v>428</v>
      </c>
      <c r="I2" s="250"/>
      <c r="J2" s="250"/>
      <c r="K2" s="250"/>
      <c r="L2" s="250"/>
      <c r="M2" s="250"/>
      <c r="N2" s="250"/>
      <c r="O2" s="99"/>
      <c r="P2" s="99"/>
    </row>
    <row r="3" spans="1:51">
      <c r="A3" s="262" t="s">
        <v>429</v>
      </c>
      <c r="B3" s="262"/>
      <c r="C3" s="262"/>
      <c r="D3" s="262"/>
      <c r="E3" s="262"/>
      <c r="F3" s="262"/>
      <c r="G3" s="102" t="s">
        <v>427</v>
      </c>
      <c r="H3" s="262" t="s">
        <v>430</v>
      </c>
      <c r="I3" s="262"/>
      <c r="J3" s="262"/>
      <c r="K3" s="262"/>
      <c r="L3" s="262"/>
      <c r="M3" s="262"/>
      <c r="N3" s="262"/>
      <c r="O3" s="99"/>
      <c r="P3" s="99"/>
    </row>
    <row r="4" spans="1:51">
      <c r="A4" s="262" t="s">
        <v>431</v>
      </c>
      <c r="B4" s="262"/>
      <c r="C4" s="262"/>
      <c r="D4" s="262"/>
      <c r="E4" s="262"/>
      <c r="F4" s="262"/>
      <c r="G4" s="102" t="s">
        <v>427</v>
      </c>
      <c r="H4" s="262" t="s">
        <v>432</v>
      </c>
      <c r="I4" s="262"/>
      <c r="J4" s="262"/>
      <c r="K4" s="262"/>
      <c r="L4" s="262"/>
      <c r="M4" s="262"/>
      <c r="N4" s="262"/>
      <c r="O4" s="99"/>
      <c r="P4" s="99"/>
    </row>
    <row r="5" spans="1:51">
      <c r="A5" s="265" t="s">
        <v>433</v>
      </c>
      <c r="B5" s="265"/>
      <c r="C5" s="265"/>
      <c r="D5" s="265"/>
      <c r="E5" s="265"/>
      <c r="F5" s="265"/>
      <c r="G5" s="265" t="s">
        <v>434</v>
      </c>
      <c r="H5" s="265"/>
      <c r="I5" s="265"/>
      <c r="J5" s="265"/>
      <c r="K5" s="265"/>
      <c r="L5" s="265"/>
      <c r="M5" s="265"/>
      <c r="N5" s="265"/>
      <c r="O5" s="99"/>
      <c r="P5" s="99"/>
    </row>
    <row r="6" spans="1:51">
      <c r="A6" s="209" t="s">
        <v>435</v>
      </c>
      <c r="B6" s="209"/>
      <c r="C6" s="209"/>
      <c r="D6" s="209"/>
      <c r="E6" s="209"/>
      <c r="F6" s="209"/>
      <c r="G6" s="209"/>
      <c r="H6" s="209"/>
      <c r="I6" s="209"/>
      <c r="J6" s="209"/>
      <c r="K6" s="209"/>
      <c r="L6" s="209"/>
      <c r="M6" s="209"/>
      <c r="N6" s="209"/>
      <c r="O6" s="209"/>
      <c r="P6" s="209"/>
    </row>
    <row r="7" spans="1:51" ht="15.5">
      <c r="A7" s="209" t="s">
        <v>436</v>
      </c>
      <c r="B7" s="209"/>
      <c r="C7" s="209"/>
      <c r="D7" s="209"/>
      <c r="E7" s="209"/>
      <c r="F7" s="209"/>
      <c r="G7" s="209"/>
      <c r="H7" s="209"/>
      <c r="I7" s="209"/>
      <c r="J7" s="209"/>
      <c r="K7" s="209"/>
      <c r="L7" s="209"/>
      <c r="M7" s="209"/>
      <c r="N7" s="209"/>
      <c r="O7" s="209"/>
      <c r="P7" s="209"/>
      <c r="S7" s="214" t="s">
        <v>524</v>
      </c>
      <c r="T7" s="214"/>
      <c r="U7" s="214"/>
      <c r="V7" s="214"/>
      <c r="W7" s="214"/>
      <c r="X7" s="214"/>
      <c r="Y7" s="214"/>
      <c r="Z7" s="214"/>
      <c r="AA7" s="214"/>
      <c r="AB7" s="214"/>
      <c r="AC7" s="214"/>
      <c r="AD7" s="214"/>
      <c r="AE7" s="214"/>
      <c r="AF7" s="214"/>
      <c r="AG7" s="214"/>
      <c r="AH7" s="214"/>
      <c r="AI7" s="214"/>
      <c r="AJ7" s="214"/>
      <c r="AP7" s="209" t="s">
        <v>540</v>
      </c>
      <c r="AQ7" s="209"/>
      <c r="AR7" s="209"/>
      <c r="AS7" s="209"/>
      <c r="AT7" s="209"/>
      <c r="AU7" s="209"/>
      <c r="AV7" s="209"/>
      <c r="AW7" s="209"/>
    </row>
    <row r="8" spans="1:51" ht="40.5" customHeight="1">
      <c r="A8" s="127" t="s">
        <v>437</v>
      </c>
      <c r="B8" s="272" t="s">
        <v>438</v>
      </c>
      <c r="C8" s="273"/>
      <c r="D8" s="127" t="s">
        <v>439</v>
      </c>
      <c r="E8" s="272" t="s">
        <v>440</v>
      </c>
      <c r="F8" s="274"/>
      <c r="G8" s="273"/>
      <c r="H8" s="272" t="s">
        <v>441</v>
      </c>
      <c r="I8" s="273"/>
      <c r="J8" s="127" t="s">
        <v>442</v>
      </c>
      <c r="K8" s="127" t="s">
        <v>443</v>
      </c>
      <c r="L8" s="127" t="s">
        <v>444</v>
      </c>
      <c r="M8" s="127" t="s">
        <v>445</v>
      </c>
      <c r="N8" s="272" t="s">
        <v>446</v>
      </c>
      <c r="O8" s="273"/>
      <c r="P8" s="99"/>
      <c r="S8" s="209" t="s">
        <v>485</v>
      </c>
      <c r="T8" s="209"/>
      <c r="U8" s="209"/>
      <c r="V8" s="209"/>
      <c r="W8" s="209"/>
      <c r="X8" s="209"/>
      <c r="Y8" s="209"/>
      <c r="Z8" s="209"/>
      <c r="AA8" s="209"/>
      <c r="AB8" s="209"/>
      <c r="AC8" s="209"/>
      <c r="AD8" s="209"/>
      <c r="AE8" s="209"/>
      <c r="AF8" s="209"/>
      <c r="AG8" s="209"/>
      <c r="AH8" s="209"/>
      <c r="AI8" s="209"/>
      <c r="AJ8" s="209"/>
      <c r="AP8" s="210"/>
      <c r="AQ8" s="209"/>
      <c r="AR8" s="209"/>
      <c r="AS8" s="209"/>
      <c r="AT8" s="209"/>
      <c r="AU8" s="209"/>
      <c r="AV8" s="209"/>
      <c r="AW8" s="209"/>
    </row>
    <row r="9" spans="1:51" ht="18" customHeight="1">
      <c r="A9" s="103">
        <v>1</v>
      </c>
      <c r="B9" s="275" t="s">
        <v>447</v>
      </c>
      <c r="C9" s="276"/>
      <c r="D9" s="104" t="str">
        <f>MID(B9,2,1)</f>
        <v>2</v>
      </c>
      <c r="E9" s="277" t="str">
        <f>VLOOKUP(LEFT(B9,1),$A$28:$F$30,3,FALSE)</f>
        <v>UNIVAC</v>
      </c>
      <c r="F9" s="278"/>
      <c r="G9" s="279"/>
      <c r="H9" s="277" t="str">
        <f>IF(E9="UNIVAC","6.000.000",IF(E9="RCA","4.500.000","5.000.000"))</f>
        <v>6.000.000</v>
      </c>
      <c r="I9" s="279"/>
      <c r="J9" s="125" t="str">
        <f>HLOOKUP(RIGHT(B9,1),$D$34:$H$35,2,FALSE)</f>
        <v>KREDIT</v>
      </c>
      <c r="K9" s="3">
        <f>H9*D9</f>
        <v>12000000</v>
      </c>
      <c r="L9" s="126">
        <f>K9*IF(E9="IBM",0.05,IF(E9="RCA",0.06,0.07))</f>
        <v>840000.00000000012</v>
      </c>
      <c r="M9" s="104">
        <f>K9*IF(RIGHT(B9,1)="C",2%,5%)</f>
        <v>600000</v>
      </c>
      <c r="N9" s="277">
        <f>K9-M9+L9</f>
        <v>12240000</v>
      </c>
      <c r="O9" s="279"/>
      <c r="P9" s="99"/>
      <c r="S9" s="109" t="s">
        <v>486</v>
      </c>
      <c r="T9" s="215" t="s">
        <v>487</v>
      </c>
      <c r="U9" s="216"/>
      <c r="V9" s="217"/>
      <c r="W9" s="218" t="s">
        <v>488</v>
      </c>
      <c r="X9" s="219"/>
      <c r="Y9" s="220"/>
      <c r="Z9" s="215" t="s">
        <v>489</v>
      </c>
      <c r="AA9" s="216"/>
      <c r="AB9" s="217"/>
      <c r="AC9" s="221" t="s">
        <v>490</v>
      </c>
      <c r="AD9" s="222"/>
      <c r="AE9" s="221" t="s">
        <v>491</v>
      </c>
      <c r="AF9" s="222"/>
      <c r="AG9" s="111" t="s">
        <v>492</v>
      </c>
      <c r="AH9" s="110" t="s">
        <v>493</v>
      </c>
      <c r="AI9" s="109" t="s">
        <v>494</v>
      </c>
      <c r="AJ9" s="99"/>
      <c r="AP9" s="99" t="s">
        <v>541</v>
      </c>
      <c r="AQ9" s="99"/>
      <c r="AR9" s="99"/>
      <c r="AS9" s="99"/>
      <c r="AT9" s="99"/>
      <c r="AU9" s="99"/>
      <c r="AV9" s="99"/>
      <c r="AW9" s="99"/>
    </row>
    <row r="10" spans="1:51">
      <c r="A10" s="105">
        <v>2</v>
      </c>
      <c r="B10" s="280" t="s">
        <v>448</v>
      </c>
      <c r="C10" s="281"/>
      <c r="D10" s="104" t="str">
        <f t="shared" ref="D10:D22" si="0">MID(B10,2,1)</f>
        <v>4</v>
      </c>
      <c r="E10" s="277" t="str">
        <f t="shared" ref="E10:E22" si="1">VLOOKUP(LEFT(B10,1),$A$28:$F$30,3,FALSE)</f>
        <v>IBM</v>
      </c>
      <c r="F10" s="278"/>
      <c r="G10" s="279"/>
      <c r="H10" s="277" t="str">
        <f t="shared" ref="H10:H22" si="2">IF(E10="UNIVAC","6.000.000",IF(E10="RCA","4.500.000","5.000.000"))</f>
        <v>5.000.000</v>
      </c>
      <c r="I10" s="279"/>
      <c r="J10" s="125" t="str">
        <f t="shared" ref="J10:J22" si="3">HLOOKUP(RIGHT(B10,1),$D$34:$H$35,2,FALSE)</f>
        <v>CASH</v>
      </c>
      <c r="K10" s="3">
        <f t="shared" ref="K10:K22" si="4">H10*D10</f>
        <v>20000000</v>
      </c>
      <c r="L10" s="126">
        <f t="shared" ref="L10:L22" si="5">K10*IF(E10="IBM",0.05,IF(E10="RCA",0.06,0.07))</f>
        <v>1000000</v>
      </c>
      <c r="M10" s="104">
        <f t="shared" ref="M10:M22" si="6">K10*IF(RIGHT(B10,1)="C",2%,5%)</f>
        <v>400000</v>
      </c>
      <c r="N10" s="277">
        <f t="shared" ref="N10:N22" si="7">K10-M10+L10</f>
        <v>20600000</v>
      </c>
      <c r="O10" s="279"/>
      <c r="P10" s="99"/>
      <c r="S10" s="112" t="s">
        <v>495</v>
      </c>
      <c r="T10" s="223" t="s">
        <v>496</v>
      </c>
      <c r="U10" s="224"/>
      <c r="V10" s="225"/>
      <c r="W10" s="226" t="str">
        <f>HLOOKUP(MID(S10,3,1),$U$21:$AE$22,2,FALSE)</f>
        <v>DIREKTUR</v>
      </c>
      <c r="X10" s="227"/>
      <c r="Y10" s="228"/>
      <c r="Z10" s="226" t="str">
        <f>IF(RIGHT(S10,1)="1","LAKI-LAKI","PEREMPUAN")</f>
        <v>LAKI-LAKI</v>
      </c>
      <c r="AA10" s="227"/>
      <c r="AB10" s="228"/>
      <c r="AC10" s="226" t="str">
        <f>MID(S10,5,1)</f>
        <v>2</v>
      </c>
      <c r="AD10" s="228"/>
      <c r="AE10" s="229">
        <v>15</v>
      </c>
      <c r="AF10" s="230"/>
      <c r="AG10" s="89">
        <f>VLOOKUP(W10,$S$26:$Y$28,IF(AE10&lt;=5,2,IF(AE10&gt;10,6,4)),FALSE)</f>
        <v>10000000</v>
      </c>
      <c r="AH10" s="89">
        <f>(VLOOKUP(W10,$AB$26:$AE$28,2,FALSE))+(VLOOKUP(W10,$AB$26:$AG$28,5,FALSE)*AC10)</f>
        <v>7000000</v>
      </c>
      <c r="AI10" s="89">
        <f t="shared" ref="AI10:AI19" si="8">(AG10+AH10)*VLOOKUP(W10,$S$33:$T$35,2,FALSE)+(AG10+AH10)</f>
        <v>19550000</v>
      </c>
      <c r="AJ10" s="99"/>
      <c r="AP10" t="s">
        <v>542</v>
      </c>
    </row>
    <row r="11" spans="1:51" ht="14.5" customHeight="1">
      <c r="A11" s="105">
        <v>3</v>
      </c>
      <c r="B11" s="280" t="s">
        <v>449</v>
      </c>
      <c r="C11" s="281"/>
      <c r="D11" s="104" t="str">
        <f t="shared" si="0"/>
        <v>6</v>
      </c>
      <c r="E11" s="277" t="str">
        <f t="shared" si="1"/>
        <v>UNIVAC</v>
      </c>
      <c r="F11" s="278"/>
      <c r="G11" s="279"/>
      <c r="H11" s="277" t="str">
        <f t="shared" si="2"/>
        <v>6.000.000</v>
      </c>
      <c r="I11" s="279"/>
      <c r="J11" s="125" t="str">
        <f t="shared" si="3"/>
        <v>KREDIT</v>
      </c>
      <c r="K11" s="3">
        <f t="shared" si="4"/>
        <v>36000000</v>
      </c>
      <c r="L11" s="126">
        <f t="shared" si="5"/>
        <v>2520000.0000000005</v>
      </c>
      <c r="M11" s="104">
        <f t="shared" si="6"/>
        <v>1800000</v>
      </c>
      <c r="N11" s="277">
        <f t="shared" si="7"/>
        <v>36720000</v>
      </c>
      <c r="O11" s="279"/>
      <c r="P11" s="99"/>
      <c r="S11" s="112" t="s">
        <v>497</v>
      </c>
      <c r="T11" s="223" t="s">
        <v>498</v>
      </c>
      <c r="U11" s="224"/>
      <c r="V11" s="225"/>
      <c r="W11" s="226" t="str">
        <f t="shared" ref="W11:W19" si="9">HLOOKUP(MID(S11,3,1),$U$21:$AE$22,2,FALSE)</f>
        <v>MANAJER</v>
      </c>
      <c r="X11" s="227"/>
      <c r="Y11" s="228"/>
      <c r="Z11" s="226" t="str">
        <f t="shared" ref="Z11:Z19" si="10">IF(RIGHT(S11,1)="1","LAKI-LAKI","PEREMPUAN")</f>
        <v>PEREMPUAN</v>
      </c>
      <c r="AA11" s="227"/>
      <c r="AB11" s="228"/>
      <c r="AC11" s="226" t="str">
        <f t="shared" ref="AC11:AC19" si="11">MID(S11,5,1)</f>
        <v>2</v>
      </c>
      <c r="AD11" s="228"/>
      <c r="AE11" s="229">
        <v>8</v>
      </c>
      <c r="AF11" s="230"/>
      <c r="AG11" s="89">
        <f>VLOOKUP(W11,$S$26:$Y$28,IF(AE11&lt;=5,2,IF(AE11&gt;10,6,4)),FALSE)</f>
        <v>6800000</v>
      </c>
      <c r="AH11" s="89">
        <f t="shared" ref="AH11:AH19" si="12">(VLOOKUP(W11,$AB$26:$AE$28,2,FALSE))+(VLOOKUP(W11,$AB$26:$AG$28,5,FALSE)*AC11)</f>
        <v>3100000</v>
      </c>
      <c r="AI11" s="89">
        <f t="shared" si="8"/>
        <v>10890000</v>
      </c>
      <c r="AJ11" s="99"/>
    </row>
    <row r="12" spans="1:51" ht="14.5" customHeight="1">
      <c r="A12" s="105">
        <v>4</v>
      </c>
      <c r="B12" s="280" t="s">
        <v>450</v>
      </c>
      <c r="C12" s="281"/>
      <c r="D12" s="104" t="str">
        <f t="shared" si="0"/>
        <v>3</v>
      </c>
      <c r="E12" s="277" t="str">
        <f t="shared" si="1"/>
        <v>RCA</v>
      </c>
      <c r="F12" s="278"/>
      <c r="G12" s="279"/>
      <c r="H12" s="277" t="str">
        <f t="shared" si="2"/>
        <v>4.500.000</v>
      </c>
      <c r="I12" s="279"/>
      <c r="J12" s="125" t="str">
        <f t="shared" si="3"/>
        <v>KREDIT</v>
      </c>
      <c r="K12" s="3">
        <f t="shared" si="4"/>
        <v>13500000</v>
      </c>
      <c r="L12" s="126">
        <f t="shared" si="5"/>
        <v>810000</v>
      </c>
      <c r="M12" s="104">
        <f t="shared" si="6"/>
        <v>675000</v>
      </c>
      <c r="N12" s="277">
        <f t="shared" si="7"/>
        <v>13635000</v>
      </c>
      <c r="O12" s="279"/>
      <c r="P12" s="99"/>
      <c r="S12" s="112" t="s">
        <v>499</v>
      </c>
      <c r="T12" s="223" t="s">
        <v>500</v>
      </c>
      <c r="U12" s="224"/>
      <c r="V12" s="225"/>
      <c r="W12" s="226" t="str">
        <f t="shared" si="9"/>
        <v>SUPERVISOR</v>
      </c>
      <c r="X12" s="227"/>
      <c r="Y12" s="228"/>
      <c r="Z12" s="226" t="str">
        <f t="shared" si="10"/>
        <v>PEREMPUAN</v>
      </c>
      <c r="AA12" s="227"/>
      <c r="AB12" s="228"/>
      <c r="AC12" s="226" t="str">
        <f t="shared" si="11"/>
        <v>1</v>
      </c>
      <c r="AD12" s="228"/>
      <c r="AE12" s="229">
        <v>3</v>
      </c>
      <c r="AF12" s="230"/>
      <c r="AG12" s="89">
        <f>VLOOKUP(W12,$S$26:$Y$28,IF(AE12&lt;=5,2,IF(AE12&gt;10,6,4)),FALSE)</f>
        <v>2000000</v>
      </c>
      <c r="AH12" s="89">
        <f t="shared" si="12"/>
        <v>1400000</v>
      </c>
      <c r="AI12" s="89">
        <f t="shared" si="8"/>
        <v>3570000</v>
      </c>
      <c r="AJ12" s="99"/>
      <c r="AP12" s="3"/>
      <c r="AQ12" s="3" t="s">
        <v>552</v>
      </c>
      <c r="AR12" s="3"/>
      <c r="AS12" s="3"/>
      <c r="AT12" s="3"/>
      <c r="AU12" s="3"/>
      <c r="AV12" s="3"/>
      <c r="AW12" s="3"/>
      <c r="AX12" s="3"/>
      <c r="AY12" s="3"/>
    </row>
    <row r="13" spans="1:51" ht="14.5" customHeight="1">
      <c r="A13" s="105">
        <v>5</v>
      </c>
      <c r="B13" s="280" t="s">
        <v>451</v>
      </c>
      <c r="C13" s="281"/>
      <c r="D13" s="104" t="str">
        <f t="shared" si="0"/>
        <v>5</v>
      </c>
      <c r="E13" s="277" t="str">
        <f t="shared" si="1"/>
        <v>IBM</v>
      </c>
      <c r="F13" s="278"/>
      <c r="G13" s="279"/>
      <c r="H13" s="277" t="str">
        <f t="shared" si="2"/>
        <v>5.000.000</v>
      </c>
      <c r="I13" s="279"/>
      <c r="J13" s="125" t="str">
        <f t="shared" si="3"/>
        <v>KREDIT</v>
      </c>
      <c r="K13" s="3">
        <f t="shared" si="4"/>
        <v>25000000</v>
      </c>
      <c r="L13" s="126">
        <f t="shared" si="5"/>
        <v>1250000</v>
      </c>
      <c r="M13" s="104">
        <f t="shared" si="6"/>
        <v>1250000</v>
      </c>
      <c r="N13" s="277">
        <f t="shared" si="7"/>
        <v>25000000</v>
      </c>
      <c r="O13" s="279"/>
      <c r="P13" s="99"/>
      <c r="S13" s="112" t="s">
        <v>501</v>
      </c>
      <c r="T13" s="223" t="s">
        <v>502</v>
      </c>
      <c r="U13" s="224"/>
      <c r="V13" s="225"/>
      <c r="W13" s="226" t="str">
        <f t="shared" si="9"/>
        <v>DIREKTUR</v>
      </c>
      <c r="X13" s="227"/>
      <c r="Y13" s="228"/>
      <c r="Z13" s="226" t="str">
        <f t="shared" si="10"/>
        <v>LAKI-LAKI</v>
      </c>
      <c r="AA13" s="227"/>
      <c r="AB13" s="228"/>
      <c r="AC13" s="226" t="str">
        <f t="shared" si="11"/>
        <v>4</v>
      </c>
      <c r="AD13" s="228"/>
      <c r="AE13" s="229">
        <v>10</v>
      </c>
      <c r="AF13" s="230"/>
      <c r="AG13" s="89">
        <f t="shared" ref="AG13:AG19" si="13">VLOOKUP(W13,$S$26:$Y$28,IF(AE13&lt;=5,2,IF(AE13&gt;10,6,4)),FALSE)</f>
        <v>8700000</v>
      </c>
      <c r="AH13" s="89">
        <f t="shared" si="12"/>
        <v>8000000</v>
      </c>
      <c r="AI13" s="89">
        <f t="shared" si="8"/>
        <v>19205000</v>
      </c>
      <c r="AJ13" s="99"/>
      <c r="AP13" s="3" t="s">
        <v>550</v>
      </c>
      <c r="AQ13" s="3">
        <v>0.96</v>
      </c>
      <c r="AR13" s="3">
        <v>0.82</v>
      </c>
      <c r="AS13" s="3">
        <v>0.75</v>
      </c>
      <c r="AT13" s="3">
        <v>0.61</v>
      </c>
      <c r="AU13" s="3">
        <v>0.89</v>
      </c>
      <c r="AV13" s="3">
        <v>0.64</v>
      </c>
      <c r="AW13" s="3">
        <v>0.81</v>
      </c>
      <c r="AX13" s="3">
        <v>0.68</v>
      </c>
      <c r="AY13" s="3">
        <v>0.65</v>
      </c>
    </row>
    <row r="14" spans="1:51" ht="14.5" customHeight="1">
      <c r="A14" s="105">
        <v>6</v>
      </c>
      <c r="B14" s="280" t="s">
        <v>452</v>
      </c>
      <c r="C14" s="281"/>
      <c r="D14" s="104" t="str">
        <f t="shared" si="0"/>
        <v>2</v>
      </c>
      <c r="E14" s="277" t="str">
        <f t="shared" si="1"/>
        <v>UNIVAC</v>
      </c>
      <c r="F14" s="278"/>
      <c r="G14" s="279"/>
      <c r="H14" s="277" t="str">
        <f t="shared" si="2"/>
        <v>6.000.000</v>
      </c>
      <c r="I14" s="279"/>
      <c r="J14" s="125" t="str">
        <f t="shared" si="3"/>
        <v>CASH</v>
      </c>
      <c r="K14" s="3">
        <f t="shared" si="4"/>
        <v>12000000</v>
      </c>
      <c r="L14" s="126">
        <f t="shared" si="5"/>
        <v>840000.00000000012</v>
      </c>
      <c r="M14" s="104">
        <f t="shared" si="6"/>
        <v>240000</v>
      </c>
      <c r="N14" s="277">
        <f t="shared" si="7"/>
        <v>12600000</v>
      </c>
      <c r="O14" s="279"/>
      <c r="P14" s="99"/>
      <c r="S14" s="112" t="s">
        <v>503</v>
      </c>
      <c r="T14" s="223" t="s">
        <v>504</v>
      </c>
      <c r="U14" s="224"/>
      <c r="V14" s="225"/>
      <c r="W14" s="226" t="str">
        <f t="shared" si="9"/>
        <v>SUPERVISOR</v>
      </c>
      <c r="X14" s="227"/>
      <c r="Y14" s="228"/>
      <c r="Z14" s="226" t="str">
        <f t="shared" si="10"/>
        <v>LAKI-LAKI</v>
      </c>
      <c r="AA14" s="227"/>
      <c r="AB14" s="228"/>
      <c r="AC14" s="226" t="str">
        <f t="shared" si="11"/>
        <v>2</v>
      </c>
      <c r="AD14" s="228"/>
      <c r="AE14" s="229">
        <v>5</v>
      </c>
      <c r="AF14" s="230"/>
      <c r="AG14" s="89">
        <f t="shared" si="13"/>
        <v>2000000</v>
      </c>
      <c r="AH14" s="89">
        <f t="shared" si="12"/>
        <v>1500000</v>
      </c>
      <c r="AI14" s="89">
        <f t="shared" si="8"/>
        <v>3675000</v>
      </c>
      <c r="AJ14" s="99"/>
      <c r="AP14" s="3" t="s">
        <v>551</v>
      </c>
      <c r="AQ14" s="3">
        <v>0.87</v>
      </c>
      <c r="AR14" s="3">
        <v>0.74</v>
      </c>
      <c r="AS14" s="3">
        <v>0.63</v>
      </c>
      <c r="AT14" s="3">
        <v>0.55000000000000004</v>
      </c>
      <c r="AU14" s="3">
        <v>0.76</v>
      </c>
      <c r="AV14" s="3">
        <v>0.7</v>
      </c>
      <c r="AW14" s="3">
        <v>0.69</v>
      </c>
      <c r="AX14" s="3">
        <v>0.56999999999999995</v>
      </c>
      <c r="AY14" s="3">
        <v>0.53</v>
      </c>
    </row>
    <row r="15" spans="1:51" ht="14.5" customHeight="1">
      <c r="A15" s="105">
        <v>7</v>
      </c>
      <c r="B15" s="280" t="s">
        <v>453</v>
      </c>
      <c r="C15" s="281"/>
      <c r="D15" s="104" t="str">
        <f t="shared" si="0"/>
        <v>7</v>
      </c>
      <c r="E15" s="277" t="str">
        <f t="shared" si="1"/>
        <v>RCA</v>
      </c>
      <c r="F15" s="278"/>
      <c r="G15" s="279"/>
      <c r="H15" s="277" t="str">
        <f t="shared" si="2"/>
        <v>4.500.000</v>
      </c>
      <c r="I15" s="279"/>
      <c r="J15" s="125" t="str">
        <f t="shared" si="3"/>
        <v>CASH</v>
      </c>
      <c r="K15" s="3">
        <f t="shared" si="4"/>
        <v>31500000</v>
      </c>
      <c r="L15" s="126">
        <f t="shared" si="5"/>
        <v>1890000</v>
      </c>
      <c r="M15" s="104">
        <f t="shared" si="6"/>
        <v>630000</v>
      </c>
      <c r="N15" s="277">
        <f t="shared" si="7"/>
        <v>32760000</v>
      </c>
      <c r="O15" s="279"/>
      <c r="P15" s="99"/>
      <c r="S15" s="112" t="s">
        <v>505</v>
      </c>
      <c r="T15" s="223" t="s">
        <v>506</v>
      </c>
      <c r="U15" s="224"/>
      <c r="V15" s="225"/>
      <c r="W15" s="226" t="str">
        <f t="shared" si="9"/>
        <v>SUPERVISOR</v>
      </c>
      <c r="X15" s="227"/>
      <c r="Y15" s="228"/>
      <c r="Z15" s="226" t="str">
        <f t="shared" si="10"/>
        <v>PEREMPUAN</v>
      </c>
      <c r="AA15" s="227"/>
      <c r="AB15" s="228"/>
      <c r="AC15" s="226" t="str">
        <f t="shared" si="11"/>
        <v>2</v>
      </c>
      <c r="AD15" s="228"/>
      <c r="AE15" s="229">
        <v>7</v>
      </c>
      <c r="AF15" s="230"/>
      <c r="AG15" s="89">
        <f t="shared" si="13"/>
        <v>3100000</v>
      </c>
      <c r="AH15" s="89">
        <f t="shared" si="12"/>
        <v>1500000</v>
      </c>
      <c r="AI15" s="89">
        <f t="shared" si="8"/>
        <v>4830000</v>
      </c>
      <c r="AJ15" s="99"/>
    </row>
    <row r="16" spans="1:51" ht="14.5" customHeight="1">
      <c r="A16" s="105">
        <v>8</v>
      </c>
      <c r="B16" s="280" t="s">
        <v>454</v>
      </c>
      <c r="C16" s="281"/>
      <c r="D16" s="104" t="str">
        <f t="shared" si="0"/>
        <v>4</v>
      </c>
      <c r="E16" s="277" t="str">
        <f t="shared" si="1"/>
        <v>RCA</v>
      </c>
      <c r="F16" s="278"/>
      <c r="G16" s="279"/>
      <c r="H16" s="277" t="str">
        <f t="shared" si="2"/>
        <v>4.500.000</v>
      </c>
      <c r="I16" s="279"/>
      <c r="J16" s="125" t="str">
        <f t="shared" si="3"/>
        <v>KREDIT</v>
      </c>
      <c r="K16" s="3">
        <f t="shared" si="4"/>
        <v>18000000</v>
      </c>
      <c r="L16" s="126">
        <f t="shared" si="5"/>
        <v>1080000</v>
      </c>
      <c r="M16" s="104">
        <f t="shared" si="6"/>
        <v>900000</v>
      </c>
      <c r="N16" s="277">
        <f t="shared" si="7"/>
        <v>18180000</v>
      </c>
      <c r="O16" s="279"/>
      <c r="P16" s="99"/>
      <c r="S16" s="112" t="s">
        <v>507</v>
      </c>
      <c r="T16" s="223" t="s">
        <v>508</v>
      </c>
      <c r="U16" s="224"/>
      <c r="V16" s="225"/>
      <c r="W16" s="226" t="str">
        <f t="shared" si="9"/>
        <v>MANAJER</v>
      </c>
      <c r="X16" s="227"/>
      <c r="Y16" s="228"/>
      <c r="Z16" s="226" t="str">
        <f t="shared" si="10"/>
        <v>LAKI-LAKI</v>
      </c>
      <c r="AA16" s="227"/>
      <c r="AB16" s="228"/>
      <c r="AC16" s="226" t="str">
        <f t="shared" si="11"/>
        <v>3</v>
      </c>
      <c r="AD16" s="228"/>
      <c r="AE16" s="229">
        <v>12</v>
      </c>
      <c r="AF16" s="230"/>
      <c r="AG16" s="89">
        <f t="shared" si="13"/>
        <v>7400000</v>
      </c>
      <c r="AH16" s="89">
        <f t="shared" si="12"/>
        <v>3400000</v>
      </c>
      <c r="AI16" s="89">
        <f t="shared" si="8"/>
        <v>11880000</v>
      </c>
      <c r="AJ16" s="99"/>
    </row>
    <row r="17" spans="1:54" ht="14.5" customHeight="1">
      <c r="A17" s="105">
        <v>9</v>
      </c>
      <c r="B17" s="280" t="s">
        <v>455</v>
      </c>
      <c r="C17" s="281"/>
      <c r="D17" s="104" t="str">
        <f t="shared" si="0"/>
        <v>5</v>
      </c>
      <c r="E17" s="277" t="str">
        <f t="shared" si="1"/>
        <v>IBM</v>
      </c>
      <c r="F17" s="278"/>
      <c r="G17" s="279"/>
      <c r="H17" s="277" t="str">
        <f t="shared" si="2"/>
        <v>5.000.000</v>
      </c>
      <c r="I17" s="279"/>
      <c r="J17" s="125" t="str">
        <f t="shared" si="3"/>
        <v>CASH</v>
      </c>
      <c r="K17" s="3">
        <f t="shared" si="4"/>
        <v>25000000</v>
      </c>
      <c r="L17" s="126">
        <f t="shared" si="5"/>
        <v>1250000</v>
      </c>
      <c r="M17" s="104">
        <f t="shared" si="6"/>
        <v>500000</v>
      </c>
      <c r="N17" s="277">
        <f t="shared" si="7"/>
        <v>25750000</v>
      </c>
      <c r="O17" s="279"/>
      <c r="P17" s="99"/>
      <c r="S17" s="112" t="s">
        <v>509</v>
      </c>
      <c r="T17" s="223" t="s">
        <v>510</v>
      </c>
      <c r="U17" s="224"/>
      <c r="V17" s="225"/>
      <c r="W17" s="226" t="str">
        <f t="shared" si="9"/>
        <v>MANAJER</v>
      </c>
      <c r="X17" s="227"/>
      <c r="Y17" s="228"/>
      <c r="Z17" s="226" t="str">
        <f t="shared" si="10"/>
        <v>LAKI-LAKI</v>
      </c>
      <c r="AA17" s="227"/>
      <c r="AB17" s="228"/>
      <c r="AC17" s="226" t="str">
        <f t="shared" si="11"/>
        <v>5</v>
      </c>
      <c r="AD17" s="228"/>
      <c r="AE17" s="229">
        <v>2</v>
      </c>
      <c r="AF17" s="230"/>
      <c r="AG17" s="89">
        <f t="shared" si="13"/>
        <v>5000000</v>
      </c>
      <c r="AH17" s="89">
        <f t="shared" si="12"/>
        <v>4000000</v>
      </c>
      <c r="AI17" s="89">
        <f t="shared" si="8"/>
        <v>9900000</v>
      </c>
      <c r="AJ17" s="99"/>
      <c r="AP17" s="119" t="s">
        <v>543</v>
      </c>
      <c r="AQ17" s="118">
        <v>5</v>
      </c>
      <c r="AR17" s="118">
        <v>4</v>
      </c>
      <c r="AS17" s="118">
        <v>6</v>
      </c>
      <c r="AT17" s="118">
        <v>5</v>
      </c>
      <c r="AU17" s="118">
        <v>5</v>
      </c>
      <c r="AV17" s="118">
        <v>5</v>
      </c>
      <c r="AW17" s="118">
        <v>6</v>
      </c>
      <c r="AX17" s="118">
        <v>6</v>
      </c>
      <c r="AY17" s="118">
        <v>2</v>
      </c>
      <c r="AZ17" s="118">
        <v>7</v>
      </c>
      <c r="BA17" s="118">
        <v>7</v>
      </c>
      <c r="BB17" s="120"/>
    </row>
    <row r="18" spans="1:54" ht="14.5" customHeight="1">
      <c r="A18" s="105">
        <v>10</v>
      </c>
      <c r="B18" s="280" t="s">
        <v>452</v>
      </c>
      <c r="C18" s="281"/>
      <c r="D18" s="104" t="str">
        <f t="shared" si="0"/>
        <v>2</v>
      </c>
      <c r="E18" s="277" t="str">
        <f t="shared" si="1"/>
        <v>UNIVAC</v>
      </c>
      <c r="F18" s="278"/>
      <c r="G18" s="279"/>
      <c r="H18" s="277" t="str">
        <f t="shared" si="2"/>
        <v>6.000.000</v>
      </c>
      <c r="I18" s="279"/>
      <c r="J18" s="125" t="str">
        <f t="shared" si="3"/>
        <v>CASH</v>
      </c>
      <c r="K18" s="3">
        <f t="shared" si="4"/>
        <v>12000000</v>
      </c>
      <c r="L18" s="126">
        <f t="shared" si="5"/>
        <v>840000.00000000012</v>
      </c>
      <c r="M18" s="104">
        <f t="shared" si="6"/>
        <v>240000</v>
      </c>
      <c r="N18" s="277">
        <f t="shared" si="7"/>
        <v>12600000</v>
      </c>
      <c r="O18" s="279"/>
      <c r="P18" s="99"/>
      <c r="S18" s="112" t="s">
        <v>511</v>
      </c>
      <c r="T18" s="223" t="s">
        <v>512</v>
      </c>
      <c r="U18" s="224"/>
      <c r="V18" s="225"/>
      <c r="W18" s="226" t="str">
        <f t="shared" si="9"/>
        <v>SUPERVISOR</v>
      </c>
      <c r="X18" s="227"/>
      <c r="Y18" s="228"/>
      <c r="Z18" s="226" t="str">
        <f t="shared" si="10"/>
        <v>PEREMPUAN</v>
      </c>
      <c r="AA18" s="227"/>
      <c r="AB18" s="228"/>
      <c r="AC18" s="226" t="str">
        <f t="shared" si="11"/>
        <v>0</v>
      </c>
      <c r="AD18" s="228"/>
      <c r="AE18" s="229">
        <v>11</v>
      </c>
      <c r="AF18" s="230"/>
      <c r="AG18" s="89">
        <f t="shared" si="13"/>
        <v>4300000</v>
      </c>
      <c r="AH18" s="89">
        <f t="shared" si="12"/>
        <v>1300000</v>
      </c>
      <c r="AI18" s="89">
        <f t="shared" si="8"/>
        <v>5880000</v>
      </c>
      <c r="AJ18" s="99"/>
      <c r="AP18" s="119" t="s">
        <v>544</v>
      </c>
      <c r="AQ18" s="118">
        <v>85</v>
      </c>
      <c r="AR18" s="118">
        <v>103</v>
      </c>
      <c r="AS18" s="118">
        <v>70</v>
      </c>
      <c r="AT18" s="118">
        <v>82</v>
      </c>
      <c r="AU18" s="118">
        <v>89</v>
      </c>
      <c r="AV18" s="118">
        <v>98</v>
      </c>
      <c r="AW18" s="118">
        <v>66</v>
      </c>
      <c r="AX18" s="118">
        <v>95</v>
      </c>
      <c r="AY18" s="118">
        <v>169</v>
      </c>
      <c r="AZ18" s="118">
        <v>70</v>
      </c>
      <c r="BA18" s="118">
        <v>48</v>
      </c>
      <c r="BB18" s="120"/>
    </row>
    <row r="19" spans="1:54" ht="14.5" customHeight="1">
      <c r="A19" s="105">
        <v>11</v>
      </c>
      <c r="B19" s="280" t="s">
        <v>456</v>
      </c>
      <c r="C19" s="281"/>
      <c r="D19" s="104" t="str">
        <f t="shared" si="0"/>
        <v>1</v>
      </c>
      <c r="E19" s="277" t="str">
        <f t="shared" si="1"/>
        <v>IBM</v>
      </c>
      <c r="F19" s="278"/>
      <c r="G19" s="279"/>
      <c r="H19" s="277" t="str">
        <f t="shared" si="2"/>
        <v>5.000.000</v>
      </c>
      <c r="I19" s="279"/>
      <c r="J19" s="125" t="str">
        <f t="shared" si="3"/>
        <v>KREDIT</v>
      </c>
      <c r="K19" s="3">
        <f t="shared" si="4"/>
        <v>5000000</v>
      </c>
      <c r="L19" s="126">
        <f t="shared" si="5"/>
        <v>250000</v>
      </c>
      <c r="M19" s="104">
        <f t="shared" si="6"/>
        <v>250000</v>
      </c>
      <c r="N19" s="277">
        <f t="shared" si="7"/>
        <v>5000000</v>
      </c>
      <c r="O19" s="279"/>
      <c r="P19" s="99"/>
      <c r="S19" s="112" t="s">
        <v>513</v>
      </c>
      <c r="T19" s="223" t="s">
        <v>514</v>
      </c>
      <c r="U19" s="224"/>
      <c r="V19" s="225"/>
      <c r="W19" s="226" t="str">
        <f t="shared" si="9"/>
        <v>SUPERVISOR</v>
      </c>
      <c r="X19" s="227"/>
      <c r="Y19" s="228"/>
      <c r="Z19" s="226" t="str">
        <f t="shared" si="10"/>
        <v>LAKI-LAKI</v>
      </c>
      <c r="AA19" s="227"/>
      <c r="AB19" s="228"/>
      <c r="AC19" s="226" t="str">
        <f t="shared" si="11"/>
        <v>3</v>
      </c>
      <c r="AD19" s="228"/>
      <c r="AE19" s="229">
        <v>7</v>
      </c>
      <c r="AF19" s="230"/>
      <c r="AG19" s="89">
        <f t="shared" si="13"/>
        <v>3100000</v>
      </c>
      <c r="AH19" s="89">
        <f t="shared" si="12"/>
        <v>1600000</v>
      </c>
      <c r="AI19" s="89">
        <f t="shared" si="8"/>
        <v>4935000</v>
      </c>
      <c r="AJ19" s="99"/>
      <c r="AP19" s="211"/>
      <c r="AQ19" s="211"/>
      <c r="AR19" s="211"/>
      <c r="AS19" s="211"/>
      <c r="AT19" s="211"/>
      <c r="AU19" s="211"/>
      <c r="AV19" s="211"/>
      <c r="AW19" s="211"/>
      <c r="AX19" s="211"/>
      <c r="AY19" s="211"/>
      <c r="AZ19" s="211"/>
      <c r="BA19" s="211"/>
      <c r="BB19" s="211"/>
    </row>
    <row r="20" spans="1:54">
      <c r="A20" s="105">
        <v>12</v>
      </c>
      <c r="B20" s="280" t="s">
        <v>457</v>
      </c>
      <c r="C20" s="281"/>
      <c r="D20" s="104" t="str">
        <f t="shared" si="0"/>
        <v>3</v>
      </c>
      <c r="E20" s="277" t="str">
        <f t="shared" si="1"/>
        <v>UNIVAC</v>
      </c>
      <c r="F20" s="278"/>
      <c r="G20" s="279"/>
      <c r="H20" s="277" t="str">
        <f t="shared" si="2"/>
        <v>6.000.000</v>
      </c>
      <c r="I20" s="279"/>
      <c r="J20" s="125" t="str">
        <f t="shared" si="3"/>
        <v>CASH</v>
      </c>
      <c r="K20" s="3">
        <f t="shared" si="4"/>
        <v>18000000</v>
      </c>
      <c r="L20" s="126">
        <f t="shared" si="5"/>
        <v>1260000.0000000002</v>
      </c>
      <c r="M20" s="104">
        <f t="shared" si="6"/>
        <v>360000</v>
      </c>
      <c r="N20" s="277">
        <f t="shared" si="7"/>
        <v>18900000</v>
      </c>
      <c r="O20" s="279"/>
      <c r="P20" s="99"/>
      <c r="S20" s="239" t="s">
        <v>515</v>
      </c>
      <c r="T20" s="239"/>
      <c r="U20" s="239"/>
      <c r="V20" s="239"/>
      <c r="W20" s="239"/>
      <c r="X20" s="239"/>
      <c r="Y20" s="239"/>
      <c r="Z20" s="239"/>
      <c r="AA20" s="239"/>
      <c r="AB20" s="239"/>
      <c r="AC20" s="239"/>
      <c r="AD20" s="239"/>
      <c r="AE20" s="239"/>
      <c r="AF20" s="239"/>
      <c r="AG20" s="239"/>
      <c r="AH20" s="239"/>
      <c r="AI20" s="239"/>
      <c r="AJ20" s="239"/>
      <c r="AP20" t="s">
        <v>545</v>
      </c>
    </row>
    <row r="21" spans="1:54" ht="15.5">
      <c r="A21" s="105">
        <v>13</v>
      </c>
      <c r="B21" s="280" t="s">
        <v>458</v>
      </c>
      <c r="C21" s="281"/>
      <c r="D21" s="104" t="str">
        <f t="shared" si="0"/>
        <v>6</v>
      </c>
      <c r="E21" s="277" t="str">
        <f t="shared" si="1"/>
        <v>IBM</v>
      </c>
      <c r="F21" s="278"/>
      <c r="G21" s="279"/>
      <c r="H21" s="277" t="str">
        <f t="shared" si="2"/>
        <v>5.000.000</v>
      </c>
      <c r="I21" s="279"/>
      <c r="J21" s="125" t="str">
        <f t="shared" si="3"/>
        <v>CASH</v>
      </c>
      <c r="K21" s="3">
        <f t="shared" si="4"/>
        <v>30000000</v>
      </c>
      <c r="L21" s="126">
        <f t="shared" si="5"/>
        <v>1500000</v>
      </c>
      <c r="M21" s="104">
        <f t="shared" si="6"/>
        <v>600000</v>
      </c>
      <c r="N21" s="277">
        <f t="shared" si="7"/>
        <v>30900000</v>
      </c>
      <c r="O21" s="279"/>
      <c r="P21" s="99"/>
      <c r="S21" s="236" t="s">
        <v>516</v>
      </c>
      <c r="T21" s="238"/>
      <c r="U21" s="236" t="s">
        <v>517</v>
      </c>
      <c r="V21" s="237"/>
      <c r="W21" s="237"/>
      <c r="X21" s="238"/>
      <c r="Y21" s="236" t="s">
        <v>518</v>
      </c>
      <c r="Z21" s="237"/>
      <c r="AA21" s="238"/>
      <c r="AB21" s="236" t="s">
        <v>519</v>
      </c>
      <c r="AC21" s="237"/>
      <c r="AD21" s="237"/>
      <c r="AE21" s="238"/>
      <c r="AF21" s="99"/>
      <c r="AG21" s="99"/>
      <c r="AH21" s="99"/>
      <c r="AI21" s="99"/>
      <c r="AJ21" s="99"/>
      <c r="AP21" t="s">
        <v>546</v>
      </c>
    </row>
    <row r="22" spans="1:54" ht="15.5" customHeight="1">
      <c r="A22" s="105">
        <v>14</v>
      </c>
      <c r="B22" s="280" t="s">
        <v>459</v>
      </c>
      <c r="C22" s="281"/>
      <c r="D22" s="104" t="str">
        <f t="shared" si="0"/>
        <v>8</v>
      </c>
      <c r="E22" s="277" t="str">
        <f t="shared" si="1"/>
        <v>RCA</v>
      </c>
      <c r="F22" s="278"/>
      <c r="G22" s="279"/>
      <c r="H22" s="277" t="str">
        <f t="shared" si="2"/>
        <v>4.500.000</v>
      </c>
      <c r="I22" s="279"/>
      <c r="J22" s="125" t="str">
        <f t="shared" si="3"/>
        <v>KREDIT</v>
      </c>
      <c r="K22" s="3">
        <f t="shared" si="4"/>
        <v>36000000</v>
      </c>
      <c r="L22" s="126">
        <f t="shared" si="5"/>
        <v>2160000</v>
      </c>
      <c r="M22" s="104">
        <f t="shared" si="6"/>
        <v>1800000</v>
      </c>
      <c r="N22" s="277">
        <f t="shared" si="7"/>
        <v>36360000</v>
      </c>
      <c r="O22" s="279"/>
      <c r="P22" s="99"/>
      <c r="S22" s="236" t="s">
        <v>520</v>
      </c>
      <c r="T22" s="238"/>
      <c r="U22" s="236" t="s">
        <v>521</v>
      </c>
      <c r="V22" s="237"/>
      <c r="W22" s="237"/>
      <c r="X22" s="238"/>
      <c r="Y22" s="236" t="s">
        <v>522</v>
      </c>
      <c r="Z22" s="237"/>
      <c r="AA22" s="238"/>
      <c r="AB22" s="236" t="s">
        <v>523</v>
      </c>
      <c r="AC22" s="237"/>
      <c r="AD22" s="237"/>
      <c r="AE22" s="238"/>
      <c r="AF22" s="99"/>
      <c r="AG22" s="99"/>
      <c r="AH22" s="99"/>
      <c r="AI22" s="99"/>
      <c r="AJ22" s="99"/>
      <c r="AP22" t="s">
        <v>547</v>
      </c>
    </row>
    <row r="23" spans="1:54">
      <c r="A23" s="253"/>
      <c r="B23" s="253"/>
      <c r="C23" s="253"/>
      <c r="D23" s="254"/>
      <c r="E23" s="282" t="s">
        <v>594</v>
      </c>
      <c r="F23" s="283"/>
      <c r="G23" s="283"/>
      <c r="H23" s="283"/>
      <c r="I23" s="283"/>
      <c r="J23" s="283"/>
      <c r="K23" s="284"/>
      <c r="L23" s="283"/>
      <c r="M23" s="285"/>
      <c r="N23" s="286">
        <f>SUM(N9:O22)</f>
        <v>301245000</v>
      </c>
      <c r="O23" s="287"/>
      <c r="P23" s="99"/>
      <c r="AP23" t="s">
        <v>548</v>
      </c>
    </row>
    <row r="24" spans="1:54" ht="108.5" customHeight="1">
      <c r="G24" s="99"/>
      <c r="H24" s="99"/>
      <c r="I24" s="99"/>
      <c r="J24" s="99"/>
      <c r="K24" s="99"/>
      <c r="L24" s="99"/>
      <c r="M24" s="99"/>
      <c r="N24" s="99"/>
      <c r="O24" s="99"/>
      <c r="P24" s="99"/>
      <c r="S24" s="209" t="s">
        <v>525</v>
      </c>
      <c r="T24" s="209"/>
      <c r="U24" s="209"/>
      <c r="V24" s="209"/>
      <c r="W24" s="209"/>
      <c r="X24" s="209"/>
      <c r="Y24" s="209"/>
      <c r="Z24" s="209"/>
      <c r="AB24" s="239" t="s">
        <v>530</v>
      </c>
      <c r="AC24" s="239"/>
      <c r="AD24" s="239"/>
      <c r="AE24" s="239"/>
      <c r="AF24" s="239"/>
      <c r="AG24" s="239"/>
      <c r="AH24" s="239"/>
      <c r="AI24" s="239"/>
      <c r="AP24" t="s">
        <v>549</v>
      </c>
    </row>
    <row r="25" spans="1:54" ht="15.5">
      <c r="G25" s="99"/>
      <c r="H25" s="99"/>
      <c r="I25" s="99"/>
      <c r="J25" s="99"/>
      <c r="K25" s="99"/>
      <c r="L25" s="99"/>
      <c r="M25" s="99"/>
      <c r="N25" s="99"/>
      <c r="O25" s="99"/>
      <c r="P25" s="99"/>
      <c r="S25" s="113" t="s">
        <v>526</v>
      </c>
      <c r="T25" s="212" t="s">
        <v>527</v>
      </c>
      <c r="U25" s="213"/>
      <c r="V25" s="212" t="s">
        <v>528</v>
      </c>
      <c r="W25" s="213"/>
      <c r="X25" s="212" t="s">
        <v>529</v>
      </c>
      <c r="Y25" s="213"/>
      <c r="Z25" s="99"/>
      <c r="AB25" s="113" t="s">
        <v>531</v>
      </c>
      <c r="AC25" s="240" t="s">
        <v>532</v>
      </c>
      <c r="AD25" s="241"/>
      <c r="AE25" s="242"/>
      <c r="AF25" s="240" t="s">
        <v>533</v>
      </c>
      <c r="AG25" s="242"/>
      <c r="AH25" s="99"/>
      <c r="AI25" s="99"/>
    </row>
    <row r="26" spans="1:54" ht="15.5">
      <c r="G26" s="99"/>
      <c r="H26" s="99"/>
      <c r="I26" s="99"/>
      <c r="J26" s="99"/>
      <c r="K26" s="99"/>
      <c r="L26" s="99"/>
      <c r="M26" s="99"/>
      <c r="N26" s="99"/>
      <c r="O26" s="99"/>
      <c r="P26" s="99"/>
      <c r="S26" s="114" t="s">
        <v>521</v>
      </c>
      <c r="T26" s="128">
        <v>7500000</v>
      </c>
      <c r="U26" s="129"/>
      <c r="V26" s="128">
        <v>8700000</v>
      </c>
      <c r="W26" s="129"/>
      <c r="X26" s="128">
        <v>10000000</v>
      </c>
      <c r="Y26" s="129"/>
      <c r="Z26" s="99"/>
      <c r="AB26" s="114" t="s">
        <v>521</v>
      </c>
      <c r="AC26" s="231">
        <v>6000000</v>
      </c>
      <c r="AD26" s="232"/>
      <c r="AE26" s="233"/>
      <c r="AF26" s="234">
        <v>500000</v>
      </c>
      <c r="AG26" s="235"/>
      <c r="AH26" s="99"/>
      <c r="AI26" s="99"/>
    </row>
    <row r="27" spans="1:54" ht="15.5">
      <c r="A27" s="288" t="s">
        <v>438</v>
      </c>
      <c r="B27" s="289"/>
      <c r="C27" s="290" t="s">
        <v>440</v>
      </c>
      <c r="D27" s="291"/>
      <c r="E27" s="291"/>
      <c r="F27" s="292"/>
      <c r="G27" s="99"/>
      <c r="H27" s="99"/>
      <c r="I27" s="99"/>
      <c r="J27" s="99"/>
      <c r="K27" s="99"/>
      <c r="L27" s="99"/>
      <c r="M27" s="99"/>
      <c r="N27" s="99"/>
      <c r="O27" s="99"/>
      <c r="P27" s="99"/>
      <c r="S27" s="114" t="s">
        <v>522</v>
      </c>
      <c r="T27" s="128">
        <v>5000000</v>
      </c>
      <c r="U27" s="129"/>
      <c r="V27" s="128">
        <v>6800000</v>
      </c>
      <c r="W27" s="129"/>
      <c r="X27" s="128">
        <v>7400000</v>
      </c>
      <c r="Y27" s="129"/>
      <c r="Z27" s="99"/>
      <c r="AB27" s="114" t="s">
        <v>522</v>
      </c>
      <c r="AC27" s="231">
        <v>2500000</v>
      </c>
      <c r="AD27" s="232"/>
      <c r="AE27" s="233"/>
      <c r="AF27" s="234">
        <v>300000</v>
      </c>
      <c r="AG27" s="235"/>
      <c r="AH27" s="99"/>
      <c r="AI27" s="99"/>
      <c r="AO27" t="s">
        <v>553</v>
      </c>
    </row>
    <row r="28" spans="1:54" ht="14.5" customHeight="1">
      <c r="A28" s="243" t="s">
        <v>460</v>
      </c>
      <c r="B28" s="245"/>
      <c r="C28" s="243" t="s">
        <v>461</v>
      </c>
      <c r="D28" s="244"/>
      <c r="E28" s="244"/>
      <c r="F28" s="245"/>
      <c r="S28" s="114" t="s">
        <v>523</v>
      </c>
      <c r="T28" s="128">
        <v>2000000</v>
      </c>
      <c r="U28" s="129"/>
      <c r="V28" s="128">
        <v>3100000</v>
      </c>
      <c r="W28" s="129"/>
      <c r="X28" s="128">
        <v>4300000</v>
      </c>
      <c r="Y28" s="129"/>
      <c r="Z28" s="99"/>
      <c r="AB28" s="114" t="s">
        <v>523</v>
      </c>
      <c r="AC28" s="231">
        <v>1300000</v>
      </c>
      <c r="AD28" s="232"/>
      <c r="AE28" s="233"/>
      <c r="AF28" s="234">
        <v>100000</v>
      </c>
      <c r="AG28" s="235"/>
      <c r="AH28" s="99"/>
      <c r="AI28" s="99"/>
    </row>
    <row r="29" spans="1:54" ht="14.5" customHeight="1">
      <c r="A29" s="243" t="s">
        <v>462</v>
      </c>
      <c r="B29" s="245"/>
      <c r="C29" s="243" t="s">
        <v>463</v>
      </c>
      <c r="D29" s="244"/>
      <c r="E29" s="244"/>
      <c r="F29" s="245"/>
    </row>
    <row r="30" spans="1:54" ht="14.5" customHeight="1">
      <c r="A30" s="106" t="s">
        <v>464</v>
      </c>
      <c r="B30" s="107"/>
      <c r="C30" s="106" t="s">
        <v>465</v>
      </c>
      <c r="D30" s="108"/>
      <c r="E30" s="108"/>
      <c r="F30" s="107"/>
      <c r="S30" t="s">
        <v>536</v>
      </c>
    </row>
    <row r="31" spans="1:54" ht="14.5" customHeight="1">
      <c r="S31" s="117"/>
      <c r="T31" s="117"/>
      <c r="U31" s="117"/>
      <c r="V31" s="117"/>
      <c r="W31" s="117"/>
      <c r="X31" s="117"/>
      <c r="Y31" s="117"/>
      <c r="Z31" s="117"/>
    </row>
    <row r="32" spans="1:54" ht="15.5">
      <c r="S32" s="114" t="s">
        <v>534</v>
      </c>
      <c r="T32" s="115" t="s">
        <v>535</v>
      </c>
      <c r="U32" s="99"/>
      <c r="V32" s="99"/>
      <c r="W32" s="99"/>
      <c r="X32" s="99"/>
      <c r="Y32" s="99"/>
      <c r="Z32" s="99"/>
    </row>
    <row r="33" spans="1:58" ht="15.5">
      <c r="S33" s="114" t="s">
        <v>521</v>
      </c>
      <c r="T33" s="116">
        <v>0.15</v>
      </c>
      <c r="U33" s="99"/>
      <c r="V33" s="99"/>
      <c r="W33" s="99"/>
      <c r="X33" s="99"/>
      <c r="Y33" s="99"/>
      <c r="Z33" s="99"/>
    </row>
    <row r="34" spans="1:58" ht="14.5" customHeight="1">
      <c r="A34" s="268" t="s">
        <v>438</v>
      </c>
      <c r="B34" s="269"/>
      <c r="C34" s="270"/>
      <c r="D34" s="243" t="s">
        <v>464</v>
      </c>
      <c r="E34" s="245"/>
      <c r="F34" s="243" t="s">
        <v>466</v>
      </c>
      <c r="G34" s="244"/>
      <c r="H34" s="245"/>
      <c r="I34" s="99"/>
      <c r="J34" s="99"/>
      <c r="K34" s="99"/>
      <c r="L34" s="99"/>
      <c r="M34" s="99"/>
      <c r="N34" s="99"/>
      <c r="O34" s="99"/>
      <c r="P34" s="99"/>
      <c r="S34" s="114" t="s">
        <v>522</v>
      </c>
      <c r="T34" s="116">
        <v>0.1</v>
      </c>
      <c r="U34" s="99"/>
      <c r="V34" s="99"/>
      <c r="W34" s="99"/>
      <c r="X34" s="99"/>
      <c r="Y34" s="99"/>
      <c r="Z34" s="99"/>
    </row>
    <row r="35" spans="1:58" ht="31">
      <c r="A35" s="268" t="s">
        <v>442</v>
      </c>
      <c r="B35" s="269"/>
      <c r="C35" s="270"/>
      <c r="D35" s="243" t="s">
        <v>467</v>
      </c>
      <c r="E35" s="245"/>
      <c r="F35" s="243" t="s">
        <v>468</v>
      </c>
      <c r="G35" s="244"/>
      <c r="H35" s="245"/>
      <c r="I35" s="99"/>
      <c r="J35" s="99"/>
      <c r="K35" s="99"/>
      <c r="L35" s="99"/>
      <c r="M35" s="99"/>
      <c r="N35" s="99"/>
      <c r="O35" s="99"/>
      <c r="P35" s="99"/>
      <c r="S35" s="114" t="s">
        <v>523</v>
      </c>
      <c r="T35" s="116">
        <v>0.05</v>
      </c>
      <c r="U35" s="99"/>
      <c r="V35" s="99"/>
      <c r="W35" s="99"/>
      <c r="X35" s="99"/>
      <c r="Y35" s="99"/>
      <c r="Z35" s="99"/>
    </row>
    <row r="36" spans="1:58" ht="75" customHeight="1">
      <c r="A36" s="209" t="s">
        <v>469</v>
      </c>
      <c r="B36" s="209"/>
      <c r="C36" s="209"/>
      <c r="D36" s="209"/>
      <c r="E36" s="209"/>
      <c r="F36" s="209"/>
      <c r="G36" s="209"/>
      <c r="H36" s="209"/>
      <c r="I36" s="209"/>
      <c r="J36" s="209"/>
      <c r="K36" s="209"/>
      <c r="L36" s="209"/>
      <c r="M36" s="209"/>
      <c r="N36" s="209"/>
      <c r="O36" s="209"/>
      <c r="P36" s="209"/>
      <c r="S36" s="210"/>
      <c r="T36" s="209"/>
      <c r="U36" s="209"/>
      <c r="V36" s="209"/>
      <c r="W36" s="209"/>
      <c r="X36" s="209"/>
      <c r="Y36" s="209"/>
      <c r="Z36" s="209"/>
    </row>
    <row r="37" spans="1:58">
      <c r="A37" s="267" t="s">
        <v>470</v>
      </c>
      <c r="B37" s="267"/>
      <c r="C37" s="267"/>
      <c r="D37" s="267"/>
      <c r="E37" s="267"/>
      <c r="F37" s="267"/>
      <c r="G37" s="267"/>
      <c r="H37" s="267"/>
      <c r="I37" s="267"/>
      <c r="J37" s="267"/>
      <c r="K37" s="267"/>
      <c r="L37" s="267"/>
      <c r="M37" s="267"/>
      <c r="N37" s="267"/>
      <c r="O37" s="267"/>
      <c r="P37" s="267"/>
      <c r="S37" t="s">
        <v>537</v>
      </c>
    </row>
    <row r="38" spans="1:58">
      <c r="S38" t="s">
        <v>538</v>
      </c>
    </row>
    <row r="39" spans="1:58">
      <c r="S39" t="s">
        <v>539</v>
      </c>
    </row>
    <row r="40" spans="1:58" ht="15" thickBot="1">
      <c r="A40" s="243" t="s">
        <v>471</v>
      </c>
      <c r="B40" s="244"/>
      <c r="C40" s="244"/>
      <c r="D40" s="244"/>
      <c r="E40" s="245"/>
      <c r="F40" s="226"/>
      <c r="G40" s="227"/>
      <c r="H40" s="227"/>
      <c r="I40" s="227"/>
      <c r="J40" s="227"/>
      <c r="K40" s="228"/>
      <c r="L40" s="226"/>
      <c r="M40" s="227"/>
      <c r="N40" s="228"/>
      <c r="O40" s="99"/>
      <c r="P40" s="99"/>
      <c r="Q40" s="99"/>
      <c r="R40" s="99"/>
    </row>
    <row r="41" spans="1:58">
      <c r="A41" s="243" t="s">
        <v>441</v>
      </c>
      <c r="B41" s="244"/>
      <c r="C41" s="244"/>
      <c r="D41" s="244"/>
      <c r="E41" s="245"/>
      <c r="F41" s="243" t="s">
        <v>444</v>
      </c>
      <c r="G41" s="244"/>
      <c r="H41" s="244"/>
      <c r="I41" s="244"/>
      <c r="J41" s="244"/>
      <c r="K41" s="245"/>
      <c r="L41" s="243" t="s">
        <v>445</v>
      </c>
      <c r="M41" s="244"/>
      <c r="N41" s="245"/>
      <c r="O41" s="99"/>
      <c r="P41" s="99"/>
      <c r="Q41" s="99"/>
      <c r="R41" s="99"/>
      <c r="AO41" t="s">
        <v>554</v>
      </c>
      <c r="AP41" s="122"/>
      <c r="AQ41" s="122" t="s">
        <v>555</v>
      </c>
      <c r="AR41" s="122" t="s">
        <v>556</v>
      </c>
      <c r="AW41" s="122"/>
      <c r="AX41" s="122" t="s">
        <v>555</v>
      </c>
      <c r="AY41" s="122" t="s">
        <v>556</v>
      </c>
    </row>
    <row r="42" spans="1:58">
      <c r="A42" s="249" t="s">
        <v>472</v>
      </c>
      <c r="B42" s="250"/>
      <c r="C42" s="250"/>
      <c r="D42" s="250"/>
      <c r="E42" s="251"/>
      <c r="F42" s="249" t="s">
        <v>473</v>
      </c>
      <c r="G42" s="250"/>
      <c r="H42" s="250"/>
      <c r="I42" s="250"/>
      <c r="J42" s="250"/>
      <c r="K42" s="251"/>
      <c r="L42" s="252" t="s">
        <v>474</v>
      </c>
      <c r="M42" s="253"/>
      <c r="N42" s="254"/>
      <c r="O42" s="99"/>
      <c r="P42" s="99"/>
      <c r="Q42" s="99"/>
      <c r="R42" s="99"/>
      <c r="AP42" t="s">
        <v>555</v>
      </c>
      <c r="AQ42">
        <v>1</v>
      </c>
      <c r="AW42" t="s">
        <v>555</v>
      </c>
      <c r="AX42">
        <v>1</v>
      </c>
    </row>
    <row r="43" spans="1:58" ht="15" thickBot="1">
      <c r="A43" s="261" t="s">
        <v>475</v>
      </c>
      <c r="B43" s="262"/>
      <c r="C43" s="262"/>
      <c r="D43" s="262"/>
      <c r="E43" s="263"/>
      <c r="F43" s="261" t="s">
        <v>476</v>
      </c>
      <c r="G43" s="262"/>
      <c r="H43" s="262"/>
      <c r="I43" s="262"/>
      <c r="J43" s="262"/>
      <c r="K43" s="263"/>
      <c r="L43" s="255"/>
      <c r="M43" s="256"/>
      <c r="N43" s="257"/>
      <c r="O43" s="99"/>
      <c r="P43" s="99"/>
      <c r="Q43" s="99"/>
      <c r="R43" s="99"/>
      <c r="AP43" s="121" t="s">
        <v>556</v>
      </c>
      <c r="AQ43" s="121">
        <v>0.87477884475876022</v>
      </c>
      <c r="AR43" s="121">
        <v>1</v>
      </c>
      <c r="AW43" s="121" t="s">
        <v>556</v>
      </c>
      <c r="AX43" s="121">
        <v>-0.92378208814555973</v>
      </c>
      <c r="AY43" s="121">
        <v>1</v>
      </c>
    </row>
    <row r="44" spans="1:58">
      <c r="A44" s="264" t="s">
        <v>477</v>
      </c>
      <c r="B44" s="265"/>
      <c r="C44" s="265"/>
      <c r="D44" s="265"/>
      <c r="E44" s="266"/>
      <c r="F44" s="264" t="s">
        <v>478</v>
      </c>
      <c r="G44" s="265"/>
      <c r="H44" s="265"/>
      <c r="I44" s="265"/>
      <c r="J44" s="265"/>
      <c r="K44" s="266"/>
      <c r="L44" s="258"/>
      <c r="M44" s="259"/>
      <c r="N44" s="260"/>
      <c r="O44" s="99"/>
      <c r="P44" s="99"/>
      <c r="Q44" s="99"/>
      <c r="R44" s="99"/>
    </row>
    <row r="45" spans="1:58" ht="32.5" customHeight="1">
      <c r="A45" s="267" t="s">
        <v>479</v>
      </c>
      <c r="B45" s="267"/>
      <c r="C45" s="267"/>
      <c r="D45" s="267"/>
      <c r="E45" s="267"/>
      <c r="F45" s="267"/>
      <c r="G45" s="267"/>
      <c r="H45" s="267"/>
      <c r="I45" s="267"/>
      <c r="J45" s="267"/>
      <c r="K45" s="267"/>
      <c r="L45" s="267"/>
      <c r="M45" s="267"/>
      <c r="N45" s="267"/>
      <c r="O45" s="267"/>
      <c r="P45" s="267"/>
      <c r="Q45" s="267"/>
      <c r="R45" s="267"/>
      <c r="AP45">
        <f>CORREL(AQ13:AY13,AQ14:AY14)</f>
        <v>0.87477884475876022</v>
      </c>
      <c r="AW45">
        <f>CORREL(AQ17:BA17,AQ18:BA18)</f>
        <v>-0.92378208814555973</v>
      </c>
    </row>
    <row r="46" spans="1:58" ht="14.5" customHeight="1">
      <c r="A46" s="246" t="s">
        <v>480</v>
      </c>
      <c r="B46" s="247"/>
      <c r="C46" s="248"/>
      <c r="D46" s="246" t="s">
        <v>481</v>
      </c>
      <c r="E46" s="247"/>
      <c r="F46" s="247"/>
      <c r="G46" s="247"/>
      <c r="H46" s="248"/>
      <c r="I46" s="99"/>
      <c r="J46" s="99"/>
      <c r="K46" s="99"/>
      <c r="L46" s="99"/>
      <c r="M46" s="99"/>
      <c r="N46" s="99"/>
      <c r="O46" s="99"/>
      <c r="P46" s="99"/>
      <c r="Q46" s="99"/>
      <c r="R46" s="99"/>
    </row>
    <row r="47" spans="1:58">
      <c r="A47" s="243" t="s">
        <v>461</v>
      </c>
      <c r="B47" s="244"/>
      <c r="C47" s="245"/>
      <c r="D47" s="226">
        <f ca="1">SUMIF(E9:G22,A47,D9:D22)</f>
        <v>0</v>
      </c>
      <c r="E47" s="227"/>
      <c r="F47" s="227"/>
      <c r="G47" s="227"/>
      <c r="H47" s="228"/>
      <c r="I47" s="99"/>
      <c r="J47" s="99"/>
      <c r="K47" s="99"/>
      <c r="L47" s="99"/>
      <c r="M47" s="99"/>
      <c r="N47" s="99"/>
      <c r="O47" s="99"/>
      <c r="P47" s="99"/>
      <c r="Q47" s="99"/>
      <c r="R47" s="99"/>
      <c r="BB47" t="s">
        <v>558</v>
      </c>
      <c r="BF47" t="s">
        <v>593</v>
      </c>
    </row>
    <row r="48" spans="1:58" ht="15" thickBot="1">
      <c r="A48" s="243" t="s">
        <v>463</v>
      </c>
      <c r="B48" s="244"/>
      <c r="C48" s="245"/>
      <c r="D48" s="226">
        <f t="shared" ref="D48:D49" ca="1" si="14">SUMIF(E10:G23,A48,D10:D23)</f>
        <v>0</v>
      </c>
      <c r="E48" s="227"/>
      <c r="F48" s="227"/>
      <c r="G48" s="227"/>
      <c r="H48" s="228"/>
      <c r="I48" s="99"/>
      <c r="J48" s="99"/>
      <c r="K48" s="99"/>
      <c r="L48" s="99"/>
      <c r="M48" s="99"/>
      <c r="N48" s="99"/>
      <c r="O48" s="99"/>
      <c r="P48" s="99"/>
      <c r="Q48" s="99"/>
      <c r="R48" s="99"/>
      <c r="AO48" t="s">
        <v>557</v>
      </c>
      <c r="AP48" t="s">
        <v>558</v>
      </c>
      <c r="AT48" t="s">
        <v>593</v>
      </c>
    </row>
    <row r="49" spans="1:62" ht="15" thickBot="1">
      <c r="A49" s="243" t="s">
        <v>465</v>
      </c>
      <c r="B49" s="244"/>
      <c r="C49" s="245"/>
      <c r="D49" s="226">
        <f t="shared" ca="1" si="14"/>
        <v>0</v>
      </c>
      <c r="E49" s="227"/>
      <c r="F49" s="227"/>
      <c r="G49" s="227"/>
      <c r="H49" s="228"/>
      <c r="I49" s="99"/>
      <c r="J49" s="99"/>
      <c r="K49" s="99"/>
      <c r="L49" s="99"/>
      <c r="M49" s="99"/>
      <c r="N49" s="99"/>
      <c r="O49" s="99"/>
      <c r="P49" s="99"/>
      <c r="Q49" s="99"/>
      <c r="R49" s="99"/>
      <c r="BB49" s="123" t="s">
        <v>559</v>
      </c>
      <c r="BC49" s="123"/>
    </row>
    <row r="50" spans="1:62" ht="14.5" customHeight="1">
      <c r="A50" s="267" t="s">
        <v>482</v>
      </c>
      <c r="B50" s="267"/>
      <c r="C50" s="267"/>
      <c r="D50" s="267"/>
      <c r="E50" s="267"/>
      <c r="F50" s="267"/>
      <c r="G50" s="267"/>
      <c r="H50" s="267"/>
      <c r="I50" s="267"/>
      <c r="J50" s="267"/>
      <c r="K50" s="267"/>
      <c r="L50" s="267"/>
      <c r="M50" s="267"/>
      <c r="N50" s="267"/>
      <c r="O50" s="267"/>
      <c r="P50" s="267"/>
      <c r="Q50" s="267"/>
      <c r="R50" s="267"/>
      <c r="AP50" s="123" t="s">
        <v>559</v>
      </c>
      <c r="AQ50" s="123"/>
      <c r="BB50" s="124" t="s">
        <v>560</v>
      </c>
      <c r="BC50" s="124">
        <v>0.84529582443897977</v>
      </c>
    </row>
    <row r="51" spans="1:62" ht="14.5" customHeight="1">
      <c r="A51" s="268" t="s">
        <v>442</v>
      </c>
      <c r="B51" s="269"/>
      <c r="C51" s="270"/>
      <c r="D51" s="268" t="s">
        <v>483</v>
      </c>
      <c r="E51" s="269"/>
      <c r="F51" s="269"/>
      <c r="G51" s="269"/>
      <c r="H51" s="270"/>
      <c r="I51" s="99"/>
      <c r="J51" s="99"/>
      <c r="K51" s="99"/>
      <c r="L51" s="99"/>
      <c r="M51" s="99"/>
      <c r="N51" s="99"/>
      <c r="O51" s="99"/>
      <c r="P51" s="99"/>
      <c r="Q51" s="99"/>
      <c r="R51" s="99"/>
      <c r="AP51" s="124" t="s">
        <v>560</v>
      </c>
      <c r="AQ51" s="124">
        <v>0.99707571591667365</v>
      </c>
      <c r="BB51" t="s">
        <v>561</v>
      </c>
      <c r="BC51">
        <v>0.71452503081397456</v>
      </c>
    </row>
    <row r="52" spans="1:62">
      <c r="A52" s="243" t="s">
        <v>468</v>
      </c>
      <c r="B52" s="244"/>
      <c r="C52" s="245"/>
      <c r="D52" s="226">
        <f>COUNTIF(J9:J22,"KREDIT")</f>
        <v>7</v>
      </c>
      <c r="E52" s="227"/>
      <c r="F52" s="227"/>
      <c r="G52" s="227"/>
      <c r="H52" s="228"/>
      <c r="I52" s="99"/>
      <c r="J52" s="99"/>
      <c r="K52" s="99"/>
      <c r="L52" s="99"/>
      <c r="M52" s="99"/>
      <c r="N52" s="99"/>
      <c r="O52" s="99"/>
      <c r="P52" s="99"/>
      <c r="Q52" s="99"/>
      <c r="R52" s="99"/>
      <c r="AP52" t="s">
        <v>561</v>
      </c>
      <c r="AQ52">
        <v>0.99415998327074739</v>
      </c>
      <c r="BB52" t="s">
        <v>562</v>
      </c>
      <c r="BC52">
        <v>-1.1000000000000001</v>
      </c>
    </row>
    <row r="53" spans="1:62">
      <c r="A53" s="243" t="s">
        <v>467</v>
      </c>
      <c r="B53" s="244"/>
      <c r="C53" s="245"/>
      <c r="D53" s="226">
        <f>COUNTIF(J9:J22,"CASH")</f>
        <v>7</v>
      </c>
      <c r="E53" s="227"/>
      <c r="F53" s="227"/>
      <c r="G53" s="227"/>
      <c r="H53" s="228"/>
      <c r="I53" s="99"/>
      <c r="J53" s="99"/>
      <c r="K53" s="99"/>
      <c r="L53" s="99"/>
      <c r="M53" s="99"/>
      <c r="N53" s="99"/>
      <c r="O53" s="99"/>
      <c r="P53" s="99"/>
      <c r="Q53" s="99"/>
      <c r="R53" s="99"/>
      <c r="AP53" t="s">
        <v>562</v>
      </c>
      <c r="AQ53">
        <v>-1.125</v>
      </c>
      <c r="BB53" t="s">
        <v>563</v>
      </c>
      <c r="BC53">
        <v>3.0506530440980058</v>
      </c>
    </row>
    <row r="54" spans="1:62" ht="57" customHeight="1" thickBot="1">
      <c r="A54" s="209" t="s">
        <v>484</v>
      </c>
      <c r="B54" s="209"/>
      <c r="C54" s="209"/>
      <c r="D54" s="209"/>
      <c r="E54" s="209"/>
      <c r="F54" s="209"/>
      <c r="G54" s="209"/>
      <c r="H54" s="209"/>
      <c r="I54" s="209"/>
      <c r="J54" s="209"/>
      <c r="K54" s="209"/>
      <c r="L54" s="209"/>
      <c r="M54" s="209"/>
      <c r="N54" s="209"/>
      <c r="O54" s="209"/>
      <c r="P54" s="209"/>
      <c r="Q54" s="209"/>
      <c r="R54" s="209"/>
      <c r="AP54" t="s">
        <v>563</v>
      </c>
      <c r="AQ54">
        <v>5.5063515011390902E-2</v>
      </c>
      <c r="BB54" s="121" t="s">
        <v>564</v>
      </c>
      <c r="BC54" s="121">
        <v>1</v>
      </c>
    </row>
    <row r="55" spans="1:62" ht="15" thickBot="1">
      <c r="AP55" s="121" t="s">
        <v>564</v>
      </c>
      <c r="AQ55" s="121">
        <v>1</v>
      </c>
    </row>
    <row r="56" spans="1:62" ht="15" thickBot="1">
      <c r="BB56" t="s">
        <v>565</v>
      </c>
    </row>
    <row r="57" spans="1:62" ht="15" thickBot="1">
      <c r="AP57" t="s">
        <v>565</v>
      </c>
      <c r="BB57" s="122"/>
      <c r="BC57" s="122" t="s">
        <v>570</v>
      </c>
      <c r="BD57" s="122" t="s">
        <v>571</v>
      </c>
      <c r="BE57" s="122" t="s">
        <v>572</v>
      </c>
      <c r="BF57" s="122" t="s">
        <v>573</v>
      </c>
      <c r="BG57" s="122" t="s">
        <v>574</v>
      </c>
    </row>
    <row r="58" spans="1:62">
      <c r="AP58" s="122"/>
      <c r="AQ58" s="122" t="s">
        <v>570</v>
      </c>
      <c r="AR58" s="122" t="s">
        <v>571</v>
      </c>
      <c r="AS58" s="122" t="s">
        <v>572</v>
      </c>
      <c r="AT58" s="122" t="s">
        <v>573</v>
      </c>
      <c r="AU58" s="122" t="s">
        <v>574</v>
      </c>
      <c r="BB58" t="s">
        <v>566</v>
      </c>
      <c r="BC58">
        <v>11</v>
      </c>
      <c r="BD58">
        <v>232.9351600453557</v>
      </c>
      <c r="BE58">
        <v>21.175923640486882</v>
      </c>
      <c r="BF58">
        <v>25.029340850838839</v>
      </c>
      <c r="BG58" t="e">
        <v>#NUM!</v>
      </c>
    </row>
    <row r="59" spans="1:62">
      <c r="AP59" t="s">
        <v>566</v>
      </c>
      <c r="AQ59">
        <v>9</v>
      </c>
      <c r="AR59">
        <v>4.1291440745167218</v>
      </c>
      <c r="AS59">
        <v>0.45879378605741356</v>
      </c>
      <c r="AT59">
        <v>1361.8590896029773</v>
      </c>
      <c r="AU59" t="e">
        <v>#NUM!</v>
      </c>
      <c r="BB59" t="s">
        <v>567</v>
      </c>
      <c r="BC59">
        <v>10</v>
      </c>
      <c r="BD59">
        <v>93.064839954644285</v>
      </c>
      <c r="BE59">
        <v>9.3064839954644292</v>
      </c>
    </row>
    <row r="60" spans="1:62" ht="15" thickBot="1">
      <c r="AP60" t="s">
        <v>567</v>
      </c>
      <c r="AQ60">
        <v>8</v>
      </c>
      <c r="AR60">
        <v>2.4255925483277371E-2</v>
      </c>
      <c r="AS60">
        <v>3.0319906854096713E-3</v>
      </c>
      <c r="BB60" s="121" t="s">
        <v>568</v>
      </c>
      <c r="BC60" s="121">
        <v>21</v>
      </c>
      <c r="BD60" s="121">
        <v>326</v>
      </c>
      <c r="BE60" s="121"/>
      <c r="BF60" s="121"/>
      <c r="BG60" s="121"/>
    </row>
    <row r="61" spans="1:62" ht="15" thickBot="1">
      <c r="AP61" s="121" t="s">
        <v>568</v>
      </c>
      <c r="AQ61" s="121">
        <v>17</v>
      </c>
      <c r="AR61" s="121">
        <v>4.1533999999999995</v>
      </c>
      <c r="AS61" s="121"/>
      <c r="AT61" s="121"/>
      <c r="AU61" s="121"/>
    </row>
    <row r="62" spans="1:62" ht="15" thickBot="1">
      <c r="BB62" s="122"/>
      <c r="BC62" s="122" t="s">
        <v>575</v>
      </c>
      <c r="BD62" s="122" t="s">
        <v>563</v>
      </c>
      <c r="BE62" s="122" t="s">
        <v>576</v>
      </c>
      <c r="BF62" s="122" t="s">
        <v>577</v>
      </c>
      <c r="BG62" s="122" t="s">
        <v>578</v>
      </c>
      <c r="BH62" s="122" t="s">
        <v>579</v>
      </c>
      <c r="BI62" s="122" t="s">
        <v>580</v>
      </c>
      <c r="BJ62" s="122" t="s">
        <v>581</v>
      </c>
    </row>
    <row r="63" spans="1:62">
      <c r="AP63" s="122"/>
      <c r="AQ63" s="122" t="s">
        <v>575</v>
      </c>
      <c r="AR63" s="122" t="s">
        <v>563</v>
      </c>
      <c r="AS63" s="122" t="s">
        <v>576</v>
      </c>
      <c r="AT63" s="122" t="s">
        <v>577</v>
      </c>
      <c r="AU63" s="122" t="s">
        <v>578</v>
      </c>
      <c r="AV63" s="122" t="s">
        <v>579</v>
      </c>
      <c r="AW63" s="122" t="s">
        <v>580</v>
      </c>
      <c r="AX63" s="122" t="s">
        <v>581</v>
      </c>
      <c r="BB63" t="s">
        <v>569</v>
      </c>
      <c r="BI63">
        <v>1.3795960198175197E-306</v>
      </c>
      <c r="BJ63">
        <v>1.3796381652317E-306</v>
      </c>
    </row>
    <row r="64" spans="1:62">
      <c r="AP64" t="s">
        <v>569</v>
      </c>
      <c r="AW64">
        <v>0</v>
      </c>
      <c r="AX64">
        <v>0</v>
      </c>
      <c r="BB64" t="s">
        <v>582</v>
      </c>
      <c r="BI64">
        <v>0</v>
      </c>
      <c r="BJ64">
        <v>0</v>
      </c>
    </row>
    <row r="65" spans="42:62">
      <c r="AP65" t="s">
        <v>582</v>
      </c>
      <c r="AW65">
        <v>0</v>
      </c>
      <c r="AX65">
        <v>0</v>
      </c>
      <c r="BB65" t="s">
        <v>583</v>
      </c>
      <c r="BI65">
        <v>0</v>
      </c>
      <c r="BJ65">
        <v>0</v>
      </c>
    </row>
    <row r="66" spans="42:62">
      <c r="AP66" t="s">
        <v>583</v>
      </c>
      <c r="AW66">
        <v>0</v>
      </c>
      <c r="AX66">
        <v>0</v>
      </c>
      <c r="BB66" t="s">
        <v>584</v>
      </c>
      <c r="BI66">
        <v>0</v>
      </c>
      <c r="BJ66">
        <v>0</v>
      </c>
    </row>
    <row r="67" spans="42:62">
      <c r="AP67" t="s">
        <v>584</v>
      </c>
      <c r="AW67">
        <v>0</v>
      </c>
      <c r="AX67">
        <v>0</v>
      </c>
      <c r="BB67" t="s">
        <v>585</v>
      </c>
      <c r="BI67">
        <v>0</v>
      </c>
      <c r="BJ67">
        <v>0</v>
      </c>
    </row>
    <row r="68" spans="42:62">
      <c r="AP68" t="s">
        <v>585</v>
      </c>
      <c r="AW68">
        <v>0</v>
      </c>
      <c r="AX68">
        <v>0</v>
      </c>
      <c r="BB68" t="s">
        <v>586</v>
      </c>
      <c r="BI68">
        <v>0</v>
      </c>
      <c r="BJ68">
        <v>0</v>
      </c>
    </row>
    <row r="69" spans="42:62">
      <c r="AP69" t="s">
        <v>586</v>
      </c>
      <c r="AW69">
        <v>7.4718552637379927E-299</v>
      </c>
      <c r="AX69">
        <v>7.4718552637379927E-299</v>
      </c>
      <c r="BB69" t="s">
        <v>587</v>
      </c>
      <c r="BI69">
        <v>0</v>
      </c>
      <c r="BJ69">
        <v>0</v>
      </c>
    </row>
    <row r="70" spans="42:62">
      <c r="AP70" t="s">
        <v>587</v>
      </c>
      <c r="AW70">
        <v>0</v>
      </c>
      <c r="AX70">
        <v>0</v>
      </c>
      <c r="BB70" t="s">
        <v>588</v>
      </c>
      <c r="BI70">
        <v>0</v>
      </c>
      <c r="BJ70">
        <v>0</v>
      </c>
    </row>
    <row r="71" spans="42:62">
      <c r="AP71" t="s">
        <v>588</v>
      </c>
      <c r="AW71">
        <v>0</v>
      </c>
      <c r="AX71">
        <v>0</v>
      </c>
      <c r="BB71" t="s">
        <v>589</v>
      </c>
      <c r="BI71">
        <v>0</v>
      </c>
      <c r="BJ71">
        <v>0</v>
      </c>
    </row>
    <row r="72" spans="42:62">
      <c r="AP72" t="s">
        <v>589</v>
      </c>
      <c r="AQ72">
        <v>0</v>
      </c>
      <c r="AR72" t="e">
        <v>#N/A</v>
      </c>
      <c r="AS72">
        <v>0</v>
      </c>
      <c r="AT72">
        <v>1</v>
      </c>
      <c r="AU72">
        <v>0</v>
      </c>
      <c r="AV72">
        <v>0</v>
      </c>
      <c r="AW72">
        <v>0</v>
      </c>
      <c r="AX72">
        <v>0</v>
      </c>
      <c r="BB72" t="s">
        <v>590</v>
      </c>
      <c r="BI72">
        <v>0</v>
      </c>
      <c r="BJ72">
        <v>0</v>
      </c>
    </row>
    <row r="73" spans="42:62" ht="15" thickBot="1">
      <c r="AP73" s="121" t="s">
        <v>590</v>
      </c>
      <c r="AQ73" s="121">
        <v>0.88505681710394024</v>
      </c>
      <c r="AR73" s="121">
        <v>2.3983085993086121E-2</v>
      </c>
      <c r="AS73" s="121">
        <v>36.90337504352383</v>
      </c>
      <c r="AT73" s="121">
        <v>3.1880966649563216E-10</v>
      </c>
      <c r="AU73" s="121">
        <v>0.82975172162892652</v>
      </c>
      <c r="AV73" s="121">
        <v>0.94036191257895396</v>
      </c>
      <c r="AW73" s="121">
        <v>0.82975172162892652</v>
      </c>
      <c r="AX73" s="121">
        <v>0.94036191257895396</v>
      </c>
      <c r="BB73" t="s">
        <v>591</v>
      </c>
      <c r="BC73">
        <v>0</v>
      </c>
      <c r="BD73" t="e">
        <v>#N/A</v>
      </c>
      <c r="BE73">
        <v>0</v>
      </c>
      <c r="BF73">
        <v>1</v>
      </c>
      <c r="BG73">
        <v>0</v>
      </c>
      <c r="BH73">
        <v>0</v>
      </c>
      <c r="BI73">
        <v>0</v>
      </c>
      <c r="BJ73">
        <v>0</v>
      </c>
    </row>
    <row r="74" spans="42:62" ht="15" thickBot="1">
      <c r="BB74" s="121" t="s">
        <v>592</v>
      </c>
      <c r="BC74" s="121">
        <v>4.9225519874335523E-2</v>
      </c>
      <c r="BD74" s="121">
        <v>9.8393317806587666E-3</v>
      </c>
      <c r="BE74" s="121">
        <v>5.0029332247031677</v>
      </c>
      <c r="BF74" s="121">
        <v>5.3501582797048342E-4</v>
      </c>
      <c r="BG74" s="121">
        <v>2.7302122456266432E-2</v>
      </c>
      <c r="BH74" s="121">
        <v>7.1148917292404606E-2</v>
      </c>
      <c r="BI74" s="121">
        <v>2.7302122456266432E-2</v>
      </c>
      <c r="BJ74" s="121">
        <v>7.1148917292404606E-2</v>
      </c>
    </row>
  </sheetData>
  <mergeCells count="202">
    <mergeCell ref="A28:B28"/>
    <mergeCell ref="C28:F28"/>
    <mergeCell ref="A36:P36"/>
    <mergeCell ref="A37:P37"/>
    <mergeCell ref="A34:C34"/>
    <mergeCell ref="D34:E34"/>
    <mergeCell ref="F34:H34"/>
    <mergeCell ref="A35:C35"/>
    <mergeCell ref="D35:E35"/>
    <mergeCell ref="F35:H35"/>
    <mergeCell ref="C29:F29"/>
    <mergeCell ref="A29:B29"/>
    <mergeCell ref="B22:C22"/>
    <mergeCell ref="E22:G22"/>
    <mergeCell ref="H22:I22"/>
    <mergeCell ref="N22:O22"/>
    <mergeCell ref="A23:D23"/>
    <mergeCell ref="E23:M23"/>
    <mergeCell ref="N23:O23"/>
    <mergeCell ref="A27:B27"/>
    <mergeCell ref="C27:F27"/>
    <mergeCell ref="B19:C19"/>
    <mergeCell ref="E19:G19"/>
    <mergeCell ref="H19:I19"/>
    <mergeCell ref="N19:O19"/>
    <mergeCell ref="B20:C20"/>
    <mergeCell ref="E20:G20"/>
    <mergeCell ref="H20:I20"/>
    <mergeCell ref="N20:O20"/>
    <mergeCell ref="B21:C21"/>
    <mergeCell ref="E21:G21"/>
    <mergeCell ref="H21:I21"/>
    <mergeCell ref="N21:O21"/>
    <mergeCell ref="B16:C16"/>
    <mergeCell ref="E16:G16"/>
    <mergeCell ref="H16:I16"/>
    <mergeCell ref="N16:O16"/>
    <mergeCell ref="B17:C17"/>
    <mergeCell ref="E17:G17"/>
    <mergeCell ref="H17:I17"/>
    <mergeCell ref="N17:O17"/>
    <mergeCell ref="B18:C18"/>
    <mergeCell ref="E18:G18"/>
    <mergeCell ref="H18:I18"/>
    <mergeCell ref="N18:O18"/>
    <mergeCell ref="B13:C13"/>
    <mergeCell ref="E13:G13"/>
    <mergeCell ref="H13:I13"/>
    <mergeCell ref="N13:O13"/>
    <mergeCell ref="B14:C14"/>
    <mergeCell ref="E14:G14"/>
    <mergeCell ref="H14:I14"/>
    <mergeCell ref="N14:O14"/>
    <mergeCell ref="B15:C15"/>
    <mergeCell ref="E15:G15"/>
    <mergeCell ref="H15:I15"/>
    <mergeCell ref="N15:O15"/>
    <mergeCell ref="B10:C10"/>
    <mergeCell ref="E10:G10"/>
    <mergeCell ref="H10:I10"/>
    <mergeCell ref="N10:O10"/>
    <mergeCell ref="B11:C11"/>
    <mergeCell ref="E11:G11"/>
    <mergeCell ref="H11:I11"/>
    <mergeCell ref="N11:O11"/>
    <mergeCell ref="B12:C12"/>
    <mergeCell ref="E12:G12"/>
    <mergeCell ref="H12:I12"/>
    <mergeCell ref="N12:O12"/>
    <mergeCell ref="A6:P6"/>
    <mergeCell ref="A7:P7"/>
    <mergeCell ref="B8:C8"/>
    <mergeCell ref="E8:G8"/>
    <mergeCell ref="H8:I8"/>
    <mergeCell ref="N8:O8"/>
    <mergeCell ref="B9:C9"/>
    <mergeCell ref="E9:G9"/>
    <mergeCell ref="H9:I9"/>
    <mergeCell ref="N9:O9"/>
    <mergeCell ref="A1:F1"/>
    <mergeCell ref="H1:N1"/>
    <mergeCell ref="A2:F2"/>
    <mergeCell ref="H2:N2"/>
    <mergeCell ref="A3:F3"/>
    <mergeCell ref="H3:N3"/>
    <mergeCell ref="A4:F4"/>
    <mergeCell ref="H4:N4"/>
    <mergeCell ref="A5:F5"/>
    <mergeCell ref="G5:N5"/>
    <mergeCell ref="A54:R54"/>
    <mergeCell ref="A51:C51"/>
    <mergeCell ref="D51:H51"/>
    <mergeCell ref="A52:C52"/>
    <mergeCell ref="D52:H52"/>
    <mergeCell ref="A53:C53"/>
    <mergeCell ref="D53:H53"/>
    <mergeCell ref="A48:C48"/>
    <mergeCell ref="D48:H48"/>
    <mergeCell ref="A49:C49"/>
    <mergeCell ref="D49:H49"/>
    <mergeCell ref="A50:R50"/>
    <mergeCell ref="D47:H47"/>
    <mergeCell ref="A47:C47"/>
    <mergeCell ref="D46:H46"/>
    <mergeCell ref="A46:C46"/>
    <mergeCell ref="A40:E40"/>
    <mergeCell ref="F40:K40"/>
    <mergeCell ref="L40:N40"/>
    <mergeCell ref="A41:E41"/>
    <mergeCell ref="F41:K41"/>
    <mergeCell ref="L41:N41"/>
    <mergeCell ref="A42:E42"/>
    <mergeCell ref="F42:K42"/>
    <mergeCell ref="L42:N44"/>
    <mergeCell ref="A43:E43"/>
    <mergeCell ref="F43:K43"/>
    <mergeCell ref="A44:E44"/>
    <mergeCell ref="F44:K44"/>
    <mergeCell ref="A45:R45"/>
    <mergeCell ref="T18:V18"/>
    <mergeCell ref="W18:Y18"/>
    <mergeCell ref="Z18:AB18"/>
    <mergeCell ref="AC18:AD18"/>
    <mergeCell ref="AE18:AF18"/>
    <mergeCell ref="T19:V19"/>
    <mergeCell ref="W19:Y19"/>
    <mergeCell ref="Z19:AB19"/>
    <mergeCell ref="AC19:AD19"/>
    <mergeCell ref="AE19:AF19"/>
    <mergeCell ref="T16:V16"/>
    <mergeCell ref="W16:Y16"/>
    <mergeCell ref="Z16:AB16"/>
    <mergeCell ref="AC16:AD16"/>
    <mergeCell ref="AE16:AF16"/>
    <mergeCell ref="T17:V17"/>
    <mergeCell ref="W17:Y17"/>
    <mergeCell ref="Z17:AB17"/>
    <mergeCell ref="AC17:AD17"/>
    <mergeCell ref="AE17:AF17"/>
    <mergeCell ref="W11:Y11"/>
    <mergeCell ref="T14:V14"/>
    <mergeCell ref="W14:Y14"/>
    <mergeCell ref="Z14:AB14"/>
    <mergeCell ref="AC14:AD14"/>
    <mergeCell ref="AE14:AF14"/>
    <mergeCell ref="T15:V15"/>
    <mergeCell ref="W15:Y15"/>
    <mergeCell ref="Z15:AB15"/>
    <mergeCell ref="AC15:AD15"/>
    <mergeCell ref="AE15:AF15"/>
    <mergeCell ref="W12:Y12"/>
    <mergeCell ref="Z12:AB12"/>
    <mergeCell ref="AC12:AD12"/>
    <mergeCell ref="AE12:AF12"/>
    <mergeCell ref="T13:V13"/>
    <mergeCell ref="W13:Y13"/>
    <mergeCell ref="Z13:AB13"/>
    <mergeCell ref="AC13:AD13"/>
    <mergeCell ref="AE13:AF13"/>
    <mergeCell ref="S36:Z36"/>
    <mergeCell ref="AC27:AE27"/>
    <mergeCell ref="AF27:AG27"/>
    <mergeCell ref="AC28:AE28"/>
    <mergeCell ref="AF28:AG28"/>
    <mergeCell ref="U22:X22"/>
    <mergeCell ref="Y22:AA22"/>
    <mergeCell ref="AB22:AE22"/>
    <mergeCell ref="S20:AJ20"/>
    <mergeCell ref="S21:T21"/>
    <mergeCell ref="U21:X21"/>
    <mergeCell ref="Y21:AA21"/>
    <mergeCell ref="AB21:AE21"/>
    <mergeCell ref="S22:T22"/>
    <mergeCell ref="AB24:AI24"/>
    <mergeCell ref="AC25:AE25"/>
    <mergeCell ref="AF25:AG25"/>
    <mergeCell ref="AC26:AE26"/>
    <mergeCell ref="AF26:AG26"/>
    <mergeCell ref="AP7:AW7"/>
    <mergeCell ref="AP8:AW8"/>
    <mergeCell ref="AP19:BB19"/>
    <mergeCell ref="S24:Z24"/>
    <mergeCell ref="T25:U25"/>
    <mergeCell ref="V25:W25"/>
    <mergeCell ref="X25:Y25"/>
    <mergeCell ref="S7:AJ7"/>
    <mergeCell ref="S8:AJ8"/>
    <mergeCell ref="T9:V9"/>
    <mergeCell ref="W9:Y9"/>
    <mergeCell ref="Z9:AB9"/>
    <mergeCell ref="AC9:AD9"/>
    <mergeCell ref="AE9:AF9"/>
    <mergeCell ref="T10:V10"/>
    <mergeCell ref="W10:Y10"/>
    <mergeCell ref="Z10:AB10"/>
    <mergeCell ref="AC10:AD10"/>
    <mergeCell ref="AE10:AF10"/>
    <mergeCell ref="T11:V11"/>
    <mergeCell ref="Z11:AB11"/>
    <mergeCell ref="AC11:AD11"/>
    <mergeCell ref="AE11:AF11"/>
    <mergeCell ref="T12:V12"/>
  </mergeCells>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8</vt:i4>
      </vt:variant>
    </vt:vector>
  </HeadingPairs>
  <TitlesOfParts>
    <vt:vector size="8" baseType="lpstr">
      <vt:lpstr>Pinjam Buku</vt:lpstr>
      <vt:lpstr>IPK Zahira</vt:lpstr>
      <vt:lpstr>UTS</vt:lpstr>
      <vt:lpstr>Parkiran</vt:lpstr>
      <vt:lpstr>Latihann</vt:lpstr>
      <vt:lpstr>Latihan</vt:lpstr>
      <vt:lpstr>Lat ETS</vt:lpstr>
      <vt:lpstr>Lat ETS lg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PUTRI NISRINA AZZAHRA</cp:lastModifiedBy>
  <dcterms:created xsi:type="dcterms:W3CDTF">2021-04-01T09:21:31Z</dcterms:created>
  <dcterms:modified xsi:type="dcterms:W3CDTF">2024-10-24T12:57:50Z</dcterms:modified>
</cp:coreProperties>
</file>