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sacid-my.sharepoint.com/personal/5003201158_mahasiswa_integra_its_ac_id/Documents/SEMESTER 3/Analisis Numerik/"/>
    </mc:Choice>
  </mc:AlternateContent>
  <xr:revisionPtr revIDLastSave="7" documentId="13_ncr:1_{2B19EBC0-6E13-46EF-93A8-EF57E6BC6C91}" xr6:coauthVersionLast="47" xr6:coauthVersionMax="47" xr10:uidLastSave="{8A42F2F4-07D5-46DC-B949-E9807DEE71EE}"/>
  <bookViews>
    <workbookView minimized="1" xWindow="12040" yWindow="2640" windowWidth="7500" windowHeight="6000" activeTab="4" xr2:uid="{4740D8D0-295B-43D8-8D7D-E39696833889}"/>
  </bookViews>
  <sheets>
    <sheet name="error" sheetId="1" r:id="rId1"/>
    <sheet name="root" sheetId="2" r:id="rId2"/>
    <sheet name="grafis" sheetId="3" r:id="rId3"/>
    <sheet name="matriks" sheetId="4" r:id="rId4"/>
    <sheet name="interpolasi" sheetId="5" r:id="rId5"/>
    <sheet name="ET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9" i="5" l="1"/>
  <c r="Q48" i="5"/>
  <c r="P50" i="5"/>
  <c r="P49" i="5"/>
  <c r="P48" i="5"/>
  <c r="E56" i="6"/>
  <c r="I54" i="6"/>
  <c r="Q31" i="5"/>
  <c r="N37" i="5"/>
  <c r="N36" i="5"/>
  <c r="N35" i="5"/>
  <c r="N34" i="5"/>
  <c r="N33" i="5"/>
  <c r="N32" i="5"/>
  <c r="N31" i="5"/>
  <c r="U29" i="5"/>
  <c r="T29" i="5"/>
  <c r="S29" i="5"/>
  <c r="R29" i="5"/>
  <c r="G35" i="6"/>
  <c r="E26" i="6"/>
  <c r="E25" i="6"/>
  <c r="E24" i="6"/>
  <c r="F38" i="6"/>
  <c r="F37" i="6"/>
  <c r="F36" i="6"/>
  <c r="J37" i="6"/>
  <c r="J36" i="6"/>
  <c r="J35" i="6"/>
  <c r="G12" i="6"/>
  <c r="M48" i="6"/>
  <c r="L48" i="6"/>
  <c r="K48" i="6"/>
  <c r="J48" i="6"/>
  <c r="F50" i="6" s="1"/>
  <c r="K35" i="6"/>
  <c r="G10" i="6"/>
  <c r="D16" i="6"/>
  <c r="F16" i="6" s="1"/>
  <c r="E16" i="6"/>
  <c r="E9" i="6"/>
  <c r="F9" i="6"/>
  <c r="AL16" i="5"/>
  <c r="AL11" i="5"/>
  <c r="E57" i="6" l="1"/>
  <c r="G37" i="6"/>
  <c r="G36" i="6"/>
  <c r="K36" i="6"/>
  <c r="E28" i="6"/>
  <c r="E29" i="6" s="1"/>
  <c r="G16" i="6"/>
  <c r="D10" i="6"/>
  <c r="C88" i="5"/>
  <c r="S50" i="5"/>
  <c r="H82" i="5"/>
  <c r="H81" i="5"/>
  <c r="H80" i="5"/>
  <c r="T48" i="5"/>
  <c r="I80" i="5"/>
  <c r="E82" i="5"/>
  <c r="E81" i="5"/>
  <c r="E80" i="5"/>
  <c r="C71" i="5"/>
  <c r="G24" i="4" a="1"/>
  <c r="G24" i="4" s="1"/>
  <c r="H36" i="6" l="1"/>
  <c r="H35" i="6"/>
  <c r="K37" i="6" s="1"/>
  <c r="E10" i="6"/>
  <c r="D11" i="6" s="1"/>
  <c r="F10" i="6"/>
  <c r="I81" i="5"/>
  <c r="I82" i="5" s="1"/>
  <c r="I83" i="5" s="1"/>
  <c r="F81" i="5"/>
  <c r="F80" i="5"/>
  <c r="I35" i="6" l="1"/>
  <c r="K38" i="6" s="1"/>
  <c r="E41" i="6" s="1"/>
  <c r="E11" i="6"/>
  <c r="D12" i="6" s="1"/>
  <c r="F11" i="6"/>
  <c r="G11" i="6"/>
  <c r="G80" i="5"/>
  <c r="AD40" i="5"/>
  <c r="AD41" i="5"/>
  <c r="AD39" i="5"/>
  <c r="F12" i="6" l="1"/>
  <c r="E12" i="6"/>
  <c r="D13" i="6" s="1"/>
  <c r="AB40" i="5"/>
  <c r="AB41" i="5"/>
  <c r="AH53" i="5" s="1"/>
  <c r="AB42" i="5"/>
  <c r="AB39" i="5"/>
  <c r="AK20" i="5"/>
  <c r="AH21" i="5"/>
  <c r="AH20" i="5"/>
  <c r="AS14" i="5"/>
  <c r="AR14" i="5"/>
  <c r="AQ14" i="5"/>
  <c r="AP14" i="5"/>
  <c r="AR9" i="5"/>
  <c r="AP9" i="5"/>
  <c r="AQ9" i="5"/>
  <c r="AO9" i="5"/>
  <c r="AP4" i="5"/>
  <c r="AO4" i="5"/>
  <c r="AN4" i="5"/>
  <c r="AG9" i="5"/>
  <c r="AE9" i="5"/>
  <c r="AF9" i="5"/>
  <c r="AD9" i="5"/>
  <c r="T16" i="5"/>
  <c r="S16" i="5"/>
  <c r="R16" i="5"/>
  <c r="Q16" i="5"/>
  <c r="S48" i="5"/>
  <c r="S49" i="5" s="1"/>
  <c r="O49" i="5"/>
  <c r="O50" i="5"/>
  <c r="O51" i="5"/>
  <c r="O48" i="5"/>
  <c r="K48" i="5"/>
  <c r="H48" i="5"/>
  <c r="I48" i="5"/>
  <c r="J48" i="5"/>
  <c r="G48" i="5"/>
  <c r="C50" i="5" s="1"/>
  <c r="N11" i="5"/>
  <c r="R9" i="5"/>
  <c r="C11" i="5"/>
  <c r="C12" i="5" s="1"/>
  <c r="C5" i="5"/>
  <c r="G3" i="5"/>
  <c r="N5" i="5"/>
  <c r="R3" i="5"/>
  <c r="G16" i="5"/>
  <c r="H16" i="5"/>
  <c r="F16" i="5"/>
  <c r="C18" i="5" s="1"/>
  <c r="AM34" i="4"/>
  <c r="AN34" i="4"/>
  <c r="AO34" i="4"/>
  <c r="AL34" i="4"/>
  <c r="AM33" i="4"/>
  <c r="AN33" i="4"/>
  <c r="AO33" i="4"/>
  <c r="AL33" i="4"/>
  <c r="AM31" i="4"/>
  <c r="AN31" i="4"/>
  <c r="AO31" i="4"/>
  <c r="AL31" i="4"/>
  <c r="AM27" i="4"/>
  <c r="AN27" i="4"/>
  <c r="AO27" i="4"/>
  <c r="AL27" i="4"/>
  <c r="AM21" i="4"/>
  <c r="AN21" i="4"/>
  <c r="AO21" i="4"/>
  <c r="AL21" i="4"/>
  <c r="AM18" i="4"/>
  <c r="AN18" i="4"/>
  <c r="AO18" i="4"/>
  <c r="AL18" i="4"/>
  <c r="AM19" i="4"/>
  <c r="AN19" i="4"/>
  <c r="AO19" i="4"/>
  <c r="AL19" i="4"/>
  <c r="AL15" i="4"/>
  <c r="AM15" i="4"/>
  <c r="AN15" i="4"/>
  <c r="AO15" i="4"/>
  <c r="AM14" i="4"/>
  <c r="AN14" i="4"/>
  <c r="AO14" i="4"/>
  <c r="AL14" i="4"/>
  <c r="AM13" i="4"/>
  <c r="AN13" i="4"/>
  <c r="AO13" i="4"/>
  <c r="AL13" i="4"/>
  <c r="AB33" i="4"/>
  <c r="AC33" i="4"/>
  <c r="AD33" i="4"/>
  <c r="AE33" i="4"/>
  <c r="AC32" i="4"/>
  <c r="AD32" i="4"/>
  <c r="AE32" i="4"/>
  <c r="AB32" i="4"/>
  <c r="AB14" i="4"/>
  <c r="AE14" i="4"/>
  <c r="AE15" i="4"/>
  <c r="AB15" i="4"/>
  <c r="AB19" i="4" s="1"/>
  <c r="AC15" i="4"/>
  <c r="AD15" i="4"/>
  <c r="AD19" i="4" s="1"/>
  <c r="AC14" i="4"/>
  <c r="AE19" i="4" s="1"/>
  <c r="AD14" i="4"/>
  <c r="X21" i="4"/>
  <c r="X22" i="4" s="1"/>
  <c r="X17" i="4"/>
  <c r="X18" i="4" s="1"/>
  <c r="X13" i="4"/>
  <c r="X14" i="4" s="1"/>
  <c r="S11" i="4"/>
  <c r="G36" i="4" a="1"/>
  <c r="G36" i="4" s="1"/>
  <c r="G30" i="4"/>
  <c r="L18" i="4" a="1"/>
  <c r="L18" i="4" s="1"/>
  <c r="L14" i="4" a="1"/>
  <c r="L14" i="4" s="1"/>
  <c r="G10" i="4" a="1"/>
  <c r="G10" i="4" s="1"/>
  <c r="L3" i="4" a="1"/>
  <c r="L3" i="4" s="1"/>
  <c r="D7" i="3"/>
  <c r="D8" i="3"/>
  <c r="D9" i="3"/>
  <c r="D10" i="3"/>
  <c r="D11" i="3"/>
  <c r="D6" i="3"/>
  <c r="C7" i="3"/>
  <c r="C8" i="3"/>
  <c r="C9" i="3"/>
  <c r="C10" i="3"/>
  <c r="C11" i="3"/>
  <c r="C6" i="3"/>
  <c r="D85" i="2"/>
  <c r="C85" i="2"/>
  <c r="C61" i="2"/>
  <c r="D38" i="2"/>
  <c r="C38" i="2"/>
  <c r="B39" i="2" s="1"/>
  <c r="F13" i="6" l="1"/>
  <c r="E13" i="6"/>
  <c r="D14" i="6" s="1"/>
  <c r="G13" i="6"/>
  <c r="AK21" i="5"/>
  <c r="AK22" i="5" s="1"/>
  <c r="AH54" i="5"/>
  <c r="AH52" i="5"/>
  <c r="AA66" i="5"/>
  <c r="AA67" i="5" s="1"/>
  <c r="AL6" i="5"/>
  <c r="T49" i="5"/>
  <c r="C19" i="5"/>
  <c r="C20" i="5" s="1"/>
  <c r="N6" i="5"/>
  <c r="AA12" i="5"/>
  <c r="N19" i="5"/>
  <c r="N20" i="5" s="1"/>
  <c r="N22" i="5" s="1"/>
  <c r="AA11" i="5"/>
  <c r="N18" i="5"/>
  <c r="C53" i="5"/>
  <c r="C52" i="5"/>
  <c r="C51" i="5"/>
  <c r="N12" i="5"/>
  <c r="C6" i="5"/>
  <c r="AE37" i="4"/>
  <c r="AB37" i="4"/>
  <c r="AD37" i="4"/>
  <c r="AC37" i="4"/>
  <c r="AC19" i="4"/>
  <c r="B86" i="2"/>
  <c r="C62" i="2"/>
  <c r="B63" i="2" s="1"/>
  <c r="D62" i="2"/>
  <c r="D39" i="2"/>
  <c r="C39" i="2"/>
  <c r="B40" i="2" s="1"/>
  <c r="D40" i="2" s="1"/>
  <c r="F14" i="6" l="1"/>
  <c r="E14" i="6"/>
  <c r="D15" i="6" s="1"/>
  <c r="G14" i="6"/>
  <c r="T50" i="5"/>
  <c r="C22" i="5"/>
  <c r="C23" i="5" s="1"/>
  <c r="C54" i="5"/>
  <c r="N23" i="5"/>
  <c r="C55" i="5"/>
  <c r="AH31" i="4"/>
  <c r="AH32" i="4"/>
  <c r="AH33" i="4" s="1"/>
  <c r="AH13" i="4"/>
  <c r="AH14" i="4"/>
  <c r="C86" i="2"/>
  <c r="D86" i="2"/>
  <c r="B87" i="2" s="1"/>
  <c r="E86" i="2"/>
  <c r="C63" i="2"/>
  <c r="B64" i="2" s="1"/>
  <c r="D63" i="2"/>
  <c r="C40" i="2"/>
  <c r="B41" i="2" s="1"/>
  <c r="D41" i="2" s="1"/>
  <c r="E15" i="6" l="1"/>
  <c r="F15" i="6"/>
  <c r="G15" i="6"/>
  <c r="R48" i="5"/>
  <c r="T51" i="5" s="1"/>
  <c r="N54" i="5" s="1"/>
  <c r="Q32" i="5"/>
  <c r="C56" i="5"/>
  <c r="F50" i="5" s="1"/>
  <c r="F51" i="5" s="1"/>
  <c r="AH15" i="4"/>
  <c r="C87" i="2"/>
  <c r="E87" i="2"/>
  <c r="D87" i="2"/>
  <c r="C64" i="2"/>
  <c r="B65" i="2" s="1"/>
  <c r="D64" i="2"/>
  <c r="C41" i="2"/>
  <c r="B42" i="2" s="1"/>
  <c r="C42" i="2" s="1"/>
  <c r="B43" i="2" s="1"/>
  <c r="B88" i="2" l="1"/>
  <c r="D88" i="2" s="1"/>
  <c r="D42" i="2"/>
  <c r="C65" i="2"/>
  <c r="B66" i="2" s="1"/>
  <c r="D65" i="2"/>
  <c r="D43" i="2"/>
  <c r="C43" i="2"/>
  <c r="B44" i="2" s="1"/>
  <c r="E88" i="2" l="1"/>
  <c r="C88" i="2"/>
  <c r="B89" i="2" s="1"/>
  <c r="E89" i="2" s="1"/>
  <c r="C66" i="2"/>
  <c r="D66" i="2"/>
  <c r="C44" i="2"/>
  <c r="B45" i="2" s="1"/>
  <c r="D44" i="2"/>
  <c r="C89" i="2" l="1"/>
  <c r="D89" i="2"/>
  <c r="D45" i="2"/>
  <c r="C45" i="2"/>
  <c r="B46" i="2" s="1"/>
  <c r="C46" i="2" l="1"/>
  <c r="B47" i="2" s="1"/>
  <c r="D46" i="2"/>
  <c r="D47" i="2" l="1"/>
  <c r="C47" i="2"/>
  <c r="B48" i="2" s="1"/>
  <c r="C48" i="2" l="1"/>
  <c r="B49" i="2" s="1"/>
  <c r="D48" i="2"/>
  <c r="C49" i="2" l="1"/>
  <c r="B50" i="2" s="1"/>
  <c r="D49" i="2"/>
  <c r="C50" i="2" l="1"/>
  <c r="B51" i="2" s="1"/>
  <c r="D50" i="2"/>
  <c r="E50" i="2"/>
  <c r="E51" i="2" l="1"/>
  <c r="C51" i="2"/>
  <c r="B52" i="2" s="1"/>
  <c r="D51" i="2"/>
  <c r="C52" i="2" l="1"/>
  <c r="B53" i="2" s="1"/>
  <c r="D52" i="2"/>
  <c r="E52" i="2"/>
  <c r="C53" i="2" l="1"/>
  <c r="D53" i="2"/>
  <c r="E53" i="2"/>
  <c r="E6" i="2" l="1"/>
  <c r="E39" i="2"/>
  <c r="E25" i="2"/>
  <c r="F25" i="2"/>
  <c r="F6" i="2"/>
  <c r="D37" i="1"/>
  <c r="C36" i="1"/>
  <c r="D6" i="2"/>
  <c r="C37" i="1"/>
  <c r="C38" i="1"/>
  <c r="C39" i="1"/>
  <c r="C15" i="1"/>
  <c r="C2" i="1"/>
  <c r="B38" i="1"/>
  <c r="B39" i="1"/>
  <c r="B36" i="1"/>
  <c r="B37" i="1"/>
  <c r="B11" i="1"/>
  <c r="B19" i="1"/>
  <c r="B32" i="1"/>
  <c r="B31" i="1"/>
  <c r="D31" i="1" s="1"/>
  <c r="B30" i="1"/>
  <c r="B29" i="1"/>
  <c r="B28" i="1"/>
  <c r="C23" i="1"/>
  <c r="B27" i="1"/>
  <c r="D27" i="1" s="1"/>
  <c r="B26" i="1"/>
  <c r="B25" i="1"/>
  <c r="C25" i="1" s="1"/>
  <c r="B24" i="1"/>
  <c r="D24" i="1" s="1"/>
  <c r="B10" i="1"/>
  <c r="C10" i="1" s="1"/>
  <c r="B9" i="1"/>
  <c r="D9" i="1" s="1"/>
  <c r="B8" i="1"/>
  <c r="C8" i="1" s="1"/>
  <c r="B7" i="1"/>
  <c r="C7" i="1" s="1"/>
  <c r="B6" i="1"/>
  <c r="B5" i="1"/>
  <c r="B4" i="1"/>
  <c r="B3" i="1"/>
  <c r="D3" i="1" s="1"/>
  <c r="C19" i="1"/>
  <c r="B18" i="1"/>
  <c r="C18" i="1" s="1"/>
  <c r="B17" i="1"/>
  <c r="C17" i="1" s="1"/>
  <c r="B16" i="1"/>
  <c r="D16" i="1" s="1"/>
  <c r="D25" i="2" l="1"/>
  <c r="G25" i="2" s="1"/>
  <c r="E49" i="2"/>
  <c r="J25" i="2"/>
  <c r="G6" i="2"/>
  <c r="H6" i="2" s="1"/>
  <c r="J6" i="2"/>
  <c r="D38" i="1"/>
  <c r="D39" i="1"/>
  <c r="D28" i="1"/>
  <c r="D30" i="1"/>
  <c r="D32" i="1"/>
  <c r="D6" i="1"/>
  <c r="D26" i="1"/>
  <c r="C27" i="1"/>
  <c r="D4" i="1"/>
  <c r="D11" i="1"/>
  <c r="D29" i="1"/>
  <c r="D5" i="1"/>
  <c r="C30" i="1"/>
  <c r="C6" i="1"/>
  <c r="D7" i="1"/>
  <c r="C26" i="1"/>
  <c r="C29" i="1"/>
  <c r="C31" i="1"/>
  <c r="C5" i="1"/>
  <c r="C28" i="1"/>
  <c r="C4" i="1"/>
  <c r="C24" i="1"/>
  <c r="C32" i="1"/>
  <c r="D25" i="1"/>
  <c r="C11" i="1"/>
  <c r="C3" i="1"/>
  <c r="D10" i="1"/>
  <c r="D19" i="1"/>
  <c r="D18" i="1"/>
  <c r="D8" i="1"/>
  <c r="D17" i="1"/>
  <c r="C9" i="1"/>
  <c r="C16" i="1"/>
  <c r="C7" i="2" l="1"/>
  <c r="F7" i="2" s="1"/>
  <c r="B7" i="2"/>
  <c r="E48" i="2"/>
  <c r="E40" i="2"/>
  <c r="H25" i="2"/>
  <c r="I25" i="2"/>
  <c r="I6" i="2"/>
  <c r="E41" i="2" l="1"/>
  <c r="B26" i="2"/>
  <c r="E26" i="2" s="1"/>
  <c r="C26" i="2"/>
  <c r="F26" i="2" s="1"/>
  <c r="D7" i="2"/>
  <c r="K7" i="2" s="1"/>
  <c r="E7" i="2"/>
  <c r="E42" i="2" l="1"/>
  <c r="D26" i="2"/>
  <c r="G26" i="2" s="1"/>
  <c r="G7" i="2"/>
  <c r="E43" i="2" l="1"/>
  <c r="K26" i="2"/>
  <c r="I26" i="2"/>
  <c r="H26" i="2"/>
  <c r="I7" i="2"/>
  <c r="H7" i="2"/>
  <c r="C27" i="2" l="1"/>
  <c r="B27" i="2"/>
  <c r="E27" i="2" s="1"/>
  <c r="E44" i="2"/>
  <c r="B8" i="2"/>
  <c r="C8" i="2"/>
  <c r="F8" i="2" s="1"/>
  <c r="F27" i="2" l="1"/>
  <c r="E45" i="2"/>
  <c r="E8" i="2"/>
  <c r="D8" i="2"/>
  <c r="D27" i="2" l="1"/>
  <c r="E47" i="2"/>
  <c r="E46" i="2"/>
  <c r="K8" i="2"/>
  <c r="G8" i="2"/>
  <c r="K27" i="2" l="1"/>
  <c r="G27" i="2"/>
  <c r="H8" i="2"/>
  <c r="B9" i="2" s="1"/>
  <c r="I8" i="2"/>
  <c r="H27" i="2" l="1"/>
  <c r="I27" i="2"/>
  <c r="C9" i="2"/>
  <c r="F9" i="2" s="1"/>
  <c r="C28" i="2" l="1"/>
  <c r="B28" i="2"/>
  <c r="E28" i="2" s="1"/>
  <c r="D9" i="2"/>
  <c r="E9" i="2"/>
  <c r="F28" i="2" l="1"/>
  <c r="K9" i="2"/>
  <c r="G9" i="2"/>
  <c r="I9" i="2" s="1"/>
  <c r="D28" i="2" l="1"/>
  <c r="H9" i="2"/>
  <c r="G28" i="2" l="1"/>
  <c r="K28" i="2"/>
  <c r="B10" i="2"/>
  <c r="C10" i="2"/>
  <c r="F10" i="2" s="1"/>
  <c r="H28" i="2" l="1"/>
  <c r="I28" i="2"/>
  <c r="E10" i="2"/>
  <c r="D10" i="2"/>
  <c r="C29" i="2" l="1"/>
  <c r="B29" i="2"/>
  <c r="E29" i="2" s="1"/>
  <c r="G10" i="2"/>
  <c r="I10" i="2" s="1"/>
  <c r="K10" i="2"/>
  <c r="F29" i="2" l="1"/>
  <c r="D29" i="2" s="1"/>
  <c r="H10" i="2"/>
  <c r="G29" i="2" l="1"/>
  <c r="H29" i="2" s="1"/>
  <c r="K29" i="2"/>
  <c r="I29" i="2"/>
  <c r="B11" i="2"/>
  <c r="C11" i="2"/>
  <c r="F11" i="2" s="1"/>
  <c r="E11" i="2" l="1"/>
  <c r="D11" i="2"/>
  <c r="G11" i="2" l="1"/>
  <c r="I11" i="2" s="1"/>
  <c r="K11" i="2"/>
  <c r="H11" i="2" l="1"/>
  <c r="B12" i="2" s="1"/>
  <c r="C12" i="2" l="1"/>
  <c r="F12" i="2" s="1"/>
  <c r="E12" i="2"/>
  <c r="D12" i="2" l="1"/>
  <c r="G12" i="2" s="1"/>
  <c r="I12" i="2" s="1"/>
  <c r="K12" i="2" l="1"/>
  <c r="H12" i="2"/>
  <c r="B13" i="2" l="1"/>
  <c r="C13" i="2"/>
  <c r="F13" i="2" s="1"/>
  <c r="E13" i="2" l="1"/>
  <c r="D13" i="2"/>
  <c r="K13" i="2" l="1"/>
  <c r="G13" i="2"/>
  <c r="I13" i="2" s="1"/>
  <c r="H13" i="2" l="1"/>
  <c r="C14" i="2" l="1"/>
  <c r="F14" i="2" s="1"/>
  <c r="B14" i="2"/>
  <c r="E14" i="2" l="1"/>
  <c r="D14" i="2"/>
  <c r="K14" i="2" l="1"/>
  <c r="G14" i="2"/>
  <c r="I14" i="2" s="1"/>
  <c r="H14" i="2" l="1"/>
  <c r="B15" i="2" l="1"/>
  <c r="C15" i="2"/>
  <c r="F15" i="2" s="1"/>
  <c r="D15" i="2" l="1"/>
  <c r="E15" i="2"/>
  <c r="K15" i="2" l="1"/>
  <c r="G15" i="2"/>
  <c r="I15" i="2" s="1"/>
  <c r="H15" i="2" l="1"/>
  <c r="B16" i="2" l="1"/>
  <c r="C16" i="2"/>
  <c r="F16" i="2" s="1"/>
  <c r="E16" i="2" l="1"/>
  <c r="D16" i="2"/>
  <c r="K16" i="2" l="1"/>
  <c r="G16" i="2"/>
  <c r="I16" i="2" s="1"/>
  <c r="H16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<sst xmlns="http://schemas.openxmlformats.org/spreadsheetml/2006/main" count="459" uniqueCount="169">
  <si>
    <t>-</t>
  </si>
  <si>
    <t>Suku</t>
  </si>
  <si>
    <t>Hasil</t>
  </si>
  <si>
    <t>|Et| %</t>
  </si>
  <si>
    <t>|Ea| %</t>
  </si>
  <si>
    <t>Es = 0.005</t>
  </si>
  <si>
    <t>Es = 0.5</t>
  </si>
  <si>
    <t>Es = 0.05</t>
  </si>
  <si>
    <t>n = 4</t>
  </si>
  <si>
    <t>n = 2</t>
  </si>
  <si>
    <t>n = 3</t>
  </si>
  <si>
    <t>x lower</t>
  </si>
  <si>
    <t>x upper</t>
  </si>
  <si>
    <t>x root</t>
  </si>
  <si>
    <t>f(xl)</t>
  </si>
  <si>
    <t>f(xu)</t>
  </si>
  <si>
    <t>f(xr)</t>
  </si>
  <si>
    <t>f(xl)f(xr)</t>
  </si>
  <si>
    <t>f(xu)f(xr)</t>
  </si>
  <si>
    <t>f(xl)f(xu)</t>
  </si>
  <si>
    <t>HARUS NEGATIF</t>
  </si>
  <si>
    <t>(-)</t>
  </si>
  <si>
    <t>(+)</t>
  </si>
  <si>
    <t>Es</t>
  </si>
  <si>
    <t>0,005</t>
  </si>
  <si>
    <t>n</t>
  </si>
  <si>
    <t>xu = xr</t>
  </si>
  <si>
    <t>xl = xr</t>
  </si>
  <si>
    <t>COS 4</t>
  </si>
  <si>
    <t>SIN 2</t>
  </si>
  <si>
    <t>e^2</t>
  </si>
  <si>
    <t>SIN (phi/6)</t>
  </si>
  <si>
    <t>BISECTION</t>
  </si>
  <si>
    <t>FALSE POSITION</t>
  </si>
  <si>
    <t>i</t>
  </si>
  <si>
    <t>Xi</t>
  </si>
  <si>
    <t>ITERASI</t>
  </si>
  <si>
    <t>F(x) = e^(-x) - x</t>
  </si>
  <si>
    <t>x = e^(-x)</t>
  </si>
  <si>
    <t>TERBUKA</t>
  </si>
  <si>
    <t>TERTUTUP</t>
  </si>
  <si>
    <t>F(x)</t>
  </si>
  <si>
    <t>g(x)</t>
  </si>
  <si>
    <t>0,05</t>
  </si>
  <si>
    <t>SECANT</t>
  </si>
  <si>
    <t>NEWTON - RHAPSON</t>
  </si>
  <si>
    <t>F'(x)</t>
  </si>
  <si>
    <t>F'(x) =- e^(-x) - 1</t>
  </si>
  <si>
    <t>x1</t>
  </si>
  <si>
    <t>x2 = 3 + (1/2)x1</t>
  </si>
  <si>
    <t>x2 = 34/6  -(1/6)x1</t>
  </si>
  <si>
    <t>METODE GRAFIS</t>
  </si>
  <si>
    <t>----------&gt;</t>
  </si>
  <si>
    <t>berdasarkan grafik, maka solusi dari persamaan serentak tersebut yaitu x = 4 dan y = 5</t>
  </si>
  <si>
    <t>Penjumlahan</t>
  </si>
  <si>
    <t>A</t>
  </si>
  <si>
    <t>B</t>
  </si>
  <si>
    <t>A+B</t>
  </si>
  <si>
    <t>Perkalian</t>
  </si>
  <si>
    <t>A*a</t>
  </si>
  <si>
    <t>a</t>
  </si>
  <si>
    <t>A x B</t>
  </si>
  <si>
    <t xml:space="preserve">A x B </t>
  </si>
  <si>
    <t>TRANSPOSE</t>
  </si>
  <si>
    <t>A^T</t>
  </si>
  <si>
    <t>DETERMINAN</t>
  </si>
  <si>
    <t>det</t>
  </si>
  <si>
    <t>INVERS</t>
  </si>
  <si>
    <t>CRAMER'S RULE</t>
  </si>
  <si>
    <t>X1</t>
  </si>
  <si>
    <t>X2</t>
  </si>
  <si>
    <t>X3</t>
  </si>
  <si>
    <t>x2</t>
  </si>
  <si>
    <t>x3</t>
  </si>
  <si>
    <t>A1</t>
  </si>
  <si>
    <t>det(A1)</t>
  </si>
  <si>
    <t>A2</t>
  </si>
  <si>
    <t>A3</t>
  </si>
  <si>
    <t>NAÏVE GAUSS ELIMINATION</t>
  </si>
  <si>
    <t>GAUSS JORDAN ELIMINATION</t>
  </si>
  <si>
    <t>x0</t>
  </si>
  <si>
    <t>y0</t>
  </si>
  <si>
    <t>y1</t>
  </si>
  <si>
    <t>log(10)</t>
  </si>
  <si>
    <t>error</t>
  </si>
  <si>
    <t>y2</t>
  </si>
  <si>
    <t>b0</t>
  </si>
  <si>
    <t>b1</t>
  </si>
  <si>
    <t>b2</t>
  </si>
  <si>
    <t>f2(x)</t>
  </si>
  <si>
    <t>eror</t>
  </si>
  <si>
    <t>%</t>
  </si>
  <si>
    <t>x</t>
  </si>
  <si>
    <t>true value</t>
  </si>
  <si>
    <t>General Form of Newton’s Interpolating Polynomials</t>
  </si>
  <si>
    <t>Linear Interpolation</t>
  </si>
  <si>
    <t>Quadratic Interpolation</t>
  </si>
  <si>
    <t>y3</t>
  </si>
  <si>
    <t>bo</t>
  </si>
  <si>
    <t>f[x2,x1]</t>
  </si>
  <si>
    <t>f[x3,x2]</t>
  </si>
  <si>
    <t>f[x3,x2,x1]</t>
  </si>
  <si>
    <t>b3</t>
  </si>
  <si>
    <t>f3(x)</t>
  </si>
  <si>
    <t>ln(2)</t>
  </si>
  <si>
    <t>xi</t>
  </si>
  <si>
    <t>f(xi)</t>
  </si>
  <si>
    <t>Pertama</t>
  </si>
  <si>
    <t>Kedua</t>
  </si>
  <si>
    <t>Ketiga</t>
  </si>
  <si>
    <t>xt</t>
  </si>
  <si>
    <t>yint</t>
  </si>
  <si>
    <t>Lagrange Interpolating Polynomials</t>
  </si>
  <si>
    <t>f1(2)</t>
  </si>
  <si>
    <t>f2(2)</t>
  </si>
  <si>
    <t>first order</t>
  </si>
  <si>
    <t>second order</t>
  </si>
  <si>
    <t>third order</t>
  </si>
  <si>
    <t>f1(10)</t>
  </si>
  <si>
    <t>f2(10)</t>
  </si>
  <si>
    <t>f3(10)</t>
  </si>
  <si>
    <t>Linear Splines</t>
  </si>
  <si>
    <t>s1(x)</t>
  </si>
  <si>
    <t>Quadratic Splines</t>
  </si>
  <si>
    <t>f1 + b1h1 = f2</t>
  </si>
  <si>
    <t xml:space="preserve">f2 + b2h2 + c2h2^2 = f3 </t>
  </si>
  <si>
    <t>f3 + b3h3 +c3h3^2 = f4</t>
  </si>
  <si>
    <t>(n-1) persamaan</t>
  </si>
  <si>
    <t>(n-2) persamaan</t>
  </si>
  <si>
    <t>b1=b2</t>
  </si>
  <si>
    <t>b2+2c2h2=b3</t>
  </si>
  <si>
    <t>hi = x(i+1)-xi</t>
  </si>
  <si>
    <t>h1</t>
  </si>
  <si>
    <t>h2</t>
  </si>
  <si>
    <t>h3</t>
  </si>
  <si>
    <t>=</t>
  </si>
  <si>
    <t>f2-f1</t>
  </si>
  <si>
    <t>h2^2</t>
  </si>
  <si>
    <t>f3-f2</t>
  </si>
  <si>
    <t>h3^2</t>
  </si>
  <si>
    <t>f4-f3</t>
  </si>
  <si>
    <t>c2</t>
  </si>
  <si>
    <t>2h2</t>
  </si>
  <si>
    <t>c3</t>
  </si>
  <si>
    <t>Pakeeeee eliminasi gausss</t>
  </si>
  <si>
    <t>ketemu</t>
  </si>
  <si>
    <t>s2(10)</t>
  </si>
  <si>
    <t>Latihan Soal</t>
  </si>
  <si>
    <t>Suatu</t>
  </si>
  <si>
    <t>sampel random sebanyak 64 box keju dengan rata rata berat bersih 5,23 gr</t>
  </si>
  <si>
    <t>dan standar deviasi 0,24 gr. Ujilah apakah rata rata berat bersih keju lebih dari 5,5</t>
  </si>
  <si>
    <t>gr dengan menggunakan alpha 0,05.</t>
  </si>
  <si>
    <t>Uji Hipotesis</t>
  </si>
  <si>
    <t>Ho</t>
  </si>
  <si>
    <t>H1</t>
  </si>
  <si>
    <t>rata2 &lt;= 5,5</t>
  </si>
  <si>
    <t>rata2 &gt; 5,5</t>
  </si>
  <si>
    <t>Statistik Uji</t>
  </si>
  <si>
    <t>T-tabel</t>
  </si>
  <si>
    <t>Metode interpolasi berdasarkan tabel t dengan menggunakan minimal 4 titik</t>
  </si>
  <si>
    <t>yang diketahui</t>
  </si>
  <si>
    <t>Titik Kritis</t>
  </si>
  <si>
    <t>Tolak Ho jika</t>
  </si>
  <si>
    <t>Thit &gt; t 0.05, 63</t>
  </si>
  <si>
    <t>Kesimpulan</t>
  </si>
  <si>
    <t>gagal tolak Ho</t>
  </si>
  <si>
    <t>rata2 &lt; = 5,5</t>
  </si>
  <si>
    <t>f(x) = exp(0.5x)+5x-5</t>
  </si>
  <si>
    <t>SIGNIFIKANSI 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</si>
</sst>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7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quotePrefix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1" fillId="0" borderId="0" xfId="0" applyFont="1"/>
    <xf numFmtId="0" fontId="0" fillId="0" borderId="0" xfId="0" quotePrefix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1" fillId="0" borderId="0" xfId="0" applyFont="1" applyAlignment="1">
      <alignment horizontal="left" vertical="center"/>
    </xf>
    <xf numFmtId="0" fontId="0" fillId="14" borderId="0" xfId="0" applyFill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0" fillId="16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7" borderId="0" xfId="0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Normal 2" xfId="1" xr:uid="{09B9A12F-DB9B-44FB-8E0D-0CD30865C5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grafis!$B$6:$B$11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grafis!$C$6:$C$11</c:f>
              <c:numCache>
                <c:formatCode>General</c:formatCode>
                <c:ptCount val="6"/>
                <c:pt idx="0">
                  <c:v>3.5</c:v>
                </c:pt>
                <c:pt idx="1">
                  <c:v>4</c:v>
                </c:pt>
                <c:pt idx="2">
                  <c:v>4.5</c:v>
                </c:pt>
                <c:pt idx="3">
                  <c:v>5</c:v>
                </c:pt>
                <c:pt idx="4">
                  <c:v>5.5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D-4B14-946E-941E980E12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grafis!$B$6:$B$11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grafis!$D$6:$D$11</c:f>
              <c:numCache>
                <c:formatCode>General</c:formatCode>
                <c:ptCount val="6"/>
                <c:pt idx="0">
                  <c:v>5.5</c:v>
                </c:pt>
                <c:pt idx="1">
                  <c:v>5.3333333333333339</c:v>
                </c:pt>
                <c:pt idx="2">
                  <c:v>5.166666666666667</c:v>
                </c:pt>
                <c:pt idx="3">
                  <c:v>5</c:v>
                </c:pt>
                <c:pt idx="4">
                  <c:v>4.8333333333333339</c:v>
                </c:pt>
                <c:pt idx="5">
                  <c:v>4.666666666666667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D-4B14-946E-941E980E1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906399"/>
        <c:axId val="790908063"/>
      </c:lineChart>
      <c:catAx>
        <c:axId val="7909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08063"/>
        <c:crosses val="autoZero"/>
        <c:auto val="1"/>
        <c:lblAlgn val="ctr"/>
        <c:lblOffset val="100"/>
        <c:noMultiLvlLbl val="0"/>
      </c:catAx>
      <c:valAx>
        <c:axId val="790908063"/>
        <c:scaling>
          <c:orientation val="minMax"/>
          <c:max val="6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77623</xdr:colOff>
      <xdr:row>4</xdr:row>
      <xdr:rowOff>84680</xdr:rowOff>
    </xdr:from>
    <xdr:to>
      <xdr:col>23</xdr:col>
      <xdr:colOff>85026</xdr:colOff>
      <xdr:row>16</xdr:row>
      <xdr:rowOff>31380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CEE8D0B6-B25A-4CD9-B1AC-B43D65F8DE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73" t="41937" r="59235" b="33500"/>
        <a:stretch/>
      </xdr:blipFill>
      <xdr:spPr>
        <a:xfrm>
          <a:off x="9795391" y="810394"/>
          <a:ext cx="6141955" cy="2486700"/>
        </a:xfrm>
        <a:prstGeom prst="rect">
          <a:avLst/>
        </a:prstGeom>
      </xdr:spPr>
    </xdr:pic>
    <xdr:clientData/>
  </xdr:twoCellAnchor>
  <xdr:twoCellAnchor editAs="oneCell">
    <xdr:from>
      <xdr:col>4</xdr:col>
      <xdr:colOff>519390</xdr:colOff>
      <xdr:row>0</xdr:row>
      <xdr:rowOff>164754</xdr:rowOff>
    </xdr:from>
    <xdr:to>
      <xdr:col>7</xdr:col>
      <xdr:colOff>496774</xdr:colOff>
      <xdr:row>3</xdr:row>
      <xdr:rowOff>71636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1DA10DBD-A084-4E4F-AB1E-0A4B20698F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7242" t="67937" r="36947" b="24604"/>
        <a:stretch/>
      </xdr:blipFill>
      <xdr:spPr>
        <a:xfrm>
          <a:off x="3660372" y="164754"/>
          <a:ext cx="2896848" cy="451168"/>
        </a:xfrm>
        <a:prstGeom prst="rect">
          <a:avLst/>
        </a:prstGeom>
      </xdr:spPr>
    </xdr:pic>
    <xdr:clientData/>
  </xdr:twoCellAnchor>
  <xdr:twoCellAnchor editAs="oneCell">
    <xdr:from>
      <xdr:col>13</xdr:col>
      <xdr:colOff>74751</xdr:colOff>
      <xdr:row>20</xdr:row>
      <xdr:rowOff>84243</xdr:rowOff>
    </xdr:from>
    <xdr:to>
      <xdr:col>22</xdr:col>
      <xdr:colOff>356921</xdr:colOff>
      <xdr:row>32</xdr:row>
      <xdr:rowOff>84243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9C19F722-9A7E-4033-8EB6-8278672487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665" t="41357" r="63879" b="30400"/>
        <a:stretch/>
      </xdr:blipFill>
      <xdr:spPr>
        <a:xfrm>
          <a:off x="9739141" y="4173023"/>
          <a:ext cx="5733878" cy="2973659"/>
        </a:xfrm>
        <a:prstGeom prst="rect">
          <a:avLst/>
        </a:prstGeom>
      </xdr:spPr>
    </xdr:pic>
    <xdr:clientData/>
  </xdr:twoCellAnchor>
  <xdr:twoCellAnchor editAs="oneCell">
    <xdr:from>
      <xdr:col>5</xdr:col>
      <xdr:colOff>591485</xdr:colOff>
      <xdr:row>37</xdr:row>
      <xdr:rowOff>86230</xdr:rowOff>
    </xdr:from>
    <xdr:to>
      <xdr:col>10</xdr:col>
      <xdr:colOff>145379</xdr:colOff>
      <xdr:row>51</xdr:row>
      <xdr:rowOff>122789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F9E5B45B-36E1-4E21-9F42-A93FACC273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868" t="38134" r="56845" b="22645"/>
        <a:stretch/>
      </xdr:blipFill>
      <xdr:spPr>
        <a:xfrm>
          <a:off x="4478924" y="8077937"/>
          <a:ext cx="4244001" cy="2638511"/>
        </a:xfrm>
        <a:prstGeom prst="rect">
          <a:avLst/>
        </a:prstGeom>
      </xdr:spPr>
    </xdr:pic>
    <xdr:clientData/>
  </xdr:twoCellAnchor>
  <xdr:twoCellAnchor editAs="oneCell">
    <xdr:from>
      <xdr:col>4</xdr:col>
      <xdr:colOff>497756</xdr:colOff>
      <xdr:row>19</xdr:row>
      <xdr:rowOff>120733</xdr:rowOff>
    </xdr:from>
    <xdr:to>
      <xdr:col>7</xdr:col>
      <xdr:colOff>458546</xdr:colOff>
      <xdr:row>22</xdr:row>
      <xdr:rowOff>25207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48D1803C-A14A-42ED-9AA1-FCCFC70AF7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7242" t="67937" r="36947" b="24604"/>
        <a:stretch/>
      </xdr:blipFill>
      <xdr:spPr>
        <a:xfrm>
          <a:off x="3626293" y="4023660"/>
          <a:ext cx="2867808" cy="462035"/>
        </a:xfrm>
        <a:prstGeom prst="rect">
          <a:avLst/>
        </a:prstGeom>
      </xdr:spPr>
    </xdr:pic>
    <xdr:clientData/>
  </xdr:twoCellAnchor>
  <xdr:twoCellAnchor editAs="oneCell">
    <xdr:from>
      <xdr:col>5</xdr:col>
      <xdr:colOff>542226</xdr:colOff>
      <xdr:row>58</xdr:row>
      <xdr:rowOff>154693</xdr:rowOff>
    </xdr:from>
    <xdr:to>
      <xdr:col>11</xdr:col>
      <xdr:colOff>206471</xdr:colOff>
      <xdr:row>76</xdr:row>
      <xdr:rowOff>20502</xdr:rowOff>
    </xdr:to>
    <xdr:pic>
      <xdr:nvPicPr>
        <xdr:cNvPr id="8" name="Gambar 7">
          <a:extLst>
            <a:ext uri="{FF2B5EF4-FFF2-40B4-BE49-F238E27FC236}">
              <a16:creationId xmlns:a16="http://schemas.microsoft.com/office/drawing/2014/main" id="{FD9AF557-6A79-4557-A73F-0FE58646D8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778" t="33253" r="26119" b="18629"/>
        <a:stretch/>
      </xdr:blipFill>
      <xdr:spPr>
        <a:xfrm>
          <a:off x="4449344" y="12062811"/>
          <a:ext cx="5192479" cy="3227573"/>
        </a:xfrm>
        <a:prstGeom prst="rect">
          <a:avLst/>
        </a:prstGeom>
      </xdr:spPr>
    </xdr:pic>
    <xdr:clientData/>
  </xdr:twoCellAnchor>
  <xdr:twoCellAnchor editAs="oneCell">
    <xdr:from>
      <xdr:col>5</xdr:col>
      <xdr:colOff>413255</xdr:colOff>
      <xdr:row>82</xdr:row>
      <xdr:rowOff>93922</xdr:rowOff>
    </xdr:from>
    <xdr:to>
      <xdr:col>11</xdr:col>
      <xdr:colOff>117487</xdr:colOff>
      <xdr:row>99</xdr:row>
      <xdr:rowOff>63579</xdr:rowOff>
    </xdr:to>
    <xdr:pic>
      <xdr:nvPicPr>
        <xdr:cNvPr id="9" name="Gambar 8">
          <a:extLst>
            <a:ext uri="{FF2B5EF4-FFF2-40B4-BE49-F238E27FC236}">
              <a16:creationId xmlns:a16="http://schemas.microsoft.com/office/drawing/2014/main" id="{9CC5FE8A-30A8-4DCB-AA15-6F17BAD227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8423" t="33494" r="27117" b="20563"/>
        <a:stretch/>
      </xdr:blipFill>
      <xdr:spPr>
        <a:xfrm>
          <a:off x="4313969" y="16120112"/>
          <a:ext cx="5227723" cy="3053943"/>
        </a:xfrm>
        <a:prstGeom prst="rect">
          <a:avLst/>
        </a:prstGeom>
      </xdr:spPr>
    </xdr:pic>
    <xdr:clientData/>
  </xdr:twoCellAnchor>
  <xdr:twoCellAnchor editAs="oneCell">
    <xdr:from>
      <xdr:col>24</xdr:col>
      <xdr:colOff>237830</xdr:colOff>
      <xdr:row>3</xdr:row>
      <xdr:rowOff>175931</xdr:rowOff>
    </xdr:from>
    <xdr:to>
      <xdr:col>32</xdr:col>
      <xdr:colOff>367028</xdr:colOff>
      <xdr:row>14</xdr:row>
      <xdr:rowOff>96105</xdr:rowOff>
    </xdr:to>
    <xdr:pic>
      <xdr:nvPicPr>
        <xdr:cNvPr id="10" name="Gambar 9">
          <a:extLst>
            <a:ext uri="{FF2B5EF4-FFF2-40B4-BE49-F238E27FC236}">
              <a16:creationId xmlns:a16="http://schemas.microsoft.com/office/drawing/2014/main" id="{E0139627-2131-4702-9DA2-BA82EB224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9170" t="49114" r="27231" b="15528"/>
        <a:stretch/>
      </xdr:blipFill>
      <xdr:spPr>
        <a:xfrm>
          <a:off x="17787916" y="734293"/>
          <a:ext cx="5034026" cy="2339743"/>
        </a:xfrm>
        <a:prstGeom prst="rect">
          <a:avLst/>
        </a:prstGeom>
      </xdr:spPr>
    </xdr:pic>
    <xdr:clientData/>
  </xdr:twoCellAnchor>
  <xdr:twoCellAnchor editAs="oneCell">
    <xdr:from>
      <xdr:col>23</xdr:col>
      <xdr:colOff>599926</xdr:colOff>
      <xdr:row>20</xdr:row>
      <xdr:rowOff>45964</xdr:rowOff>
    </xdr:from>
    <xdr:to>
      <xdr:col>32</xdr:col>
      <xdr:colOff>190139</xdr:colOff>
      <xdr:row>33</xdr:row>
      <xdr:rowOff>75597</xdr:rowOff>
    </xdr:to>
    <xdr:pic>
      <xdr:nvPicPr>
        <xdr:cNvPr id="11" name="Gambar 10">
          <a:extLst>
            <a:ext uri="{FF2B5EF4-FFF2-40B4-BE49-F238E27FC236}">
              <a16:creationId xmlns:a16="http://schemas.microsoft.com/office/drawing/2014/main" id="{F80DD5FA-6E9F-48D6-B08C-A4F97A0B0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1041" t="47401" r="26712" b="15560"/>
        <a:stretch/>
      </xdr:blipFill>
      <xdr:spPr>
        <a:xfrm>
          <a:off x="17442545" y="4037393"/>
          <a:ext cx="5033070" cy="3113918"/>
        </a:xfrm>
        <a:prstGeom prst="rect">
          <a:avLst/>
        </a:prstGeom>
      </xdr:spPr>
    </xdr:pic>
    <xdr:clientData/>
  </xdr:twoCellAnchor>
  <xdr:twoCellAnchor editAs="oneCell">
    <xdr:from>
      <xdr:col>11</xdr:col>
      <xdr:colOff>347738</xdr:colOff>
      <xdr:row>36</xdr:row>
      <xdr:rowOff>30238</xdr:rowOff>
    </xdr:from>
    <xdr:to>
      <xdr:col>19</xdr:col>
      <xdr:colOff>393095</xdr:colOff>
      <xdr:row>53</xdr:row>
      <xdr:rowOff>70237</xdr:rowOff>
    </xdr:to>
    <xdr:pic>
      <xdr:nvPicPr>
        <xdr:cNvPr id="12" name="Gambar 11">
          <a:extLst>
            <a:ext uri="{FF2B5EF4-FFF2-40B4-BE49-F238E27FC236}">
              <a16:creationId xmlns:a16="http://schemas.microsoft.com/office/drawing/2014/main" id="{776D4B93-D475-4C9F-A968-4F3C89A7A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3487" t="48066" r="35011" b="16216"/>
        <a:stretch/>
      </xdr:blipFill>
      <xdr:spPr>
        <a:xfrm>
          <a:off x="9918095" y="7650238"/>
          <a:ext cx="4898571" cy="31242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166309</xdr:rowOff>
    </xdr:from>
    <xdr:to>
      <xdr:col>19</xdr:col>
      <xdr:colOff>453572</xdr:colOff>
      <xdr:row>102</xdr:row>
      <xdr:rowOff>45357</xdr:rowOff>
    </xdr:to>
    <xdr:pic>
      <xdr:nvPicPr>
        <xdr:cNvPr id="13" name="Gambar 12">
          <a:extLst>
            <a:ext uri="{FF2B5EF4-FFF2-40B4-BE49-F238E27FC236}">
              <a16:creationId xmlns:a16="http://schemas.microsoft.com/office/drawing/2014/main" id="{2EE793B2-A497-458C-9DA5-9B46A8F877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4809" t="47772" r="39477" b="16363"/>
        <a:stretch/>
      </xdr:blipFill>
      <xdr:spPr>
        <a:xfrm>
          <a:off x="10175119" y="15950595"/>
          <a:ext cx="4702024" cy="368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514048</xdr:colOff>
      <xdr:row>57</xdr:row>
      <xdr:rowOff>151190</xdr:rowOff>
    </xdr:from>
    <xdr:to>
      <xdr:col>19</xdr:col>
      <xdr:colOff>398543</xdr:colOff>
      <xdr:row>74</xdr:row>
      <xdr:rowOff>90714</xdr:rowOff>
    </xdr:to>
    <xdr:pic>
      <xdr:nvPicPr>
        <xdr:cNvPr id="14" name="Gambar 13">
          <a:extLst>
            <a:ext uri="{FF2B5EF4-FFF2-40B4-BE49-F238E27FC236}">
              <a16:creationId xmlns:a16="http://schemas.microsoft.com/office/drawing/2014/main" id="{4665BAF7-AAF6-4EA6-9FE7-C2C7EA3CD7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3982" t="46155" r="34020" b="17538"/>
        <a:stretch/>
      </xdr:blipFill>
      <xdr:spPr>
        <a:xfrm>
          <a:off x="10084405" y="11581190"/>
          <a:ext cx="4737709" cy="30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74966</xdr:colOff>
      <xdr:row>0</xdr:row>
      <xdr:rowOff>156543</xdr:rowOff>
    </xdr:from>
    <xdr:to>
      <xdr:col>3</xdr:col>
      <xdr:colOff>1080382</xdr:colOff>
      <xdr:row>3</xdr:row>
      <xdr:rowOff>73822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B200C2C2-9B2E-4422-A1D2-C770C4E03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29" t="37451" r="84238" b="52443"/>
        <a:stretch/>
      </xdr:blipFill>
      <xdr:spPr>
        <a:xfrm>
          <a:off x="2323924" y="156543"/>
          <a:ext cx="1005416" cy="472904"/>
        </a:xfrm>
        <a:prstGeom prst="rect">
          <a:avLst/>
        </a:prstGeom>
      </xdr:spPr>
    </xdr:pic>
    <xdr:clientData/>
  </xdr:twoCellAnchor>
  <xdr:twoCellAnchor editAs="oneCell">
    <xdr:from>
      <xdr:col>5</xdr:col>
      <xdr:colOff>42426</xdr:colOff>
      <xdr:row>0</xdr:row>
      <xdr:rowOff>81428</xdr:rowOff>
    </xdr:from>
    <xdr:to>
      <xdr:col>6</xdr:col>
      <xdr:colOff>300659</xdr:colOff>
      <xdr:row>4</xdr:row>
      <xdr:rowOff>158751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B4B421C9-5B76-4CF3-BCC2-D53B7A66D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196" t="36033" r="69511" b="50084"/>
        <a:stretch/>
      </xdr:blipFill>
      <xdr:spPr>
        <a:xfrm>
          <a:off x="4169926" y="81428"/>
          <a:ext cx="866775" cy="818156"/>
        </a:xfrm>
        <a:prstGeom prst="rect">
          <a:avLst/>
        </a:prstGeom>
      </xdr:spPr>
    </xdr:pic>
    <xdr:clientData/>
  </xdr:twoCellAnchor>
  <xdr:twoCellAnchor>
    <xdr:from>
      <xdr:col>0</xdr:col>
      <xdr:colOff>535119</xdr:colOff>
      <xdr:row>11</xdr:row>
      <xdr:rowOff>143139</xdr:rowOff>
    </xdr:from>
    <xdr:to>
      <xdr:col>4</xdr:col>
      <xdr:colOff>6615</xdr:colOff>
      <xdr:row>22</xdr:row>
      <xdr:rowOff>79375</xdr:rowOff>
    </xdr:to>
    <xdr:graphicFrame macro="">
      <xdr:nvGraphicFramePr>
        <xdr:cNvPr id="4" name="Bagan 3">
          <a:extLst>
            <a:ext uri="{FF2B5EF4-FFF2-40B4-BE49-F238E27FC236}">
              <a16:creationId xmlns:a16="http://schemas.microsoft.com/office/drawing/2014/main" id="{E68AC16A-5C19-4AEB-A333-745DA402D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467636</xdr:colOff>
      <xdr:row>1</xdr:row>
      <xdr:rowOff>95990</xdr:rowOff>
    </xdr:from>
    <xdr:to>
      <xdr:col>21</xdr:col>
      <xdr:colOff>189254</xdr:colOff>
      <xdr:row>5</xdr:row>
      <xdr:rowOff>17229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6A077F24-67A1-42D4-9E79-890342B41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11" t="38132" r="79782" b="55412"/>
        <a:stretch/>
      </xdr:blipFill>
      <xdr:spPr>
        <a:xfrm>
          <a:off x="10273217" y="280583"/>
          <a:ext cx="3274926" cy="659611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47625</xdr:colOff>
      <xdr:row>2</xdr:row>
      <xdr:rowOff>5555</xdr:rowOff>
    </xdr:from>
    <xdr:to>
      <xdr:col>31</xdr:col>
      <xdr:colOff>67469</xdr:colOff>
      <xdr:row>6</xdr:row>
      <xdr:rowOff>150017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136E0E09-FBAC-4DAC-A71A-E674E83C8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6094" t="38330" r="30396" b="52995"/>
        <a:stretch/>
      </xdr:blipFill>
      <xdr:spPr>
        <a:xfrm>
          <a:off x="16062325" y="373855"/>
          <a:ext cx="2458244" cy="881062"/>
        </a:xfrm>
        <a:prstGeom prst="rect">
          <a:avLst/>
        </a:prstGeom>
      </xdr:spPr>
    </xdr:pic>
    <xdr:clientData/>
  </xdr:twoCellAnchor>
  <xdr:twoCellAnchor editAs="oneCell">
    <xdr:from>
      <xdr:col>27</xdr:col>
      <xdr:colOff>57125</xdr:colOff>
      <xdr:row>21</xdr:row>
      <xdr:rowOff>80312</xdr:rowOff>
    </xdr:from>
    <xdr:to>
      <xdr:col>30</xdr:col>
      <xdr:colOff>221932</xdr:colOff>
      <xdr:row>24</xdr:row>
      <xdr:rowOff>160472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773299FC-BFCE-4C38-BA6A-44B0577E49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77" t="38271" r="82216" b="53186"/>
        <a:stretch/>
      </xdr:blipFill>
      <xdr:spPr>
        <a:xfrm>
          <a:off x="16039449" y="4024467"/>
          <a:ext cx="1989314" cy="643611"/>
        </a:xfrm>
        <a:prstGeom prst="rect">
          <a:avLst/>
        </a:prstGeom>
      </xdr:spPr>
    </xdr:pic>
    <xdr:clientData/>
  </xdr:twoCellAnchor>
  <xdr:twoCellAnchor editAs="oneCell">
    <xdr:from>
      <xdr:col>37</xdr:col>
      <xdr:colOff>83630</xdr:colOff>
      <xdr:row>2</xdr:row>
      <xdr:rowOff>52831</xdr:rowOff>
    </xdr:from>
    <xdr:to>
      <xdr:col>40</xdr:col>
      <xdr:colOff>248437</xdr:colOff>
      <xdr:row>5</xdr:row>
      <xdr:rowOff>132992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E4422FF2-24EB-4791-AEC8-4A96F5854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77" t="38271" r="82216" b="53186"/>
        <a:stretch/>
      </xdr:blipFill>
      <xdr:spPr>
        <a:xfrm>
          <a:off x="21892994" y="422286"/>
          <a:ext cx="2000534" cy="6343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194687</xdr:colOff>
      <xdr:row>18</xdr:row>
      <xdr:rowOff>119673</xdr:rowOff>
    </xdr:from>
    <xdr:to>
      <xdr:col>29</xdr:col>
      <xdr:colOff>234536</xdr:colOff>
      <xdr:row>22</xdr:row>
      <xdr:rowOff>87924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3F10AEB5-D7C0-405A-9493-CDF26EF1EF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983" t="37366" r="56552" b="51085"/>
        <a:stretch/>
      </xdr:blipFill>
      <xdr:spPr>
        <a:xfrm>
          <a:off x="800379" y="12770827"/>
          <a:ext cx="2459363" cy="710711"/>
        </a:xfrm>
        <a:prstGeom prst="rect">
          <a:avLst/>
        </a:prstGeom>
      </xdr:spPr>
    </xdr:pic>
    <xdr:clientData/>
  </xdr:twoCellAnchor>
  <xdr:twoCellAnchor editAs="oneCell">
    <xdr:from>
      <xdr:col>25</xdr:col>
      <xdr:colOff>74083</xdr:colOff>
      <xdr:row>1</xdr:row>
      <xdr:rowOff>52916</xdr:rowOff>
    </xdr:from>
    <xdr:to>
      <xdr:col>28</xdr:col>
      <xdr:colOff>52101</xdr:colOff>
      <xdr:row>5</xdr:row>
      <xdr:rowOff>31750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365A2615-781B-4978-91A7-BF6F7BE862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131" t="35039" r="81090" b="57944"/>
        <a:stretch/>
      </xdr:blipFill>
      <xdr:spPr>
        <a:xfrm>
          <a:off x="687916" y="9154583"/>
          <a:ext cx="1799167" cy="698500"/>
        </a:xfrm>
        <a:prstGeom prst="rect">
          <a:avLst/>
        </a:prstGeom>
      </xdr:spPr>
    </xdr:pic>
    <xdr:clientData/>
  </xdr:twoCellAnchor>
  <xdr:twoCellAnchor editAs="oneCell">
    <xdr:from>
      <xdr:col>28</xdr:col>
      <xdr:colOff>84667</xdr:colOff>
      <xdr:row>1</xdr:row>
      <xdr:rowOff>73946</xdr:rowOff>
    </xdr:from>
    <xdr:to>
      <xdr:col>30</xdr:col>
      <xdr:colOff>275984</xdr:colOff>
      <xdr:row>5</xdr:row>
      <xdr:rowOff>31748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ADCEA854-04EE-4AA0-869C-3EA823C6F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568" t="61259" r="81400" b="30767"/>
        <a:stretch/>
      </xdr:blipFill>
      <xdr:spPr>
        <a:xfrm>
          <a:off x="2677584" y="9175613"/>
          <a:ext cx="1418167" cy="677468"/>
        </a:xfrm>
        <a:prstGeom prst="rect">
          <a:avLst/>
        </a:prstGeom>
      </xdr:spPr>
    </xdr:pic>
    <xdr:clientData/>
  </xdr:twoCellAnchor>
  <xdr:twoCellAnchor editAs="oneCell">
    <xdr:from>
      <xdr:col>0</xdr:col>
      <xdr:colOff>548055</xdr:colOff>
      <xdr:row>25</xdr:row>
      <xdr:rowOff>165477</xdr:rowOff>
    </xdr:from>
    <xdr:to>
      <xdr:col>9</xdr:col>
      <xdr:colOff>276316</xdr:colOff>
      <xdr:row>42</xdr:row>
      <xdr:rowOff>94780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0337895E-DEDE-4F90-A38F-C96780AF0A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368" t="29212" r="58752" b="41275"/>
        <a:stretch/>
      </xdr:blipFill>
      <xdr:spPr>
        <a:xfrm>
          <a:off x="548055" y="5143058"/>
          <a:ext cx="6306679" cy="3026117"/>
        </a:xfrm>
        <a:prstGeom prst="rect">
          <a:avLst/>
        </a:prstGeom>
      </xdr:spPr>
    </xdr:pic>
    <xdr:clientData/>
  </xdr:twoCellAnchor>
  <xdr:twoCellAnchor editAs="oneCell">
    <xdr:from>
      <xdr:col>24</xdr:col>
      <xdr:colOff>120559</xdr:colOff>
      <xdr:row>26</xdr:row>
      <xdr:rowOff>110688</xdr:rowOff>
    </xdr:from>
    <xdr:to>
      <xdr:col>31</xdr:col>
      <xdr:colOff>150740</xdr:colOff>
      <xdr:row>35</xdr:row>
      <xdr:rowOff>178784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F6665354-4610-4758-8107-2F5258AC14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119" t="36488" r="47381" b="46863"/>
        <a:stretch/>
      </xdr:blipFill>
      <xdr:spPr>
        <a:xfrm>
          <a:off x="120559" y="18112064"/>
          <a:ext cx="4295705" cy="17458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402412</xdr:colOff>
      <xdr:row>1</xdr:row>
      <xdr:rowOff>65900</xdr:rowOff>
    </xdr:from>
    <xdr:to>
      <xdr:col>5</xdr:col>
      <xdr:colOff>128039</xdr:colOff>
      <xdr:row>3</xdr:row>
      <xdr:rowOff>36365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A5FF69B2-2C17-4B60-9942-89BE3D416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166" t="42644" r="43827" b="54076"/>
        <a:stretch/>
      </xdr:blipFill>
      <xdr:spPr>
        <a:xfrm>
          <a:off x="1013600" y="248463"/>
          <a:ext cx="2385680" cy="335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CACD-CA2B-4091-9A75-33431BB39547}">
  <dimension ref="A1:F39"/>
  <sheetViews>
    <sheetView zoomScale="70" workbookViewId="0">
      <selection activeCell="F4" sqref="F4"/>
    </sheetView>
  </sheetViews>
  <sheetFormatPr defaultRowHeight="14.5" x14ac:dyDescent="0.35"/>
  <cols>
    <col min="1" max="1" width="10.6328125" style="1" customWidth="1"/>
    <col min="2" max="2" width="9.08984375" style="1" customWidth="1"/>
    <col min="3" max="3" width="8.7265625" style="1"/>
    <col min="4" max="4" width="12.90625" style="1" customWidth="1"/>
    <col min="5" max="5" width="8.7265625" style="1"/>
    <col min="6" max="6" width="10.36328125" style="1" customWidth="1"/>
    <col min="7" max="16384" width="8.7265625" style="1"/>
  </cols>
  <sheetData>
    <row r="1" spans="1:6" x14ac:dyDescent="0.35">
      <c r="A1" s="2" t="s">
        <v>1</v>
      </c>
      <c r="B1" s="2" t="s">
        <v>2</v>
      </c>
      <c r="C1" s="2" t="s">
        <v>3</v>
      </c>
      <c r="D1" s="2" t="s">
        <v>4</v>
      </c>
      <c r="F1" s="1" t="s">
        <v>5</v>
      </c>
    </row>
    <row r="2" spans="1:6" x14ac:dyDescent="0.35">
      <c r="A2" s="3">
        <v>1</v>
      </c>
      <c r="B2" s="3">
        <v>1</v>
      </c>
      <c r="C2" s="3">
        <f>ABS((COS(4)-B2)/COS(4)*100)</f>
        <v>252.98856564663973</v>
      </c>
      <c r="D2" s="4" t="s">
        <v>0</v>
      </c>
      <c r="F2" s="1" t="s">
        <v>8</v>
      </c>
    </row>
    <row r="3" spans="1:6" x14ac:dyDescent="0.35">
      <c r="A3" s="3">
        <v>2</v>
      </c>
      <c r="B3" s="3">
        <f>1-4^2/FACT(2)</f>
        <v>-7</v>
      </c>
      <c r="C3" s="3">
        <f t="shared" ref="C3:C11" si="0">ABS((COS(4)-B3)/COS(4)*100)</f>
        <v>970.91995952647835</v>
      </c>
      <c r="D3" s="3">
        <f>ABS((B3-B2)/B3*100)</f>
        <v>114.28571428571428</v>
      </c>
    </row>
    <row r="4" spans="1:6" x14ac:dyDescent="0.35">
      <c r="A4" s="3">
        <v>3</v>
      </c>
      <c r="B4" s="3">
        <f>1-4^2/FACT(2)+4^4/FACT(4)</f>
        <v>3.6666666666666661</v>
      </c>
      <c r="C4" s="3">
        <f t="shared" si="0"/>
        <v>660.9580740376789</v>
      </c>
      <c r="D4" s="3">
        <f t="shared" ref="D4:D11" si="1">ABS((B4-B3)/B4*100)</f>
        <v>290.90909090909093</v>
      </c>
      <c r="F4" s="1" t="s">
        <v>28</v>
      </c>
    </row>
    <row r="5" spans="1:6" x14ac:dyDescent="0.35">
      <c r="A5" s="3">
        <v>4</v>
      </c>
      <c r="B5" s="3">
        <f>1-4^2/FACT(2)+4^4/FACT(4)-4^6/FACT(6)</f>
        <v>-2.022222222222223</v>
      </c>
      <c r="C5" s="3">
        <f t="shared" si="0"/>
        <v>209.37687719653832</v>
      </c>
      <c r="D5" s="3">
        <f t="shared" si="1"/>
        <v>281.31868131868123</v>
      </c>
    </row>
    <row r="6" spans="1:6" x14ac:dyDescent="0.35">
      <c r="A6" s="3">
        <v>5</v>
      </c>
      <c r="B6" s="3">
        <f>1-4^2/FACT(2)+4^4/FACT(4)-4^6/FACT(6)+4^8/FACT(8)</f>
        <v>-0.39682539682539764</v>
      </c>
      <c r="C6" s="3">
        <f t="shared" si="0"/>
        <v>39.290251727523781</v>
      </c>
      <c r="D6" s="3">
        <f t="shared" si="1"/>
        <v>409.59999999999911</v>
      </c>
    </row>
    <row r="7" spans="1:6" x14ac:dyDescent="0.35">
      <c r="A7" s="3">
        <v>6</v>
      </c>
      <c r="B7" s="3">
        <f>1-4^2/FACT(2)+4^4/FACT(4)-4^6/FACT(6)+4^8/FACT(8)-4^10/FACT(10)</f>
        <v>-0.6857848324514999</v>
      </c>
      <c r="C7" s="3">
        <f t="shared" si="0"/>
        <v>4.9172378589761356</v>
      </c>
      <c r="D7" s="3">
        <f t="shared" si="1"/>
        <v>42.13558275897536</v>
      </c>
    </row>
    <row r="8" spans="1:6" x14ac:dyDescent="0.35">
      <c r="A8" s="3">
        <v>7</v>
      </c>
      <c r="B8" s="3">
        <f>1-4^2/FACT(2)+4^4/FACT(4)-4^6/FACT(6)+4^8/FACT(8)-4^10/FACT(10)+4^12/FACT(12)</f>
        <v>-0.6507594463150026</v>
      </c>
      <c r="C8" s="3">
        <f t="shared" si="0"/>
        <v>0.4412457272662878</v>
      </c>
      <c r="D8" s="3">
        <f t="shared" si="1"/>
        <v>5.3822324569904341</v>
      </c>
    </row>
    <row r="9" spans="1:6" x14ac:dyDescent="0.35">
      <c r="A9" s="3">
        <v>8</v>
      </c>
      <c r="B9" s="3">
        <f>1-4^2/FACT(2)+4^4/FACT(4)-4^6/FACT(6)+4^8/FACT(8)-4^10/FACT(10)+4^12/FACT(12)-4^14/FACT(14)</f>
        <v>-0.65383860114018921</v>
      </c>
      <c r="C9" s="3">
        <f t="shared" si="0"/>
        <v>2.9829752842942005E-2</v>
      </c>
      <c r="D9" s="3">
        <f t="shared" si="1"/>
        <v>0.47093500136227257</v>
      </c>
    </row>
    <row r="10" spans="1:6" x14ac:dyDescent="0.35">
      <c r="A10" s="3">
        <v>9</v>
      </c>
      <c r="B10" s="3">
        <f>1-4^2/FACT(2)+4^4/FACT(4)-4^6/FACT(6)+4^8/FACT(8)-4^10/FACT(10)+4^12/FACT(12)-4^14/FACT(14)-4^16/FACT(16)</f>
        <v>-0.65404387812853504</v>
      </c>
      <c r="C10" s="3">
        <f t="shared" si="0"/>
        <v>6.1234784850231927E-2</v>
      </c>
      <c r="D10" s="3">
        <f t="shared" si="1"/>
        <v>3.1385812972242869E-2</v>
      </c>
    </row>
    <row r="11" spans="1:6" x14ac:dyDescent="0.35">
      <c r="A11" s="3">
        <v>10</v>
      </c>
      <c r="B11" s="5">
        <f>1-4^2/FACT(2)+4^4/FACT(4)-4^6/FACT(6)+4^8/FACT(8)-4^10/FACT(10)+4^12/FACT(12)-4^14/FACT(14)-4^16/FACT(16)+4^18/FACT(18)</f>
        <v>-0.65403314469123597</v>
      </c>
      <c r="C11" s="3">
        <f t="shared" si="0"/>
        <v>5.9592691673388931E-2</v>
      </c>
      <c r="D11" s="3">
        <f t="shared" si="1"/>
        <v>1.6411151921265413E-3</v>
      </c>
    </row>
    <row r="14" spans="1:6" x14ac:dyDescent="0.35">
      <c r="A14" s="2" t="s">
        <v>1</v>
      </c>
      <c r="B14" s="2" t="s">
        <v>2</v>
      </c>
      <c r="C14" s="2" t="s">
        <v>3</v>
      </c>
      <c r="D14" s="2" t="s">
        <v>4</v>
      </c>
      <c r="F14" s="1" t="s">
        <v>6</v>
      </c>
    </row>
    <row r="15" spans="1:6" x14ac:dyDescent="0.35">
      <c r="A15" s="3">
        <v>1</v>
      </c>
      <c r="B15" s="3">
        <v>2</v>
      </c>
      <c r="C15" s="3">
        <f>ABS((SIN(2)-B15)/SIN(2)*100)</f>
        <v>119.95003405892328</v>
      </c>
      <c r="D15" s="4" t="s">
        <v>0</v>
      </c>
      <c r="F15" s="1" t="s">
        <v>9</v>
      </c>
    </row>
    <row r="16" spans="1:6" x14ac:dyDescent="0.35">
      <c r="A16" s="3">
        <v>2</v>
      </c>
      <c r="B16" s="3">
        <f>2-2^3/FACT(3)</f>
        <v>0.66666666666666674</v>
      </c>
      <c r="C16" s="3">
        <f t="shared" ref="C16:C19" si="2">ABS((SIN(2)-B16)/SIN(2)*100)</f>
        <v>26.683321980358894</v>
      </c>
      <c r="D16" s="3">
        <f>ABS((B16-B15)/B16*100)</f>
        <v>199.99999999999994</v>
      </c>
    </row>
    <row r="17" spans="1:6" x14ac:dyDescent="0.35">
      <c r="A17" s="3">
        <v>3</v>
      </c>
      <c r="B17" s="3">
        <f>2-2^3/FACT(3)+2^3/FACT(5)</f>
        <v>0.73333333333333339</v>
      </c>
      <c r="C17" s="3">
        <f t="shared" si="2"/>
        <v>19.351654178394785</v>
      </c>
      <c r="D17" s="3">
        <f t="shared" ref="D17:D19" si="3">ABS((B17-B16)/B17*100)</f>
        <v>9.0909090909090882</v>
      </c>
      <c r="F17" s="1" t="s">
        <v>29</v>
      </c>
    </row>
    <row r="18" spans="1:6" x14ac:dyDescent="0.35">
      <c r="A18" s="3">
        <v>4</v>
      </c>
      <c r="B18" s="3">
        <f>2-2^3/FACT(3)+2^5/FACT(5)-2^7/FACT(7)</f>
        <v>0.90793650793650793</v>
      </c>
      <c r="C18" s="3">
        <f t="shared" si="2"/>
        <v>0.14966707801260234</v>
      </c>
      <c r="D18" s="3">
        <f t="shared" si="3"/>
        <v>19.230769230769223</v>
      </c>
    </row>
    <row r="19" spans="1:6" x14ac:dyDescent="0.35">
      <c r="A19" s="3">
        <v>5</v>
      </c>
      <c r="B19" s="5">
        <f>2-2^3/FACT(3)+2^5/FACT(5)-2^7/FACT(7)+2^9/FACT(9)</f>
        <v>0.90934744268077605</v>
      </c>
      <c r="C19" s="3">
        <f t="shared" si="2"/>
        <v>5.5004945157434608E-3</v>
      </c>
      <c r="D19" s="3">
        <f t="shared" si="3"/>
        <v>0.15515903801396919</v>
      </c>
    </row>
    <row r="22" spans="1:6" x14ac:dyDescent="0.35">
      <c r="A22" s="2"/>
      <c r="B22" s="2" t="s">
        <v>2</v>
      </c>
      <c r="C22" s="2" t="s">
        <v>3</v>
      </c>
      <c r="D22" s="2" t="s">
        <v>4</v>
      </c>
      <c r="F22" s="1" t="s">
        <v>7</v>
      </c>
    </row>
    <row r="23" spans="1:6" x14ac:dyDescent="0.35">
      <c r="A23" s="3">
        <v>1</v>
      </c>
      <c r="B23" s="3">
        <v>1</v>
      </c>
      <c r="C23" s="3">
        <f>ABS((EXP(2)-B23)/EXP(2)*100)</f>
        <v>86.466471676338728</v>
      </c>
      <c r="D23" s="4" t="s">
        <v>0</v>
      </c>
      <c r="F23" s="1" t="s">
        <v>10</v>
      </c>
    </row>
    <row r="24" spans="1:6" x14ac:dyDescent="0.35">
      <c r="A24" s="3">
        <v>2</v>
      </c>
      <c r="B24" s="3">
        <f>1+2</f>
        <v>3</v>
      </c>
      <c r="C24" s="3">
        <f t="shared" ref="C24:C32" si="4">ABS((EXP(2)-B24)/EXP(2)*100)</f>
        <v>59.39941502901619</v>
      </c>
      <c r="D24" s="3">
        <f>ABS((B24-B23)/B24*100)</f>
        <v>66.666666666666657</v>
      </c>
    </row>
    <row r="25" spans="1:6" x14ac:dyDescent="0.35">
      <c r="A25" s="3">
        <v>3</v>
      </c>
      <c r="B25" s="3">
        <f>1+2+1/FACT(2)*2^2</f>
        <v>5</v>
      </c>
      <c r="C25" s="3">
        <f t="shared" si="4"/>
        <v>32.332358381693652</v>
      </c>
      <c r="D25" s="3">
        <f t="shared" ref="D25:D32" si="5">ABS((B25-B24)/B25*100)</f>
        <v>40</v>
      </c>
      <c r="F25" s="1" t="s">
        <v>30</v>
      </c>
    </row>
    <row r="26" spans="1:6" x14ac:dyDescent="0.35">
      <c r="A26" s="3">
        <v>4</v>
      </c>
      <c r="B26" s="3">
        <f>1+2+1/FACT(2)*2^2+1/FACT(3)*2^3</f>
        <v>6.333333333333333</v>
      </c>
      <c r="C26" s="3">
        <f t="shared" si="4"/>
        <v>14.287653950145302</v>
      </c>
      <c r="D26" s="3">
        <f t="shared" si="5"/>
        <v>21.052631578947363</v>
      </c>
    </row>
    <row r="27" spans="1:6" x14ac:dyDescent="0.35">
      <c r="A27" s="3">
        <v>5</v>
      </c>
      <c r="B27" s="3">
        <f>1+2+1/FACT(2)*2^2+1/FACT(3)*2^3+1/FACT(4)*2^4</f>
        <v>7</v>
      </c>
      <c r="C27" s="3">
        <f t="shared" si="4"/>
        <v>5.2653017343711177</v>
      </c>
      <c r="D27" s="3">
        <f t="shared" si="5"/>
        <v>9.5238095238095273</v>
      </c>
    </row>
    <row r="28" spans="1:6" x14ac:dyDescent="0.35">
      <c r="A28" s="3">
        <v>6</v>
      </c>
      <c r="B28" s="3">
        <f>1+2+1/FACT(2)*2^2+1/FACT(3)*2^3+1/FACT(4)*2^4+1/FACT(5)*2^5</f>
        <v>7.2666666666666666</v>
      </c>
      <c r="C28" s="3">
        <f t="shared" si="4"/>
        <v>1.6563608480614471</v>
      </c>
      <c r="D28" s="3">
        <f t="shared" si="5"/>
        <v>3.6697247706422012</v>
      </c>
    </row>
    <row r="29" spans="1:6" x14ac:dyDescent="0.35">
      <c r="A29" s="3">
        <v>7</v>
      </c>
      <c r="B29" s="3">
        <f>1+2+1/FACT(2)*2^2+1/FACT(3)*2^3+1/FACT(4)*2^4+1/FACT(5)*2^5+1/FACT(6)*2^6</f>
        <v>7.3555555555555552</v>
      </c>
      <c r="C29" s="3">
        <f t="shared" si="4"/>
        <v>0.45338055262489413</v>
      </c>
      <c r="D29" s="3">
        <f t="shared" si="5"/>
        <v>1.2084592145015065</v>
      </c>
    </row>
    <row r="30" spans="1:6" x14ac:dyDescent="0.35">
      <c r="A30" s="3">
        <v>8</v>
      </c>
      <c r="B30" s="3">
        <f>1+2+1/FACT(2)*2^2+1/FACT(3)*2^3+1/FACT(4)*2^4+1/FACT(5)*2^5+1/FACT(6)*2^6+1/FACT(7)*2^7</f>
        <v>7.3809523809523805</v>
      </c>
      <c r="C30" s="3">
        <f t="shared" si="4"/>
        <v>0.10967189678587899</v>
      </c>
      <c r="D30" s="3">
        <f t="shared" si="5"/>
        <v>0.34408602150537515</v>
      </c>
    </row>
    <row r="31" spans="1:6" x14ac:dyDescent="0.35">
      <c r="A31" s="3">
        <v>9</v>
      </c>
      <c r="B31" s="3">
        <f>1+2+1/FACT(2)*2^2+1/FACT(3)*2^3+1/FACT(4)*2^4+1/FACT(5)*2^5+1/FACT(6)*2^6+1/FACT(7)*2^7+1/FACT(8)*2^8</f>
        <v>7.3873015873015868</v>
      </c>
      <c r="C31" s="3">
        <f t="shared" si="4"/>
        <v>2.3744732826125211E-2</v>
      </c>
      <c r="D31" s="3">
        <f t="shared" si="5"/>
        <v>8.5947571981091236E-2</v>
      </c>
    </row>
    <row r="32" spans="1:6" x14ac:dyDescent="0.35">
      <c r="A32" s="3">
        <v>10</v>
      </c>
      <c r="B32" s="5">
        <f>1+2+1/FACT(2)*2^2+1/FACT(3)*2^3+1/FACT(4)*2^4+1/FACT(5)*2^5+1/FACT(6)*2^6+1/FACT(7)*2^7+1/FACT(8)*2^8+1/FACT(9)*2^9</f>
        <v>7.3887125220458545</v>
      </c>
      <c r="C32" s="3">
        <f t="shared" si="4"/>
        <v>4.6498075017408248E-3</v>
      </c>
      <c r="D32" s="3">
        <f t="shared" si="5"/>
        <v>1.9095813242941077E-2</v>
      </c>
    </row>
    <row r="35" spans="1:6" x14ac:dyDescent="0.35">
      <c r="A35" s="2" t="s">
        <v>1</v>
      </c>
      <c r="B35" s="2" t="s">
        <v>2</v>
      </c>
      <c r="C35" s="2" t="s">
        <v>3</v>
      </c>
      <c r="D35" s="2" t="s">
        <v>4</v>
      </c>
      <c r="F35" s="1" t="s">
        <v>6</v>
      </c>
    </row>
    <row r="36" spans="1:6" x14ac:dyDescent="0.35">
      <c r="A36" s="3">
        <v>1</v>
      </c>
      <c r="B36" s="3">
        <f>(RADIANS(60))</f>
        <v>1.0471975511965976</v>
      </c>
      <c r="C36" s="3">
        <f>ABS((SIN(RADIANS(60))-B36)/SIN(RADIANS(60))*100)</f>
        <v>20.919957615614518</v>
      </c>
      <c r="D36" s="4" t="s">
        <v>0</v>
      </c>
      <c r="F36" s="1" t="s">
        <v>9</v>
      </c>
    </row>
    <row r="37" spans="1:6" x14ac:dyDescent="0.35">
      <c r="A37" s="3">
        <v>2</v>
      </c>
      <c r="B37" s="3">
        <f>(RADIANS(60))-(RADIANS(60))^3/FACT(3)</f>
        <v>0.8558007815651173</v>
      </c>
      <c r="C37" s="3">
        <f t="shared" ref="C37:C39" si="6">ABS((SIN(RADIANS(60))-B37)/SIN(RADIANS(60))*100)</f>
        <v>1.1806376781374763</v>
      </c>
      <c r="D37" s="3">
        <f>ABS((B37-B36)/B37*100)</f>
        <v>22.364640668059156</v>
      </c>
    </row>
    <row r="38" spans="1:6" x14ac:dyDescent="0.35">
      <c r="A38" s="3">
        <v>3</v>
      </c>
      <c r="B38" s="3">
        <f>(RADIANS(60))-(RADIANS(60))^3/FACT(3)+(RADIANS(60))^5/FACT(5)</f>
        <v>0.86629528378683474</v>
      </c>
      <c r="C38" s="3">
        <f t="shared" si="6"/>
        <v>3.1163058406461538E-2</v>
      </c>
      <c r="D38" s="3">
        <f t="shared" ref="D38:D39" si="7">ABS((B38-B37)/B38*100)</f>
        <v>1.2114232200183341</v>
      </c>
      <c r="F38" s="1" t="s">
        <v>31</v>
      </c>
    </row>
    <row r="39" spans="1:6" x14ac:dyDescent="0.35">
      <c r="A39" s="3">
        <v>4</v>
      </c>
      <c r="B39" s="5">
        <f>(RADIANS(60))-(RADIANS(60))^3/FACT(3)+(RADIANS(60))^5/FACT(5)-(RADIANS(60))^7/FACT(7)</f>
        <v>0.86602127165637255</v>
      </c>
      <c r="C39" s="3">
        <f t="shared" si="6"/>
        <v>4.7713705025173998E-4</v>
      </c>
      <c r="D39" s="3">
        <f t="shared" si="7"/>
        <v>3.1640346424528898E-2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8B2B5-6386-4654-A0F4-D119A8553C93}">
  <dimension ref="A2:M89"/>
  <sheetViews>
    <sheetView topLeftCell="L34" zoomScale="85" zoomScaleNormal="100" workbookViewId="0">
      <selection activeCell="C38" sqref="C38"/>
    </sheetView>
  </sheetViews>
  <sheetFormatPr defaultRowHeight="14.5" x14ac:dyDescent="0.35"/>
  <cols>
    <col min="1" max="1" width="9" bestFit="1" customWidth="1"/>
    <col min="2" max="2" width="13.6328125" customWidth="1"/>
    <col min="3" max="3" width="12.26953125" customWidth="1"/>
    <col min="4" max="4" width="10" customWidth="1"/>
    <col min="5" max="5" width="12.90625" customWidth="1"/>
    <col min="6" max="7" width="14.36328125" bestFit="1" customWidth="1"/>
    <col min="8" max="8" width="15.6328125" bestFit="1" customWidth="1"/>
    <col min="9" max="9" width="11.1796875" customWidth="1"/>
    <col min="10" max="10" width="11.453125" customWidth="1"/>
    <col min="11" max="11" width="12.1796875" customWidth="1"/>
    <col min="14" max="14" width="8.90625" bestFit="1" customWidth="1"/>
  </cols>
  <sheetData>
    <row r="2" spans="1:13" x14ac:dyDescent="0.35">
      <c r="B2" s="9" t="s">
        <v>32</v>
      </c>
      <c r="D2" t="s">
        <v>40</v>
      </c>
      <c r="J2" t="s">
        <v>23</v>
      </c>
      <c r="K2" t="s">
        <v>24</v>
      </c>
    </row>
    <row r="3" spans="1:13" ht="14.5" customHeight="1" x14ac:dyDescent="0.35">
      <c r="J3" t="s">
        <v>25</v>
      </c>
      <c r="K3" s="7">
        <v>4</v>
      </c>
    </row>
    <row r="5" spans="1:13" ht="29" customHeight="1" x14ac:dyDescent="0.35">
      <c r="A5" s="2" t="s">
        <v>1</v>
      </c>
      <c r="B5" s="2" t="s">
        <v>11</v>
      </c>
      <c r="C5" s="2" t="s">
        <v>12</v>
      </c>
      <c r="D5" s="2" t="s">
        <v>13</v>
      </c>
      <c r="E5" s="2" t="s">
        <v>14</v>
      </c>
      <c r="F5" s="2" t="s">
        <v>15</v>
      </c>
      <c r="G5" s="2" t="s">
        <v>16</v>
      </c>
      <c r="H5" s="2" t="s">
        <v>17</v>
      </c>
      <c r="I5" s="2" t="s">
        <v>18</v>
      </c>
      <c r="J5" s="2" t="s">
        <v>19</v>
      </c>
      <c r="K5" s="2" t="s">
        <v>4</v>
      </c>
      <c r="L5" s="1"/>
      <c r="M5" s="1"/>
    </row>
    <row r="6" spans="1:13" x14ac:dyDescent="0.35">
      <c r="A6" s="3">
        <v>1</v>
      </c>
      <c r="B6" s="3">
        <v>14</v>
      </c>
      <c r="C6" s="3">
        <v>15</v>
      </c>
      <c r="D6" s="3">
        <f t="shared" ref="D6:D16" si="0">(B6+C6)/2</f>
        <v>14.5</v>
      </c>
      <c r="E6" s="3">
        <f t="shared" ref="E6:E16" si="1">668.06/B6*(1-EXP(-0.146843*B6))-40</f>
        <v>1.6110644898532058</v>
      </c>
      <c r="F6" s="3">
        <f t="shared" ref="F6:F16" si="2">668.06/C6*(1-EXP(-0.146843*C6))-40</f>
        <v>-0.38450836189899462</v>
      </c>
      <c r="G6" s="3">
        <f t="shared" ref="G6:G16" si="3">668.06/D6*(1-EXP(-0.146843*D6))-40</f>
        <v>0.5936473689527304</v>
      </c>
      <c r="H6" s="6">
        <f t="shared" ref="H6:H16" si="4">E6*G6</f>
        <v>0.9564041956145285</v>
      </c>
      <c r="I6" s="3">
        <f t="shared" ref="I6:I16" si="5">F6*G6</f>
        <v>-0.22826237738166244</v>
      </c>
      <c r="J6" s="3">
        <f>E6*F6</f>
        <v>-0.61946776790709557</v>
      </c>
      <c r="K6" s="4" t="s">
        <v>0</v>
      </c>
      <c r="L6" s="1"/>
      <c r="M6" s="1"/>
    </row>
    <row r="7" spans="1:13" ht="29" customHeight="1" x14ac:dyDescent="0.35">
      <c r="A7" s="3">
        <v>2</v>
      </c>
      <c r="B7" s="3">
        <f t="shared" ref="B7:B16" si="6">IF(H6&gt;0,D6,B6)</f>
        <v>14.5</v>
      </c>
      <c r="C7" s="3">
        <f t="shared" ref="C7:C16" si="7">IF(H6&lt;0,D6,C6)</f>
        <v>15</v>
      </c>
      <c r="D7" s="3">
        <f t="shared" si="0"/>
        <v>14.75</v>
      </c>
      <c r="E7" s="3">
        <f t="shared" si="1"/>
        <v>0.5936473689527304</v>
      </c>
      <c r="F7" s="3">
        <f t="shared" si="2"/>
        <v>-0.38450836189899462</v>
      </c>
      <c r="G7" s="3">
        <f t="shared" si="3"/>
        <v>9.97793020244373E-2</v>
      </c>
      <c r="H7" s="6">
        <f t="shared" si="4"/>
        <v>5.9233720122747052E-2</v>
      </c>
      <c r="I7" s="3">
        <f t="shared" si="5"/>
        <v>-3.8365975972841422E-2</v>
      </c>
      <c r="J7" s="47" t="s">
        <v>20</v>
      </c>
      <c r="K7" s="3">
        <f t="shared" ref="K7:K16" si="8">ABS((D7-D6)/D7*100)</f>
        <v>1.6949152542372881</v>
      </c>
      <c r="L7" s="1"/>
      <c r="M7" s="1"/>
    </row>
    <row r="8" spans="1:13" x14ac:dyDescent="0.35">
      <c r="A8" s="3">
        <v>3</v>
      </c>
      <c r="B8" s="3">
        <f t="shared" si="6"/>
        <v>14.75</v>
      </c>
      <c r="C8" s="3">
        <f t="shared" si="7"/>
        <v>15</v>
      </c>
      <c r="D8" s="3">
        <f t="shared" si="0"/>
        <v>14.875</v>
      </c>
      <c r="E8" s="3">
        <f t="shared" si="1"/>
        <v>9.97793020244373E-2</v>
      </c>
      <c r="F8" s="3">
        <f t="shared" si="2"/>
        <v>-0.38450836189899462</v>
      </c>
      <c r="G8" s="3">
        <f t="shared" si="3"/>
        <v>-0.14354773904997131</v>
      </c>
      <c r="H8" s="6">
        <f t="shared" si="4"/>
        <v>-1.43230932095922E-2</v>
      </c>
      <c r="I8" s="3">
        <f t="shared" si="5"/>
        <v>5.519530599640881E-2</v>
      </c>
      <c r="J8" s="48"/>
      <c r="K8" s="3">
        <f t="shared" si="8"/>
        <v>0.84033613445378152</v>
      </c>
      <c r="L8" s="1"/>
      <c r="M8" s="1"/>
    </row>
    <row r="9" spans="1:13" x14ac:dyDescent="0.35">
      <c r="A9" s="3">
        <v>4</v>
      </c>
      <c r="B9" s="3">
        <f t="shared" si="6"/>
        <v>14.75</v>
      </c>
      <c r="C9" s="3">
        <f t="shared" si="7"/>
        <v>14.875</v>
      </c>
      <c r="D9" s="3">
        <f t="shared" si="0"/>
        <v>14.8125</v>
      </c>
      <c r="E9" s="3">
        <f t="shared" si="1"/>
        <v>9.97793020244373E-2</v>
      </c>
      <c r="F9" s="3">
        <f t="shared" si="2"/>
        <v>-0.14354773904997131</v>
      </c>
      <c r="G9" s="3">
        <f t="shared" si="3"/>
        <v>-2.2181798431226696E-2</v>
      </c>
      <c r="H9" s="6">
        <f t="shared" si="4"/>
        <v>-2.2132843651145578E-3</v>
      </c>
      <c r="I9" s="3">
        <f t="shared" si="5"/>
        <v>3.1841470128647926E-3</v>
      </c>
      <c r="J9" s="48"/>
      <c r="K9" s="3">
        <f t="shared" si="8"/>
        <v>0.42194092827004215</v>
      </c>
      <c r="L9" s="1"/>
      <c r="M9" s="1"/>
    </row>
    <row r="10" spans="1:13" x14ac:dyDescent="0.35">
      <c r="A10" s="3">
        <v>5</v>
      </c>
      <c r="B10" s="3">
        <f t="shared" si="6"/>
        <v>14.75</v>
      </c>
      <c r="C10" s="3">
        <f t="shared" si="7"/>
        <v>14.8125</v>
      </c>
      <c r="D10" s="3">
        <f t="shared" si="0"/>
        <v>14.78125</v>
      </c>
      <c r="E10" s="3">
        <f t="shared" si="1"/>
        <v>9.97793020244373E-2</v>
      </c>
      <c r="F10" s="3">
        <f t="shared" si="2"/>
        <v>-2.2181798431226696E-2</v>
      </c>
      <c r="G10" s="3">
        <f t="shared" si="3"/>
        <v>3.8724133306402564E-2</v>
      </c>
      <c r="H10" s="6">
        <f t="shared" si="4"/>
        <v>3.8638669928141131E-3</v>
      </c>
      <c r="I10" s="3">
        <f t="shared" si="5"/>
        <v>-8.5897091942657385E-4</v>
      </c>
      <c r="J10" s="48"/>
      <c r="K10" s="3">
        <f t="shared" si="8"/>
        <v>0.21141649048625794</v>
      </c>
      <c r="L10" s="1"/>
      <c r="M10" s="1"/>
    </row>
    <row r="11" spans="1:13" x14ac:dyDescent="0.35">
      <c r="A11" s="3">
        <v>6</v>
      </c>
      <c r="B11" s="3">
        <f t="shared" si="6"/>
        <v>14.78125</v>
      </c>
      <c r="C11" s="3">
        <f t="shared" si="7"/>
        <v>14.8125</v>
      </c>
      <c r="D11" s="3">
        <f t="shared" si="0"/>
        <v>14.796875</v>
      </c>
      <c r="E11" s="3">
        <f t="shared" si="1"/>
        <v>3.8724133306402564E-2</v>
      </c>
      <c r="F11" s="3">
        <f t="shared" si="2"/>
        <v>-2.2181798431226696E-2</v>
      </c>
      <c r="G11" s="3">
        <f t="shared" si="3"/>
        <v>8.2525408124141109E-3</v>
      </c>
      <c r="H11" s="6">
        <f t="shared" si="4"/>
        <v>3.1957249053645175E-4</v>
      </c>
      <c r="I11" s="3">
        <f t="shared" si="5"/>
        <v>-1.8305619684644162E-4</v>
      </c>
      <c r="J11" s="48"/>
      <c r="K11" s="3">
        <f t="shared" si="8"/>
        <v>0.10559662090813093</v>
      </c>
      <c r="L11" s="1"/>
      <c r="M11" s="1"/>
    </row>
    <row r="12" spans="1:13" ht="14.5" customHeight="1" x14ac:dyDescent="0.35">
      <c r="A12" s="3">
        <v>7</v>
      </c>
      <c r="B12" s="3">
        <f t="shared" si="6"/>
        <v>14.796875</v>
      </c>
      <c r="C12" s="3">
        <f t="shared" si="7"/>
        <v>14.8125</v>
      </c>
      <c r="D12" s="3">
        <f t="shared" si="0"/>
        <v>14.8046875</v>
      </c>
      <c r="E12" s="3">
        <f t="shared" si="1"/>
        <v>8.2525408124141109E-3</v>
      </c>
      <c r="F12" s="3">
        <f t="shared" si="2"/>
        <v>-2.2181798431226696E-2</v>
      </c>
      <c r="G12" s="3">
        <f t="shared" si="3"/>
        <v>-6.9692819711590914E-3</v>
      </c>
      <c r="H12" s="6">
        <f t="shared" si="4"/>
        <v>-5.7514283900212264E-5</v>
      </c>
      <c r="I12" s="3">
        <f t="shared" si="5"/>
        <v>1.5459120789463324E-4</v>
      </c>
      <c r="J12" s="48"/>
      <c r="K12" s="3">
        <f t="shared" si="8"/>
        <v>5.277044854881266E-2</v>
      </c>
      <c r="L12" s="1"/>
      <c r="M12" s="1"/>
    </row>
    <row r="13" spans="1:13" x14ac:dyDescent="0.35">
      <c r="A13" s="3">
        <v>8</v>
      </c>
      <c r="B13" s="3">
        <f t="shared" si="6"/>
        <v>14.796875</v>
      </c>
      <c r="C13" s="3">
        <f t="shared" si="7"/>
        <v>14.8046875</v>
      </c>
      <c r="D13" s="3">
        <f t="shared" si="0"/>
        <v>14.80078125</v>
      </c>
      <c r="E13" s="3">
        <f t="shared" si="1"/>
        <v>8.2525408124141109E-3</v>
      </c>
      <c r="F13" s="3">
        <f t="shared" si="2"/>
        <v>-6.9692819711590914E-3</v>
      </c>
      <c r="G13" s="3">
        <f t="shared" si="3"/>
        <v>6.404656935998787E-4</v>
      </c>
      <c r="H13" s="6">
        <f t="shared" si="4"/>
        <v>5.28546927538411E-6</v>
      </c>
      <c r="I13" s="3">
        <f t="shared" si="5"/>
        <v>-4.4635860115515371E-6</v>
      </c>
      <c r="J13" s="48"/>
      <c r="K13" s="3">
        <f t="shared" si="8"/>
        <v>2.6392187912377938E-2</v>
      </c>
      <c r="L13" s="1"/>
      <c r="M13" s="1"/>
    </row>
    <row r="14" spans="1:13" x14ac:dyDescent="0.35">
      <c r="A14" s="3">
        <v>9</v>
      </c>
      <c r="B14" s="3">
        <f t="shared" si="6"/>
        <v>14.80078125</v>
      </c>
      <c r="C14" s="3">
        <f t="shared" si="7"/>
        <v>14.8046875</v>
      </c>
      <c r="D14" s="3">
        <f t="shared" si="0"/>
        <v>14.802734375</v>
      </c>
      <c r="E14" s="3">
        <f t="shared" si="1"/>
        <v>6.404656935998787E-4</v>
      </c>
      <c r="F14" s="3">
        <f t="shared" si="2"/>
        <v>-6.9692819711590914E-3</v>
      </c>
      <c r="G14" s="3">
        <f t="shared" si="3"/>
        <v>-3.1646990159543975E-3</v>
      </c>
      <c r="H14" s="6">
        <f t="shared" si="4"/>
        <v>-2.026881150288087E-6</v>
      </c>
      <c r="I14" s="3">
        <f t="shared" si="5"/>
        <v>2.2055679796035901E-5</v>
      </c>
      <c r="J14" s="48"/>
      <c r="K14" s="3">
        <f t="shared" si="8"/>
        <v>1.3194352816994326E-2</v>
      </c>
      <c r="L14" s="1"/>
      <c r="M14" s="1"/>
    </row>
    <row r="15" spans="1:13" x14ac:dyDescent="0.35">
      <c r="A15" s="3">
        <v>10</v>
      </c>
      <c r="B15" s="3">
        <f t="shared" si="6"/>
        <v>14.80078125</v>
      </c>
      <c r="C15" s="3">
        <f t="shared" si="7"/>
        <v>14.802734375</v>
      </c>
      <c r="D15" s="3">
        <f t="shared" si="0"/>
        <v>14.8017578125</v>
      </c>
      <c r="E15" s="3">
        <f t="shared" si="1"/>
        <v>6.404656935998787E-4</v>
      </c>
      <c r="F15" s="3">
        <f t="shared" si="2"/>
        <v>-3.1646990159543975E-3</v>
      </c>
      <c r="G15" s="3">
        <f t="shared" si="3"/>
        <v>-1.2621893872903911E-3</v>
      </c>
      <c r="H15" s="6">
        <f t="shared" si="4"/>
        <v>-8.0838900138534629E-7</v>
      </c>
      <c r="I15" s="3">
        <f t="shared" si="5"/>
        <v>3.9944495119059847E-6</v>
      </c>
      <c r="J15" s="48"/>
      <c r="K15" s="3">
        <f t="shared" si="8"/>
        <v>6.5976116645774224E-3</v>
      </c>
      <c r="L15" s="1" t="s">
        <v>21</v>
      </c>
      <c r="M15" s="1" t="s">
        <v>26</v>
      </c>
    </row>
    <row r="16" spans="1:13" x14ac:dyDescent="0.35">
      <c r="A16" s="3">
        <v>11</v>
      </c>
      <c r="B16" s="3">
        <f t="shared" si="6"/>
        <v>14.80078125</v>
      </c>
      <c r="C16" s="3">
        <f t="shared" si="7"/>
        <v>14.8017578125</v>
      </c>
      <c r="D16" s="8">
        <f t="shared" si="0"/>
        <v>14.80126953125</v>
      </c>
      <c r="E16" s="3">
        <f t="shared" si="1"/>
        <v>6.404656935998787E-4</v>
      </c>
      <c r="F16" s="3">
        <f t="shared" si="2"/>
        <v>-1.2621893872903911E-3</v>
      </c>
      <c r="G16" s="3">
        <f t="shared" si="3"/>
        <v>-3.1088002922530222E-4</v>
      </c>
      <c r="H16" s="6">
        <f t="shared" si="4"/>
        <v>-1.9910799354413374E-7</v>
      </c>
      <c r="I16" s="3">
        <f t="shared" si="5"/>
        <v>3.923894736087031E-7</v>
      </c>
      <c r="J16" s="49"/>
      <c r="K16" s="3">
        <f t="shared" si="8"/>
        <v>3.298914657077821E-3</v>
      </c>
      <c r="L16" s="1" t="s">
        <v>22</v>
      </c>
      <c r="M16" s="1" t="s">
        <v>27</v>
      </c>
    </row>
    <row r="21" spans="1:11" x14ac:dyDescent="0.35">
      <c r="J21" t="s">
        <v>23</v>
      </c>
      <c r="K21" s="1" t="s">
        <v>24</v>
      </c>
    </row>
    <row r="22" spans="1:11" x14ac:dyDescent="0.35">
      <c r="B22" s="9" t="s">
        <v>33</v>
      </c>
      <c r="J22" t="s">
        <v>25</v>
      </c>
      <c r="K22" s="7">
        <v>4</v>
      </c>
    </row>
    <row r="24" spans="1:11" x14ac:dyDescent="0.35">
      <c r="A24" s="2" t="s">
        <v>1</v>
      </c>
      <c r="B24" s="2" t="s">
        <v>11</v>
      </c>
      <c r="C24" s="2" t="s">
        <v>12</v>
      </c>
      <c r="D24" s="2" t="s">
        <v>13</v>
      </c>
      <c r="E24" s="2" t="s">
        <v>14</v>
      </c>
      <c r="F24" s="2" t="s">
        <v>15</v>
      </c>
      <c r="G24" s="2" t="s">
        <v>16</v>
      </c>
      <c r="H24" s="2" t="s">
        <v>17</v>
      </c>
      <c r="I24" s="2" t="s">
        <v>18</v>
      </c>
      <c r="J24" s="2" t="s">
        <v>19</v>
      </c>
      <c r="K24" s="2" t="s">
        <v>4</v>
      </c>
    </row>
    <row r="25" spans="1:11" x14ac:dyDescent="0.35">
      <c r="A25" s="3">
        <v>1</v>
      </c>
      <c r="B25" s="3">
        <v>13</v>
      </c>
      <c r="C25" s="3">
        <v>18</v>
      </c>
      <c r="D25" s="3">
        <f>C25-((F25*(B25-C25))/(E25-F25))</f>
        <v>15.028321302323189</v>
      </c>
      <c r="E25" s="3">
        <f>668.06/B25*(1-EXP(-0.146843*B25))-40</f>
        <v>3.7715677490020312</v>
      </c>
      <c r="F25" s="3">
        <f>668.06/C25*(1-EXP(-0.146843*C25))-40</f>
        <v>-5.5256963104006189</v>
      </c>
      <c r="G25" s="3">
        <f>668.06/D25*(1-EXP(-0.146843*D25))-40</f>
        <v>-0.43877700817064635</v>
      </c>
      <c r="H25" s="6">
        <f>E25*G25</f>
        <v>-1.6548772130200105</v>
      </c>
      <c r="I25" s="3">
        <f>F25*G25</f>
        <v>2.424548495137163</v>
      </c>
      <c r="J25" s="3">
        <f>E25*F25</f>
        <v>-20.840537995086493</v>
      </c>
      <c r="K25" s="4" t="s">
        <v>0</v>
      </c>
    </row>
    <row r="26" spans="1:11" ht="29" customHeight="1" x14ac:dyDescent="0.35">
      <c r="A26" s="3">
        <v>2</v>
      </c>
      <c r="B26" s="3">
        <f>IF(H25&gt;0,D25,B25)</f>
        <v>13</v>
      </c>
      <c r="C26" s="3">
        <f>IF(H25&lt;0,D25,C25)</f>
        <v>15.028321302323189</v>
      </c>
      <c r="D26" s="3">
        <f t="shared" ref="D26" si="9">C26-((F26*(B26-C26))/(E26-F26))</f>
        <v>14.816941758848513</v>
      </c>
      <c r="E26" s="3">
        <f t="shared" ref="E26" si="10">668.06/B26*(1-EXP(-0.146843*B26))-40</f>
        <v>3.7715677490020312</v>
      </c>
      <c r="F26" s="3">
        <f t="shared" ref="F26" si="11">668.06/C26*(1-EXP(-0.146843*C26))-40</f>
        <v>-0.43877700817064635</v>
      </c>
      <c r="G26" s="3">
        <f t="shared" ref="G26" si="12">668.06/D26*(1-EXP(-0.146843*D26))-40</f>
        <v>-3.0826653647920921E-2</v>
      </c>
      <c r="H26" s="6">
        <f t="shared" ref="H26" si="13">E26*G26</f>
        <v>-0.11626481270815436</v>
      </c>
      <c r="I26" s="3">
        <f t="shared" ref="I26" si="14">F26*G26</f>
        <v>1.3526026859547484E-2</v>
      </c>
      <c r="J26" s="47" t="s">
        <v>20</v>
      </c>
      <c r="K26" s="3">
        <f>ABS((D26-D25)/D26*100)</f>
        <v>1.426607102295198</v>
      </c>
    </row>
    <row r="27" spans="1:11" ht="29" customHeight="1" x14ac:dyDescent="0.35">
      <c r="A27" s="3">
        <v>3</v>
      </c>
      <c r="B27" s="3">
        <f t="shared" ref="B27:B29" si="15">IF(H26&gt;0,D26,B26)</f>
        <v>13</v>
      </c>
      <c r="C27" s="3">
        <f t="shared" ref="C27:C29" si="16">IF(H26&lt;0,D26,C26)</f>
        <v>14.816941758848513</v>
      </c>
      <c r="D27" s="3">
        <f t="shared" ref="D27:D29" si="17">C27-((F27*(B27-C27))/(E27-F27))</f>
        <v>14.802211505127481</v>
      </c>
      <c r="E27" s="3">
        <f t="shared" ref="E27:E29" si="18">668.06/B27*(1-EXP(-0.146843*B27))-40</f>
        <v>3.7715677490020312</v>
      </c>
      <c r="F27" s="3">
        <f t="shared" ref="F27:F29" si="19">668.06/C27*(1-EXP(-0.146843*C27))-40</f>
        <v>-3.0826653647920921E-2</v>
      </c>
      <c r="G27" s="3">
        <f t="shared" ref="G27:G29" si="20">668.06/D27*(1-EXP(-0.146843*D27))-40</f>
        <v>-2.1460777792015051E-3</v>
      </c>
      <c r="H27" s="6">
        <f t="shared" ref="H27:H29" si="21">E27*G27</f>
        <v>-8.0940777388862992E-3</v>
      </c>
      <c r="I27" s="3">
        <f t="shared" ref="I27:I29" si="22">F27*G27</f>
        <v>6.6156396400944101E-5</v>
      </c>
      <c r="J27" s="48"/>
      <c r="K27" s="3">
        <f t="shared" ref="K27:K29" si="23">ABS((D27-D26)/D27*100)</f>
        <v>9.9513871396374229E-2</v>
      </c>
    </row>
    <row r="28" spans="1:11" ht="29" customHeight="1" x14ac:dyDescent="0.35">
      <c r="A28" s="3">
        <v>4</v>
      </c>
      <c r="B28" s="3">
        <f t="shared" si="15"/>
        <v>13</v>
      </c>
      <c r="C28" s="3">
        <f t="shared" si="16"/>
        <v>14.802211505127481</v>
      </c>
      <c r="D28" s="3">
        <f t="shared" si="17"/>
        <v>14.801186603335212</v>
      </c>
      <c r="E28" s="3">
        <f t="shared" si="18"/>
        <v>3.7715677490020312</v>
      </c>
      <c r="F28" s="3">
        <f t="shared" si="19"/>
        <v>-2.1460777792015051E-3</v>
      </c>
      <c r="G28" s="3">
        <f t="shared" si="20"/>
        <v>-1.4930948915292674E-4</v>
      </c>
      <c r="H28" s="6">
        <f t="shared" si="21"/>
        <v>-5.6313085390914707E-4</v>
      </c>
      <c r="I28" s="3">
        <f t="shared" si="22"/>
        <v>3.2042977689502425E-7</v>
      </c>
      <c r="J28" s="48"/>
      <c r="K28" s="3">
        <f t="shared" si="23"/>
        <v>6.9244569353487228E-3</v>
      </c>
    </row>
    <row r="29" spans="1:11" ht="29" customHeight="1" x14ac:dyDescent="0.35">
      <c r="A29" s="3">
        <v>5</v>
      </c>
      <c r="B29" s="3">
        <f t="shared" si="15"/>
        <v>13</v>
      </c>
      <c r="C29" s="3">
        <f t="shared" si="16"/>
        <v>14.801186603335212</v>
      </c>
      <c r="D29" s="8">
        <f t="shared" si="17"/>
        <v>14.801115300465076</v>
      </c>
      <c r="E29" s="3">
        <f t="shared" si="18"/>
        <v>3.7715677490020312</v>
      </c>
      <c r="F29" s="3">
        <f t="shared" si="19"/>
        <v>-1.4930948915292674E-4</v>
      </c>
      <c r="G29" s="3">
        <f t="shared" si="20"/>
        <v>-1.0387477004769607E-5</v>
      </c>
      <c r="H29" s="6">
        <f t="shared" si="21"/>
        <v>-3.9177073264689272E-5</v>
      </c>
      <c r="I29" s="3">
        <f t="shared" si="22"/>
        <v>1.5509488851699238E-9</v>
      </c>
      <c r="J29" s="49"/>
      <c r="K29" s="3">
        <f t="shared" si="23"/>
        <v>4.817398465505886E-4</v>
      </c>
    </row>
    <row r="32" spans="1:11" ht="14.5" customHeight="1" x14ac:dyDescent="0.35"/>
    <row r="34" spans="1:8" x14ac:dyDescent="0.35">
      <c r="E34" t="s">
        <v>37</v>
      </c>
      <c r="G34" s="7" t="s">
        <v>23</v>
      </c>
      <c r="H34" s="7" t="s">
        <v>43</v>
      </c>
    </row>
    <row r="35" spans="1:8" x14ac:dyDescent="0.35">
      <c r="B35" s="9" t="s">
        <v>36</v>
      </c>
      <c r="C35" t="s">
        <v>39</v>
      </c>
      <c r="E35" t="s">
        <v>38</v>
      </c>
      <c r="G35" s="7" t="s">
        <v>25</v>
      </c>
      <c r="H35" s="7">
        <v>2</v>
      </c>
    </row>
    <row r="37" spans="1:8" x14ac:dyDescent="0.35">
      <c r="A37" s="2" t="s">
        <v>34</v>
      </c>
      <c r="B37" s="2" t="s">
        <v>35</v>
      </c>
      <c r="C37" s="2" t="s">
        <v>42</v>
      </c>
      <c r="D37" s="2" t="s">
        <v>41</v>
      </c>
      <c r="E37" s="2" t="s">
        <v>4</v>
      </c>
    </row>
    <row r="38" spans="1:8" x14ac:dyDescent="0.35">
      <c r="A38" s="3">
        <v>0</v>
      </c>
      <c r="B38" s="3">
        <v>1</v>
      </c>
      <c r="C38" s="4">
        <f>EXP(-B38)</f>
        <v>0.36787944117144233</v>
      </c>
      <c r="D38" s="4">
        <f>EXP(-B38)-B38</f>
        <v>-0.63212055882855767</v>
      </c>
      <c r="E38" s="4" t="s">
        <v>0</v>
      </c>
    </row>
    <row r="39" spans="1:8" x14ac:dyDescent="0.35">
      <c r="A39" s="3">
        <v>1</v>
      </c>
      <c r="B39" s="3">
        <f>C38</f>
        <v>0.36787944117144233</v>
      </c>
      <c r="C39" s="4">
        <f t="shared" ref="C39:C53" si="24">EXP(-B39)</f>
        <v>0.69220062755534639</v>
      </c>
      <c r="D39" s="4">
        <f t="shared" ref="D39:D49" si="25">EXP(-B39)-B39</f>
        <v>0.32432118638390406</v>
      </c>
      <c r="E39" s="3">
        <f t="shared" ref="E39:E49" si="26">ABS((B39-B38)/B39*100)</f>
        <v>171.82818284590451</v>
      </c>
    </row>
    <row r="40" spans="1:8" x14ac:dyDescent="0.35">
      <c r="A40" s="3">
        <v>2</v>
      </c>
      <c r="B40" s="3">
        <f t="shared" ref="B40:B53" si="27">C39</f>
        <v>0.69220062755534639</v>
      </c>
      <c r="C40" s="4">
        <f t="shared" si="24"/>
        <v>0.50047350056363682</v>
      </c>
      <c r="D40" s="4">
        <f t="shared" si="25"/>
        <v>-0.19172712699170957</v>
      </c>
      <c r="E40" s="3">
        <f t="shared" si="26"/>
        <v>46.853639461338439</v>
      </c>
    </row>
    <row r="41" spans="1:8" x14ac:dyDescent="0.35">
      <c r="A41" s="3">
        <v>3</v>
      </c>
      <c r="B41" s="3">
        <f t="shared" si="27"/>
        <v>0.50047350056363682</v>
      </c>
      <c r="C41" s="4">
        <f t="shared" si="24"/>
        <v>0.60624353508559736</v>
      </c>
      <c r="D41" s="4">
        <f t="shared" si="25"/>
        <v>0.10577003452196054</v>
      </c>
      <c r="E41" s="3">
        <f t="shared" si="26"/>
        <v>38.309146593333139</v>
      </c>
    </row>
    <row r="42" spans="1:8" x14ac:dyDescent="0.35">
      <c r="A42" s="3">
        <v>4</v>
      </c>
      <c r="B42" s="3">
        <f t="shared" si="27"/>
        <v>0.60624353508559736</v>
      </c>
      <c r="C42" s="4">
        <f t="shared" si="24"/>
        <v>0.54539578597502703</v>
      </c>
      <c r="D42" s="4">
        <f t="shared" si="25"/>
        <v>-6.0847749110570337E-2</v>
      </c>
      <c r="E42" s="3">
        <f t="shared" si="26"/>
        <v>17.446789681151248</v>
      </c>
    </row>
    <row r="43" spans="1:8" x14ac:dyDescent="0.35">
      <c r="A43" s="3">
        <v>5</v>
      </c>
      <c r="B43" s="3">
        <f t="shared" si="27"/>
        <v>0.54539578597502703</v>
      </c>
      <c r="C43" s="4">
        <f t="shared" si="24"/>
        <v>0.57961233550337887</v>
      </c>
      <c r="D43" s="4">
        <f t="shared" si="25"/>
        <v>3.4216549528351847E-2</v>
      </c>
      <c r="E43" s="3">
        <f t="shared" si="26"/>
        <v>11.156622525381316</v>
      </c>
    </row>
    <row r="44" spans="1:8" x14ac:dyDescent="0.35">
      <c r="A44" s="3">
        <v>6</v>
      </c>
      <c r="B44" s="3">
        <f t="shared" si="27"/>
        <v>0.57961233550337887</v>
      </c>
      <c r="C44" s="4">
        <f t="shared" si="24"/>
        <v>0.56011546136108914</v>
      </c>
      <c r="D44" s="4">
        <f t="shared" si="25"/>
        <v>-1.9496874142289733E-2</v>
      </c>
      <c r="E44" s="3">
        <f t="shared" si="26"/>
        <v>5.9033508144086735</v>
      </c>
    </row>
    <row r="45" spans="1:8" x14ac:dyDescent="0.35">
      <c r="A45" s="3">
        <v>7</v>
      </c>
      <c r="B45" s="3">
        <f t="shared" si="27"/>
        <v>0.56011546136108914</v>
      </c>
      <c r="C45" s="4">
        <f t="shared" si="24"/>
        <v>0.57114311508017701</v>
      </c>
      <c r="D45" s="4">
        <f t="shared" si="25"/>
        <v>1.1027653719087871E-2</v>
      </c>
      <c r="E45" s="3">
        <f t="shared" si="26"/>
        <v>3.480866979624528</v>
      </c>
    </row>
    <row r="46" spans="1:8" x14ac:dyDescent="0.35">
      <c r="A46" s="3">
        <v>8</v>
      </c>
      <c r="B46" s="3">
        <f t="shared" si="27"/>
        <v>0.57114311508017701</v>
      </c>
      <c r="C46" s="4">
        <f t="shared" si="24"/>
        <v>0.5648793473910495</v>
      </c>
      <c r="D46" s="4">
        <f t="shared" si="25"/>
        <v>-6.2637676891275085E-3</v>
      </c>
      <c r="E46" s="3">
        <f t="shared" si="26"/>
        <v>1.9308039312598229</v>
      </c>
    </row>
    <row r="47" spans="1:8" x14ac:dyDescent="0.35">
      <c r="A47" s="3">
        <v>9</v>
      </c>
      <c r="B47" s="3">
        <f t="shared" si="27"/>
        <v>0.5648793473910495</v>
      </c>
      <c r="C47" s="4">
        <f t="shared" si="24"/>
        <v>0.56842872502906072</v>
      </c>
      <c r="D47" s="4">
        <f t="shared" si="25"/>
        <v>3.5493776380112196E-3</v>
      </c>
      <c r="E47" s="3">
        <f t="shared" si="26"/>
        <v>1.1088682420515694</v>
      </c>
    </row>
    <row r="48" spans="1:8" x14ac:dyDescent="0.35">
      <c r="A48" s="3">
        <v>10</v>
      </c>
      <c r="B48" s="3">
        <f t="shared" si="27"/>
        <v>0.56842872502906072</v>
      </c>
      <c r="C48" s="4">
        <f t="shared" si="24"/>
        <v>0.56641473314688329</v>
      </c>
      <c r="D48" s="4">
        <f t="shared" si="25"/>
        <v>-2.013991882177435E-3</v>
      </c>
      <c r="E48" s="3">
        <f t="shared" si="26"/>
        <v>0.62441911918328175</v>
      </c>
    </row>
    <row r="49" spans="1:8" x14ac:dyDescent="0.35">
      <c r="A49" s="3">
        <v>11</v>
      </c>
      <c r="B49" s="3">
        <f t="shared" si="27"/>
        <v>0.56641473314688329</v>
      </c>
      <c r="C49" s="4">
        <f t="shared" si="24"/>
        <v>0.56755663732828343</v>
      </c>
      <c r="D49" s="4">
        <f t="shared" si="25"/>
        <v>1.141904181400144E-3</v>
      </c>
      <c r="E49" s="3">
        <f t="shared" si="26"/>
        <v>0.35556841379956905</v>
      </c>
    </row>
    <row r="50" spans="1:8" x14ac:dyDescent="0.35">
      <c r="A50" s="3">
        <v>12</v>
      </c>
      <c r="B50" s="3">
        <f t="shared" si="27"/>
        <v>0.56755663732828343</v>
      </c>
      <c r="C50" s="4">
        <f t="shared" si="24"/>
        <v>0.56690891192149528</v>
      </c>
      <c r="D50" s="4">
        <f t="shared" ref="D50:D53" si="28">EXP(-B50)-B50</f>
        <v>-6.4772540678814661E-4</v>
      </c>
      <c r="E50" s="3">
        <f t="shared" ref="E50:E53" si="29">ABS((B50-B49)/B50*100)</f>
        <v>0.20119651613547235</v>
      </c>
    </row>
    <row r="51" spans="1:8" x14ac:dyDescent="0.35">
      <c r="A51" s="3">
        <v>13</v>
      </c>
      <c r="B51" s="3">
        <f t="shared" si="27"/>
        <v>0.56690891192149528</v>
      </c>
      <c r="C51" s="4">
        <f t="shared" si="24"/>
        <v>0.56727623217556955</v>
      </c>
      <c r="D51" s="4">
        <f t="shared" si="28"/>
        <v>3.6732025407426594E-4</v>
      </c>
      <c r="E51" s="3">
        <f t="shared" si="29"/>
        <v>0.11425564022141228</v>
      </c>
    </row>
    <row r="52" spans="1:8" x14ac:dyDescent="0.35">
      <c r="A52" s="3">
        <v>14</v>
      </c>
      <c r="B52" s="3">
        <f t="shared" si="27"/>
        <v>0.56727623217556955</v>
      </c>
      <c r="C52" s="4">
        <f t="shared" si="24"/>
        <v>0.56706789839078842</v>
      </c>
      <c r="D52" s="4">
        <f t="shared" si="28"/>
        <v>-2.0833378478113396E-4</v>
      </c>
      <c r="E52" s="3">
        <f t="shared" si="29"/>
        <v>6.4751567797147178E-2</v>
      </c>
    </row>
    <row r="53" spans="1:8" x14ac:dyDescent="0.35">
      <c r="A53" s="3">
        <v>15</v>
      </c>
      <c r="B53" s="6">
        <f t="shared" si="27"/>
        <v>0.56706789839078842</v>
      </c>
      <c r="C53" s="4">
        <f t="shared" si="24"/>
        <v>0.56718605009935696</v>
      </c>
      <c r="D53" s="4">
        <f t="shared" si="28"/>
        <v>1.1815170856854795E-4</v>
      </c>
      <c r="E53" s="3">
        <f t="shared" si="29"/>
        <v>3.6738772441948932E-2</v>
      </c>
    </row>
    <row r="57" spans="1:8" x14ac:dyDescent="0.35">
      <c r="D57" t="s">
        <v>37</v>
      </c>
      <c r="F57" s="7" t="s">
        <v>23</v>
      </c>
      <c r="G57" s="7" t="s">
        <v>43</v>
      </c>
    </row>
    <row r="58" spans="1:8" x14ac:dyDescent="0.35">
      <c r="B58" s="9" t="s">
        <v>44</v>
      </c>
      <c r="F58" s="7" t="s">
        <v>25</v>
      </c>
      <c r="G58" s="7">
        <v>2</v>
      </c>
    </row>
    <row r="59" spans="1:8" x14ac:dyDescent="0.35">
      <c r="G59" s="7"/>
      <c r="H59" s="7"/>
    </row>
    <row r="60" spans="1:8" x14ac:dyDescent="0.35">
      <c r="A60" s="2" t="s">
        <v>34</v>
      </c>
      <c r="B60" s="2" t="s">
        <v>35</v>
      </c>
      <c r="C60" s="2" t="s">
        <v>41</v>
      </c>
      <c r="D60" s="2" t="s">
        <v>4</v>
      </c>
      <c r="F60" s="7"/>
      <c r="G60" s="7"/>
    </row>
    <row r="61" spans="1:8" x14ac:dyDescent="0.35">
      <c r="A61" s="3">
        <v>1</v>
      </c>
      <c r="B61" s="3">
        <v>0</v>
      </c>
      <c r="C61" s="4">
        <f t="shared" ref="C61:C66" si="30">EXP(-B61)-B61</f>
        <v>1</v>
      </c>
      <c r="D61" s="4" t="s">
        <v>0</v>
      </c>
      <c r="F61" s="7"/>
      <c r="G61" s="7"/>
    </row>
    <row r="62" spans="1:8" x14ac:dyDescent="0.35">
      <c r="A62" s="3">
        <v>2</v>
      </c>
      <c r="B62" s="3">
        <v>1</v>
      </c>
      <c r="C62" s="4">
        <f t="shared" si="30"/>
        <v>-0.63212055882855767</v>
      </c>
      <c r="D62" s="3">
        <f>ABS((B62-B61)/B62*100)</f>
        <v>100</v>
      </c>
      <c r="F62" s="7"/>
      <c r="G62" s="7"/>
    </row>
    <row r="63" spans="1:8" x14ac:dyDescent="0.35">
      <c r="A63" s="3">
        <v>3</v>
      </c>
      <c r="B63" s="3">
        <f>B62-((C62*(B62-B61))/(C62-C61))</f>
        <v>0.61269983678028206</v>
      </c>
      <c r="C63" s="4">
        <f t="shared" si="30"/>
        <v>-7.0813947873170968E-2</v>
      </c>
      <c r="D63" s="3">
        <f>ABS((B63-B62)/B63*100)</f>
        <v>63.212055882855765</v>
      </c>
      <c r="F63" s="7"/>
      <c r="G63" s="7"/>
    </row>
    <row r="64" spans="1:8" x14ac:dyDescent="0.35">
      <c r="A64" s="3">
        <v>4</v>
      </c>
      <c r="B64" s="3">
        <f t="shared" ref="B64:B66" si="31">B63-((C63*(B63-B62))/(C63-C62))</f>
        <v>0.5638383891610742</v>
      </c>
      <c r="C64" s="4">
        <f t="shared" si="30"/>
        <v>5.1823545073383936E-3</v>
      </c>
      <c r="D64" s="3">
        <f>ABS((B64-B63)/B64*100)</f>
        <v>8.6658603880995049</v>
      </c>
      <c r="F64" s="7"/>
      <c r="G64" s="7"/>
    </row>
    <row r="65" spans="1:7" x14ac:dyDescent="0.35">
      <c r="A65" s="3">
        <v>5</v>
      </c>
      <c r="B65" s="3">
        <f t="shared" si="31"/>
        <v>0.56717035841974461</v>
      </c>
      <c r="C65" s="4">
        <f t="shared" si="30"/>
        <v>-4.2419242430091764E-5</v>
      </c>
      <c r="D65" s="3">
        <f>ABS((B65-B64)/B65*100)</f>
        <v>0.58747238976909377</v>
      </c>
      <c r="F65" s="7"/>
      <c r="G65" s="7"/>
    </row>
    <row r="66" spans="1:7" x14ac:dyDescent="0.35">
      <c r="A66" s="3">
        <v>6</v>
      </c>
      <c r="B66" s="6">
        <f t="shared" si="31"/>
        <v>0.56714330660496326</v>
      </c>
      <c r="C66" s="4">
        <f t="shared" si="30"/>
        <v>-2.5380166635002865E-8</v>
      </c>
      <c r="D66" s="3">
        <f>ABS((B66-B65)/B66*100)</f>
        <v>4.7698376171079922E-3</v>
      </c>
      <c r="F66" s="7"/>
      <c r="G66" s="7"/>
    </row>
    <row r="67" spans="1:7" x14ac:dyDescent="0.35">
      <c r="B67" s="7"/>
      <c r="C67" s="7"/>
    </row>
    <row r="68" spans="1:7" x14ac:dyDescent="0.35">
      <c r="B68" s="7"/>
      <c r="C68" s="7"/>
    </row>
    <row r="69" spans="1:7" x14ac:dyDescent="0.35">
      <c r="B69" s="7"/>
      <c r="C69" s="7"/>
    </row>
    <row r="70" spans="1:7" x14ac:dyDescent="0.35">
      <c r="B70" s="7"/>
      <c r="C70" s="7"/>
    </row>
    <row r="71" spans="1:7" x14ac:dyDescent="0.35">
      <c r="B71" s="7"/>
      <c r="C71" s="7"/>
    </row>
    <row r="72" spans="1:7" x14ac:dyDescent="0.35">
      <c r="B72" s="7"/>
      <c r="C72" s="7"/>
    </row>
    <row r="81" spans="1:7" x14ac:dyDescent="0.35">
      <c r="B81" s="9" t="s">
        <v>45</v>
      </c>
      <c r="D81" t="s">
        <v>37</v>
      </c>
      <c r="F81" s="7" t="s">
        <v>23</v>
      </c>
      <c r="G81" s="7" t="s">
        <v>43</v>
      </c>
    </row>
    <row r="82" spans="1:7" x14ac:dyDescent="0.35">
      <c r="D82" t="s">
        <v>47</v>
      </c>
      <c r="F82" s="7" t="s">
        <v>25</v>
      </c>
      <c r="G82" s="7">
        <v>2</v>
      </c>
    </row>
    <row r="84" spans="1:7" x14ac:dyDescent="0.35">
      <c r="A84" s="2" t="s">
        <v>34</v>
      </c>
      <c r="B84" s="2" t="s">
        <v>35</v>
      </c>
      <c r="C84" s="2" t="s">
        <v>41</v>
      </c>
      <c r="D84" s="2" t="s">
        <v>46</v>
      </c>
      <c r="E84" s="2" t="s">
        <v>4</v>
      </c>
    </row>
    <row r="85" spans="1:7" x14ac:dyDescent="0.35">
      <c r="A85" s="3">
        <v>0</v>
      </c>
      <c r="B85" s="3">
        <v>0</v>
      </c>
      <c r="C85" s="4">
        <f>EXP(-B85)-B85</f>
        <v>1</v>
      </c>
      <c r="D85" s="4">
        <f>-EXP(-B85)-1</f>
        <v>-2</v>
      </c>
      <c r="E85" s="4" t="s">
        <v>0</v>
      </c>
    </row>
    <row r="86" spans="1:7" x14ac:dyDescent="0.35">
      <c r="A86" s="3">
        <v>1</v>
      </c>
      <c r="B86" s="3">
        <f>B85-(C85/D85)</f>
        <v>0.5</v>
      </c>
      <c r="C86" s="4">
        <f t="shared" ref="C86:C89" si="32">EXP(-B86)-B86</f>
        <v>0.10653065971263342</v>
      </c>
      <c r="D86" s="4">
        <f t="shared" ref="D86:D89" si="33">-EXP(-B86)-1</f>
        <v>-1.6065306597126334</v>
      </c>
      <c r="E86" s="3">
        <f>ABS((B86-B85)/B86*100)</f>
        <v>100</v>
      </c>
    </row>
    <row r="87" spans="1:7" x14ac:dyDescent="0.35">
      <c r="A87" s="3">
        <v>2</v>
      </c>
      <c r="B87" s="3">
        <f t="shared" ref="B87:B89" si="34">B86-(C86/D86)</f>
        <v>0.56631100319721817</v>
      </c>
      <c r="C87" s="4">
        <f t="shared" si="32"/>
        <v>1.3045098060200377E-3</v>
      </c>
      <c r="D87" s="4">
        <f t="shared" si="33"/>
        <v>-1.5676155130032381</v>
      </c>
      <c r="E87" s="3">
        <f>ABS((B87-B86)/B87*100)</f>
        <v>11.709290976662396</v>
      </c>
    </row>
    <row r="88" spans="1:7" x14ac:dyDescent="0.35">
      <c r="A88" s="3">
        <v>3</v>
      </c>
      <c r="B88" s="3">
        <f t="shared" si="34"/>
        <v>0.56714316503486217</v>
      </c>
      <c r="C88" s="4">
        <f t="shared" si="32"/>
        <v>1.964804717813351E-7</v>
      </c>
      <c r="D88" s="4">
        <f t="shared" si="33"/>
        <v>-1.5671433615153338</v>
      </c>
      <c r="E88" s="3">
        <f t="shared" ref="E88" si="35">ABS((B88-B87)/B88*100)</f>
        <v>0.14672870783743905</v>
      </c>
    </row>
    <row r="89" spans="1:7" x14ac:dyDescent="0.35">
      <c r="A89" s="3">
        <v>4</v>
      </c>
      <c r="B89" s="6">
        <f t="shared" si="34"/>
        <v>0.56714329040978106</v>
      </c>
      <c r="C89" s="4">
        <f t="shared" si="32"/>
        <v>4.4408920985006262E-15</v>
      </c>
      <c r="D89" s="4">
        <f t="shared" si="33"/>
        <v>-1.5671432904097855</v>
      </c>
      <c r="E89" s="3">
        <f>ABS((B89-B88)/B89*100)</f>
        <v>2.2106391984397623E-5</v>
      </c>
    </row>
  </sheetData>
  <mergeCells count="2">
    <mergeCell ref="J7:J16"/>
    <mergeCell ref="J26:J29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220A-06CB-4C80-AB61-99DF658E85E3}">
  <dimension ref="B3:E24"/>
  <sheetViews>
    <sheetView zoomScale="82" workbookViewId="0">
      <selection activeCell="F15" sqref="F15"/>
    </sheetView>
  </sheetViews>
  <sheetFormatPr defaultRowHeight="14.5" x14ac:dyDescent="0.35"/>
  <cols>
    <col min="3" max="3" width="14.81640625" customWidth="1"/>
    <col min="4" max="4" width="18.1796875" customWidth="1"/>
  </cols>
  <sheetData>
    <row r="3" spans="2:5" x14ac:dyDescent="0.35">
      <c r="B3" s="9" t="s">
        <v>51</v>
      </c>
      <c r="E3" s="10" t="s">
        <v>52</v>
      </c>
    </row>
    <row r="5" spans="2:5" x14ac:dyDescent="0.35">
      <c r="B5" s="13" t="s">
        <v>48</v>
      </c>
      <c r="C5" s="13" t="s">
        <v>49</v>
      </c>
      <c r="D5" s="13" t="s">
        <v>50</v>
      </c>
    </row>
    <row r="6" spans="2:5" x14ac:dyDescent="0.35">
      <c r="B6" s="12">
        <v>1</v>
      </c>
      <c r="C6" s="12">
        <f>3+(1/2)*B6</f>
        <v>3.5</v>
      </c>
      <c r="D6" s="12">
        <f>34/6-1/6*B6</f>
        <v>5.5</v>
      </c>
    </row>
    <row r="7" spans="2:5" x14ac:dyDescent="0.35">
      <c r="B7" s="12">
        <v>2</v>
      </c>
      <c r="C7" s="12">
        <f t="shared" ref="C7:C11" si="0">3+(1/2)*B7</f>
        <v>4</v>
      </c>
      <c r="D7" s="12">
        <f t="shared" ref="D7:D11" si="1">34/6-1/6*B7</f>
        <v>5.3333333333333339</v>
      </c>
    </row>
    <row r="8" spans="2:5" x14ac:dyDescent="0.35">
      <c r="B8" s="12">
        <v>3</v>
      </c>
      <c r="C8" s="12">
        <f t="shared" si="0"/>
        <v>4.5</v>
      </c>
      <c r="D8" s="12">
        <f t="shared" si="1"/>
        <v>5.166666666666667</v>
      </c>
    </row>
    <row r="9" spans="2:5" x14ac:dyDescent="0.35">
      <c r="B9" s="12">
        <v>4</v>
      </c>
      <c r="C9" s="12">
        <f t="shared" si="0"/>
        <v>5</v>
      </c>
      <c r="D9" s="12">
        <f t="shared" si="1"/>
        <v>5</v>
      </c>
    </row>
    <row r="10" spans="2:5" x14ac:dyDescent="0.35">
      <c r="B10" s="12">
        <v>5</v>
      </c>
      <c r="C10" s="12">
        <f t="shared" si="0"/>
        <v>5.5</v>
      </c>
      <c r="D10" s="12">
        <f t="shared" si="1"/>
        <v>4.8333333333333339</v>
      </c>
    </row>
    <row r="11" spans="2:5" x14ac:dyDescent="0.35">
      <c r="B11" s="12">
        <v>6</v>
      </c>
      <c r="C11" s="12">
        <f t="shared" si="0"/>
        <v>6</v>
      </c>
      <c r="D11" s="12">
        <f t="shared" si="1"/>
        <v>4.666666666666667</v>
      </c>
    </row>
    <row r="24" spans="2:2" x14ac:dyDescent="0.35">
      <c r="B24" t="s">
        <v>53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5E4A9-572F-4533-B2DC-D8B24FC2F505}">
  <dimension ref="A1:AV40"/>
  <sheetViews>
    <sheetView zoomScale="72" zoomScaleNormal="55" workbookViewId="0">
      <selection activeCell="AT10" sqref="AT10"/>
    </sheetView>
  </sheetViews>
  <sheetFormatPr defaultRowHeight="14.5" x14ac:dyDescent="0.35"/>
  <cols>
    <col min="1" max="15" width="8.7265625" style="1"/>
    <col min="16" max="16" width="3.08984375" style="1" customWidth="1"/>
    <col min="17" max="17" width="8.7265625" style="1"/>
    <col min="18" max="18" width="15.90625" style="1" customWidth="1"/>
    <col min="19" max="25" width="8.7265625" style="1"/>
    <col min="26" max="26" width="3.08984375" style="1" customWidth="1"/>
    <col min="27" max="35" width="8.7265625" style="1"/>
    <col min="36" max="36" width="3.08984375" style="1" customWidth="1"/>
    <col min="37" max="42" width="8.7265625" style="1"/>
    <col min="43" max="43" width="3.08984375" style="1" customWidth="1"/>
    <col min="44" max="16384" width="8.7265625" style="1"/>
  </cols>
  <sheetData>
    <row r="1" spans="1:48" x14ac:dyDescent="0.35">
      <c r="A1" s="51" t="s">
        <v>54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P1" s="55"/>
      <c r="R1" s="53" t="s">
        <v>68</v>
      </c>
      <c r="S1" s="53"/>
      <c r="T1" s="53"/>
      <c r="U1" s="53"/>
      <c r="V1" s="53"/>
      <c r="W1" s="53"/>
      <c r="X1" s="53"/>
      <c r="Z1" s="55"/>
      <c r="AB1" s="53" t="s">
        <v>78</v>
      </c>
      <c r="AC1" s="53"/>
      <c r="AD1" s="53"/>
      <c r="AE1" s="53"/>
      <c r="AF1" s="53"/>
      <c r="AG1" s="53"/>
      <c r="AH1" s="53"/>
      <c r="AJ1" s="54"/>
      <c r="AL1" s="53" t="s">
        <v>79</v>
      </c>
      <c r="AM1" s="53"/>
      <c r="AN1" s="53"/>
      <c r="AO1" s="53"/>
      <c r="AP1" s="28"/>
      <c r="AQ1" s="54"/>
      <c r="AR1" s="28"/>
      <c r="AS1" s="25"/>
      <c r="AT1" s="25"/>
      <c r="AU1" s="25"/>
      <c r="AV1" s="25"/>
    </row>
    <row r="2" spans="1:48" x14ac:dyDescent="0.35">
      <c r="P2" s="55"/>
      <c r="Z2" s="55"/>
      <c r="AJ2" s="54"/>
      <c r="AP2" s="25"/>
      <c r="AQ2" s="54"/>
      <c r="AR2" s="25"/>
      <c r="AS2" s="25"/>
      <c r="AT2" s="25"/>
      <c r="AU2" s="25"/>
      <c r="AV2" s="25"/>
    </row>
    <row r="3" spans="1:48" x14ac:dyDescent="0.35">
      <c r="A3" s="50" t="s">
        <v>55</v>
      </c>
      <c r="B3" s="11">
        <v>1</v>
      </c>
      <c r="C3" s="11">
        <v>2</v>
      </c>
      <c r="D3" s="11">
        <v>3</v>
      </c>
      <c r="F3" s="50" t="s">
        <v>56</v>
      </c>
      <c r="G3" s="11">
        <v>2</v>
      </c>
      <c r="H3" s="11">
        <v>3</v>
      </c>
      <c r="I3" s="11">
        <v>4</v>
      </c>
      <c r="K3" s="52" t="s">
        <v>57</v>
      </c>
      <c r="L3" s="11" cm="1">
        <f t="array" ref="L3:N5">B3:D5+G3:I5</f>
        <v>3</v>
      </c>
      <c r="M3" s="11">
        <v>5</v>
      </c>
      <c r="N3" s="11">
        <v>7</v>
      </c>
      <c r="P3" s="55"/>
      <c r="Z3" s="55"/>
      <c r="AJ3" s="54"/>
      <c r="AP3" s="25"/>
      <c r="AQ3" s="54"/>
      <c r="AR3" s="25"/>
      <c r="AS3" s="25"/>
      <c r="AT3" s="25"/>
      <c r="AU3" s="25"/>
      <c r="AV3" s="25"/>
    </row>
    <row r="4" spans="1:48" x14ac:dyDescent="0.35">
      <c r="A4" s="50"/>
      <c r="B4" s="11">
        <v>2</v>
      </c>
      <c r="C4" s="11">
        <v>3</v>
      </c>
      <c r="D4" s="11">
        <v>4</v>
      </c>
      <c r="F4" s="50"/>
      <c r="G4" s="11">
        <v>4</v>
      </c>
      <c r="H4" s="11">
        <v>7</v>
      </c>
      <c r="I4" s="11">
        <v>9</v>
      </c>
      <c r="K4" s="52"/>
      <c r="L4" s="11">
        <v>6</v>
      </c>
      <c r="M4" s="11">
        <v>10</v>
      </c>
      <c r="N4" s="11">
        <v>13</v>
      </c>
      <c r="P4" s="55"/>
      <c r="Z4" s="55"/>
      <c r="AJ4" s="54"/>
      <c r="AP4" s="25"/>
      <c r="AQ4" s="54"/>
      <c r="AR4" s="25"/>
      <c r="AS4" s="25"/>
      <c r="AT4" s="25"/>
      <c r="AU4" s="25"/>
      <c r="AV4" s="25"/>
    </row>
    <row r="5" spans="1:48" x14ac:dyDescent="0.35">
      <c r="A5" s="50"/>
      <c r="B5" s="11">
        <v>4</v>
      </c>
      <c r="C5" s="11">
        <v>5</v>
      </c>
      <c r="D5" s="11">
        <v>6</v>
      </c>
      <c r="F5" s="50"/>
      <c r="G5" s="11">
        <v>4</v>
      </c>
      <c r="H5" s="11">
        <v>6</v>
      </c>
      <c r="I5" s="11">
        <v>4</v>
      </c>
      <c r="K5" s="52"/>
      <c r="L5" s="11">
        <v>8</v>
      </c>
      <c r="M5" s="11">
        <v>11</v>
      </c>
      <c r="N5" s="11">
        <v>10</v>
      </c>
      <c r="P5" s="55"/>
      <c r="Z5" s="55"/>
      <c r="AJ5" s="54"/>
      <c r="AP5" s="25"/>
      <c r="AQ5" s="54"/>
      <c r="AR5" s="25"/>
      <c r="AS5" s="25"/>
      <c r="AT5" s="25"/>
      <c r="AU5" s="25"/>
      <c r="AV5" s="25"/>
    </row>
    <row r="6" spans="1:48" x14ac:dyDescent="0.35">
      <c r="P6" s="55"/>
      <c r="Z6" s="55"/>
      <c r="AJ6" s="54"/>
      <c r="AQ6" s="54"/>
    </row>
    <row r="7" spans="1:48" x14ac:dyDescent="0.35">
      <c r="A7" s="51" t="s">
        <v>58</v>
      </c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P7" s="55"/>
      <c r="R7" s="11">
        <v>8</v>
      </c>
      <c r="S7" s="11">
        <v>2</v>
      </c>
      <c r="T7" s="11">
        <v>-2</v>
      </c>
      <c r="U7" s="14" t="s">
        <v>48</v>
      </c>
      <c r="V7" s="11">
        <v>-2</v>
      </c>
      <c r="Z7" s="55"/>
      <c r="AJ7" s="54"/>
      <c r="AQ7" s="54"/>
    </row>
    <row r="8" spans="1:48" x14ac:dyDescent="0.35">
      <c r="P8" s="55"/>
      <c r="R8" s="11">
        <v>10</v>
      </c>
      <c r="S8" s="11">
        <v>2</v>
      </c>
      <c r="T8" s="11">
        <v>4</v>
      </c>
      <c r="U8" s="14" t="s">
        <v>72</v>
      </c>
      <c r="V8" s="11">
        <v>4</v>
      </c>
      <c r="Z8" s="55"/>
      <c r="AJ8" s="54"/>
      <c r="AQ8" s="54"/>
    </row>
    <row r="9" spans="1:48" x14ac:dyDescent="0.35">
      <c r="A9" s="12" t="s">
        <v>60</v>
      </c>
      <c r="B9" s="11">
        <v>2</v>
      </c>
      <c r="P9" s="55"/>
      <c r="R9" s="11">
        <v>12</v>
      </c>
      <c r="S9" s="11">
        <v>2</v>
      </c>
      <c r="T9" s="11">
        <v>2</v>
      </c>
      <c r="U9" s="14" t="s">
        <v>73</v>
      </c>
      <c r="V9" s="11">
        <v>6</v>
      </c>
      <c r="Z9" s="55"/>
      <c r="AB9" s="16">
        <v>3</v>
      </c>
      <c r="AC9" s="16">
        <v>-0.1</v>
      </c>
      <c r="AD9" s="16">
        <v>-0.2</v>
      </c>
      <c r="AE9" s="23">
        <v>7.85</v>
      </c>
      <c r="AJ9" s="54"/>
      <c r="AL9" s="19">
        <v>10</v>
      </c>
      <c r="AM9" s="19">
        <v>-5</v>
      </c>
      <c r="AN9" s="19">
        <v>2</v>
      </c>
      <c r="AO9" s="23">
        <v>-21</v>
      </c>
      <c r="AQ9" s="54"/>
    </row>
    <row r="10" spans="1:48" x14ac:dyDescent="0.35">
      <c r="A10" s="50" t="s">
        <v>55</v>
      </c>
      <c r="B10" s="11">
        <v>1</v>
      </c>
      <c r="C10" s="11">
        <v>2</v>
      </c>
      <c r="D10" s="11">
        <v>3</v>
      </c>
      <c r="F10" s="52" t="s">
        <v>59</v>
      </c>
      <c r="G10" s="11" cm="1">
        <f t="array" ref="G10:I12">B9*B10:D12</f>
        <v>2</v>
      </c>
      <c r="H10" s="11">
        <v>4</v>
      </c>
      <c r="I10" s="11">
        <v>6</v>
      </c>
      <c r="P10" s="55"/>
      <c r="Z10" s="55"/>
      <c r="AB10" s="16">
        <v>0.1</v>
      </c>
      <c r="AC10" s="16">
        <v>7</v>
      </c>
      <c r="AD10" s="16">
        <v>-0.3</v>
      </c>
      <c r="AE10" s="23">
        <v>-19.3</v>
      </c>
      <c r="AJ10" s="54"/>
      <c r="AL10" s="19">
        <v>-2</v>
      </c>
      <c r="AM10" s="19">
        <v>9</v>
      </c>
      <c r="AN10" s="19">
        <v>-2</v>
      </c>
      <c r="AO10" s="23">
        <v>25</v>
      </c>
      <c r="AQ10" s="54"/>
    </row>
    <row r="11" spans="1:48" x14ac:dyDescent="0.35">
      <c r="A11" s="50"/>
      <c r="B11" s="11">
        <v>2</v>
      </c>
      <c r="C11" s="11">
        <v>3</v>
      </c>
      <c r="D11" s="11">
        <v>4</v>
      </c>
      <c r="F11" s="52"/>
      <c r="G11" s="11">
        <v>4</v>
      </c>
      <c r="H11" s="11">
        <v>6</v>
      </c>
      <c r="I11" s="11">
        <v>8</v>
      </c>
      <c r="P11" s="55"/>
      <c r="R11" s="1" t="s">
        <v>65</v>
      </c>
      <c r="S11" s="1">
        <f>MDETERM(R7:T9)</f>
        <v>31.999999999999993</v>
      </c>
      <c r="Z11" s="55"/>
      <c r="AB11" s="16">
        <v>0.3</v>
      </c>
      <c r="AC11" s="16">
        <v>-0.2</v>
      </c>
      <c r="AD11" s="16">
        <v>10</v>
      </c>
      <c r="AE11" s="23">
        <v>71.400000000000006</v>
      </c>
      <c r="AJ11" s="54"/>
      <c r="AL11" s="19">
        <v>-2</v>
      </c>
      <c r="AM11" s="19">
        <v>-3</v>
      </c>
      <c r="AN11" s="19">
        <v>10</v>
      </c>
      <c r="AO11" s="23">
        <v>13</v>
      </c>
      <c r="AQ11" s="54"/>
    </row>
    <row r="12" spans="1:48" x14ac:dyDescent="0.35">
      <c r="A12" s="50"/>
      <c r="B12" s="11">
        <v>4</v>
      </c>
      <c r="C12" s="11">
        <v>5</v>
      </c>
      <c r="D12" s="11">
        <v>6</v>
      </c>
      <c r="F12" s="52"/>
      <c r="G12" s="11">
        <v>8</v>
      </c>
      <c r="H12" s="11">
        <v>10</v>
      </c>
      <c r="I12" s="11">
        <v>12</v>
      </c>
      <c r="P12" s="55"/>
      <c r="Z12" s="55"/>
      <c r="AJ12" s="54"/>
      <c r="AQ12" s="54"/>
    </row>
    <row r="13" spans="1:48" x14ac:dyDescent="0.35">
      <c r="P13" s="55"/>
      <c r="R13" s="56" t="s">
        <v>74</v>
      </c>
      <c r="S13" s="12">
        <v>-2</v>
      </c>
      <c r="T13" s="11">
        <v>2</v>
      </c>
      <c r="U13" s="11">
        <v>-2</v>
      </c>
      <c r="W13" s="1" t="s">
        <v>75</v>
      </c>
      <c r="X13" s="1">
        <f>MDETERM(S13:U15)</f>
        <v>48.000000000000007</v>
      </c>
      <c r="Z13" s="55"/>
      <c r="AB13" s="16">
        <v>3</v>
      </c>
      <c r="AC13" s="16">
        <v>-0.1</v>
      </c>
      <c r="AD13" s="16">
        <v>-0.2</v>
      </c>
      <c r="AE13" s="23">
        <v>7.85</v>
      </c>
      <c r="AG13" s="21" t="s">
        <v>71</v>
      </c>
      <c r="AH13" s="21">
        <f>AE19/AD19</f>
        <v>7.0000000000000018</v>
      </c>
      <c r="AJ13" s="54"/>
      <c r="AK13" s="25"/>
      <c r="AL13" s="26">
        <f>AL9/10</f>
        <v>1</v>
      </c>
      <c r="AM13" s="26">
        <f t="shared" ref="AM13:AO13" si="0">AM9/10</f>
        <v>-0.5</v>
      </c>
      <c r="AN13" s="26">
        <f t="shared" si="0"/>
        <v>0.2</v>
      </c>
      <c r="AO13" s="23">
        <f t="shared" si="0"/>
        <v>-2.1</v>
      </c>
      <c r="AQ13" s="54"/>
    </row>
    <row r="14" spans="1:48" x14ac:dyDescent="0.35">
      <c r="A14" s="50" t="s">
        <v>55</v>
      </c>
      <c r="B14" s="11">
        <v>1</v>
      </c>
      <c r="C14" s="11">
        <v>2</v>
      </c>
      <c r="D14" s="11">
        <v>3</v>
      </c>
      <c r="F14" s="50" t="s">
        <v>56</v>
      </c>
      <c r="G14" s="11">
        <v>2</v>
      </c>
      <c r="H14" s="11">
        <v>3</v>
      </c>
      <c r="I14" s="11">
        <v>4</v>
      </c>
      <c r="K14" s="52" t="s">
        <v>61</v>
      </c>
      <c r="L14" s="11" cm="1">
        <f t="array" ref="L14:N16">MMULT(B14:D16,G14:I16)</f>
        <v>22</v>
      </c>
      <c r="M14" s="11">
        <v>35</v>
      </c>
      <c r="N14" s="11">
        <v>34</v>
      </c>
      <c r="P14" s="55"/>
      <c r="R14" s="56"/>
      <c r="S14" s="12">
        <v>4</v>
      </c>
      <c r="T14" s="11">
        <v>2</v>
      </c>
      <c r="U14" s="11">
        <v>4</v>
      </c>
      <c r="W14" s="17" t="s">
        <v>69</v>
      </c>
      <c r="X14" s="17">
        <f>X13/S11</f>
        <v>1.5000000000000004</v>
      </c>
      <c r="Z14" s="55"/>
      <c r="AB14" s="15">
        <f>AB10-$AB10/$AB$9*AB$9</f>
        <v>0</v>
      </c>
      <c r="AC14" s="15">
        <f t="shared" ref="AC14:AD15" si="1">AC10-$AB10/$AB$9*AC$9</f>
        <v>7.003333333333333</v>
      </c>
      <c r="AD14" s="15">
        <f t="shared" si="1"/>
        <v>-0.29333333333333333</v>
      </c>
      <c r="AE14" s="23">
        <f>AE10-$AB10/$AB$9*AE$9</f>
        <v>-19.561666666666667</v>
      </c>
      <c r="AG14" s="21" t="s">
        <v>70</v>
      </c>
      <c r="AH14" s="21">
        <f>(AE18-AD18*AD19)/AC18</f>
        <v>-2.3738411775992989</v>
      </c>
      <c r="AJ14" s="54"/>
      <c r="AK14" s="25"/>
      <c r="AL14" s="20">
        <f>AL10-AL11</f>
        <v>0</v>
      </c>
      <c r="AM14" s="20">
        <f t="shared" ref="AM14:AO14" si="2">AM10-AM11</f>
        <v>12</v>
      </c>
      <c r="AN14" s="20">
        <f t="shared" si="2"/>
        <v>-12</v>
      </c>
      <c r="AO14" s="20">
        <f t="shared" si="2"/>
        <v>12</v>
      </c>
      <c r="AQ14" s="54"/>
    </row>
    <row r="15" spans="1:48" x14ac:dyDescent="0.35">
      <c r="A15" s="50"/>
      <c r="B15" s="11">
        <v>2</v>
      </c>
      <c r="C15" s="11">
        <v>3</v>
      </c>
      <c r="D15" s="11">
        <v>4</v>
      </c>
      <c r="F15" s="50"/>
      <c r="G15" s="11">
        <v>4</v>
      </c>
      <c r="H15" s="11">
        <v>7</v>
      </c>
      <c r="I15" s="11">
        <v>9</v>
      </c>
      <c r="K15" s="52"/>
      <c r="L15" s="11">
        <v>32</v>
      </c>
      <c r="M15" s="11">
        <v>51</v>
      </c>
      <c r="N15" s="11">
        <v>51</v>
      </c>
      <c r="P15" s="55"/>
      <c r="R15" s="56"/>
      <c r="S15" s="12">
        <v>6</v>
      </c>
      <c r="T15" s="11">
        <v>2</v>
      </c>
      <c r="U15" s="11">
        <v>2</v>
      </c>
      <c r="Z15" s="55"/>
      <c r="AB15" s="15">
        <f>AB11-$AB11/$AB$9*AB$9</f>
        <v>0</v>
      </c>
      <c r="AC15" s="15">
        <f t="shared" si="1"/>
        <v>-0.19</v>
      </c>
      <c r="AD15" s="15">
        <f t="shared" si="1"/>
        <v>10.02</v>
      </c>
      <c r="AE15" s="23">
        <f>AE11-$AB11/$AB$9*AE$9</f>
        <v>70.615000000000009</v>
      </c>
      <c r="AG15" s="21" t="s">
        <v>71</v>
      </c>
      <c r="AH15" s="21">
        <f>(AE17-AD17*AH13-AC17*AH14)/AB17</f>
        <v>3.0042052940800232</v>
      </c>
      <c r="AJ15" s="54"/>
      <c r="AK15" s="25"/>
      <c r="AL15" s="26">
        <f>AL11</f>
        <v>-2</v>
      </c>
      <c r="AM15" s="26">
        <f t="shared" ref="AM15:AO15" si="3">AM11</f>
        <v>-3</v>
      </c>
      <c r="AN15" s="26">
        <f t="shared" si="3"/>
        <v>10</v>
      </c>
      <c r="AO15" s="23">
        <f t="shared" si="3"/>
        <v>13</v>
      </c>
      <c r="AQ15" s="54"/>
    </row>
    <row r="16" spans="1:48" x14ac:dyDescent="0.35">
      <c r="A16" s="50"/>
      <c r="B16" s="11">
        <v>4</v>
      </c>
      <c r="C16" s="11">
        <v>5</v>
      </c>
      <c r="D16" s="11">
        <v>6</v>
      </c>
      <c r="F16" s="50"/>
      <c r="G16" s="11">
        <v>4</v>
      </c>
      <c r="H16" s="11">
        <v>6</v>
      </c>
      <c r="I16" s="11">
        <v>4</v>
      </c>
      <c r="K16" s="52"/>
      <c r="L16" s="11">
        <v>52</v>
      </c>
      <c r="M16" s="11">
        <v>83</v>
      </c>
      <c r="N16" s="11">
        <v>85</v>
      </c>
      <c r="P16" s="55"/>
      <c r="Z16" s="55"/>
      <c r="AJ16" s="54"/>
      <c r="AK16" s="25"/>
      <c r="AL16" s="25"/>
      <c r="AM16" s="25"/>
      <c r="AN16" s="25"/>
      <c r="AO16" s="25"/>
      <c r="AQ16" s="54"/>
    </row>
    <row r="17" spans="1:43" x14ac:dyDescent="0.35">
      <c r="P17" s="55"/>
      <c r="R17" s="56" t="s">
        <v>76</v>
      </c>
      <c r="S17" s="11">
        <v>8</v>
      </c>
      <c r="T17" s="12">
        <v>-2</v>
      </c>
      <c r="U17" s="11">
        <v>-2</v>
      </c>
      <c r="W17" s="1" t="s">
        <v>75</v>
      </c>
      <c r="X17" s="1">
        <f>MDETERM(S17:U19)</f>
        <v>-207.99999999999997</v>
      </c>
      <c r="Z17" s="55"/>
      <c r="AB17" s="16">
        <v>3</v>
      </c>
      <c r="AC17" s="16">
        <v>-0.1</v>
      </c>
      <c r="AD17" s="16">
        <v>-0.2</v>
      </c>
      <c r="AE17" s="23">
        <v>7.85</v>
      </c>
      <c r="AJ17" s="54"/>
      <c r="AK17" s="25"/>
      <c r="AL17" s="26">
        <v>1</v>
      </c>
      <c r="AM17" s="26">
        <v>-0.5</v>
      </c>
      <c r="AN17" s="26">
        <v>0.2</v>
      </c>
      <c r="AO17" s="23">
        <v>-2.1</v>
      </c>
      <c r="AQ17" s="54"/>
    </row>
    <row r="18" spans="1:43" x14ac:dyDescent="0.35">
      <c r="A18" s="50" t="s">
        <v>55</v>
      </c>
      <c r="B18" s="11">
        <v>1</v>
      </c>
      <c r="C18" s="11">
        <v>2</v>
      </c>
      <c r="D18" s="11">
        <v>3</v>
      </c>
      <c r="F18" s="50" t="s">
        <v>56</v>
      </c>
      <c r="G18" s="11">
        <v>2</v>
      </c>
      <c r="K18" s="52" t="s">
        <v>62</v>
      </c>
      <c r="L18" s="11" cm="1">
        <f t="array" ref="L18:L20">MMULT(B18:D20,G18:G20)</f>
        <v>22</v>
      </c>
      <c r="P18" s="55"/>
      <c r="R18" s="56"/>
      <c r="S18" s="11">
        <v>10</v>
      </c>
      <c r="T18" s="12">
        <v>4</v>
      </c>
      <c r="U18" s="11">
        <v>4</v>
      </c>
      <c r="W18" s="17" t="s">
        <v>70</v>
      </c>
      <c r="X18" s="17">
        <f>X17/S11</f>
        <v>-6.5000000000000009</v>
      </c>
      <c r="Z18" s="55"/>
      <c r="AB18" s="16">
        <v>0</v>
      </c>
      <c r="AC18" s="16">
        <v>7.003333333333333</v>
      </c>
      <c r="AD18" s="16">
        <v>-0.29333333333333333</v>
      </c>
      <c r="AE18" s="24">
        <v>-19.561666666666667</v>
      </c>
      <c r="AJ18" s="54"/>
      <c r="AK18" s="25"/>
      <c r="AL18" s="20">
        <f>AL14/12</f>
        <v>0</v>
      </c>
      <c r="AM18" s="20">
        <f t="shared" ref="AM18:AO18" si="4">AM14/12</f>
        <v>1</v>
      </c>
      <c r="AN18" s="20">
        <f t="shared" si="4"/>
        <v>-1</v>
      </c>
      <c r="AO18" s="20">
        <f t="shared" si="4"/>
        <v>1</v>
      </c>
      <c r="AQ18" s="54"/>
    </row>
    <row r="19" spans="1:43" x14ac:dyDescent="0.35">
      <c r="A19" s="50"/>
      <c r="B19" s="11">
        <v>2</v>
      </c>
      <c r="C19" s="11">
        <v>3</v>
      </c>
      <c r="D19" s="11">
        <v>4</v>
      </c>
      <c r="F19" s="50"/>
      <c r="G19" s="11">
        <v>4</v>
      </c>
      <c r="K19" s="52"/>
      <c r="L19" s="11">
        <v>32</v>
      </c>
      <c r="P19" s="55"/>
      <c r="R19" s="56"/>
      <c r="S19" s="11">
        <v>12</v>
      </c>
      <c r="T19" s="12">
        <v>6</v>
      </c>
      <c r="U19" s="11">
        <v>2</v>
      </c>
      <c r="Z19" s="55"/>
      <c r="AB19" s="15">
        <f>AB15-$AC15/$AC$14*AB$14</f>
        <v>0</v>
      </c>
      <c r="AC19" s="15">
        <f t="shared" ref="AC19:AD19" si="5">AC15-$AC15/$AC$14*AC$14</f>
        <v>0</v>
      </c>
      <c r="AD19" s="15">
        <f t="shared" si="5"/>
        <v>10.012041884816753</v>
      </c>
      <c r="AE19" s="23">
        <f>AE15-$AC15/$AC$14*AE$14</f>
        <v>70.084293193717286</v>
      </c>
      <c r="AJ19" s="54"/>
      <c r="AK19" s="25"/>
      <c r="AL19" s="20">
        <f>AL15+2*AL13</f>
        <v>0</v>
      </c>
      <c r="AM19" s="20">
        <f t="shared" ref="AM19:AO19" si="6">AM15+2*AM13</f>
        <v>-4</v>
      </c>
      <c r="AN19" s="20">
        <f t="shared" si="6"/>
        <v>10.4</v>
      </c>
      <c r="AO19" s="20">
        <f t="shared" si="6"/>
        <v>8.8000000000000007</v>
      </c>
      <c r="AQ19" s="54"/>
    </row>
    <row r="20" spans="1:43" x14ac:dyDescent="0.35">
      <c r="A20" s="50"/>
      <c r="B20" s="11">
        <v>4</v>
      </c>
      <c r="C20" s="11">
        <v>5</v>
      </c>
      <c r="D20" s="11">
        <v>6</v>
      </c>
      <c r="F20" s="50"/>
      <c r="G20" s="11">
        <v>4</v>
      </c>
      <c r="K20" s="52"/>
      <c r="L20" s="11">
        <v>52</v>
      </c>
      <c r="P20" s="55"/>
      <c r="Z20" s="55"/>
      <c r="AJ20" s="54"/>
      <c r="AK20" s="25"/>
      <c r="AL20" s="25"/>
      <c r="AM20" s="25"/>
      <c r="AN20" s="25"/>
      <c r="AO20" s="25"/>
      <c r="AQ20" s="54"/>
    </row>
    <row r="21" spans="1:43" x14ac:dyDescent="0.35">
      <c r="P21" s="55"/>
      <c r="R21" s="56" t="s">
        <v>77</v>
      </c>
      <c r="S21" s="11">
        <v>8</v>
      </c>
      <c r="T21" s="11">
        <v>2</v>
      </c>
      <c r="U21" s="12">
        <v>-2</v>
      </c>
      <c r="W21" s="1" t="s">
        <v>75</v>
      </c>
      <c r="X21" s="1">
        <f>MDETERM(S21:U23)</f>
        <v>15.999999999999993</v>
      </c>
      <c r="Z21" s="55"/>
      <c r="AJ21" s="54"/>
      <c r="AK21" s="25"/>
      <c r="AL21" s="20">
        <f>AL17+0.5*AL18</f>
        <v>1</v>
      </c>
      <c r="AM21" s="20">
        <f t="shared" ref="AM21:AO21" si="7">AM17+0.5*AM18</f>
        <v>0</v>
      </c>
      <c r="AN21" s="20">
        <f t="shared" si="7"/>
        <v>-0.3</v>
      </c>
      <c r="AO21" s="20">
        <f t="shared" si="7"/>
        <v>-1.6</v>
      </c>
      <c r="AQ21" s="54"/>
    </row>
    <row r="22" spans="1:43" x14ac:dyDescent="0.35">
      <c r="A22" s="51" t="s">
        <v>63</v>
      </c>
      <c r="B22" s="51"/>
      <c r="C22" s="51"/>
      <c r="D22" s="51"/>
      <c r="E22" s="51"/>
      <c r="F22" s="51"/>
      <c r="G22" s="51"/>
      <c r="H22" s="51"/>
      <c r="I22" s="51"/>
      <c r="P22" s="55"/>
      <c r="R22" s="56"/>
      <c r="S22" s="11">
        <v>10</v>
      </c>
      <c r="T22" s="11">
        <v>2</v>
      </c>
      <c r="U22" s="12">
        <v>4</v>
      </c>
      <c r="W22" s="17" t="s">
        <v>71</v>
      </c>
      <c r="X22" s="17">
        <f>X21/S11</f>
        <v>0.49999999999999989</v>
      </c>
      <c r="Z22" s="55"/>
      <c r="AJ22" s="54"/>
      <c r="AK22" s="25"/>
      <c r="AL22" s="26">
        <v>0</v>
      </c>
      <c r="AM22" s="26">
        <v>1</v>
      </c>
      <c r="AN22" s="26">
        <v>-1</v>
      </c>
      <c r="AO22" s="24">
        <v>1</v>
      </c>
      <c r="AQ22" s="54"/>
    </row>
    <row r="23" spans="1:43" x14ac:dyDescent="0.35">
      <c r="P23" s="55"/>
      <c r="R23" s="56"/>
      <c r="S23" s="11">
        <v>12</v>
      </c>
      <c r="T23" s="11">
        <v>2</v>
      </c>
      <c r="U23" s="12">
        <v>6</v>
      </c>
      <c r="Z23" s="55"/>
      <c r="AJ23" s="54"/>
      <c r="AK23" s="25"/>
      <c r="AL23" s="26">
        <v>0</v>
      </c>
      <c r="AM23" s="26">
        <v>-4</v>
      </c>
      <c r="AN23" s="26">
        <v>10.4</v>
      </c>
      <c r="AO23" s="23">
        <v>8.8000000000000007</v>
      </c>
      <c r="AQ23" s="54"/>
    </row>
    <row r="24" spans="1:43" x14ac:dyDescent="0.35">
      <c r="A24" s="50" t="s">
        <v>55</v>
      </c>
      <c r="B24" s="11">
        <v>1</v>
      </c>
      <c r="C24" s="11">
        <v>2</v>
      </c>
      <c r="D24" s="11">
        <v>3</v>
      </c>
      <c r="F24" s="52" t="s">
        <v>64</v>
      </c>
      <c r="G24" s="11" cm="1">
        <f t="array" ref="G24:I26">TRANSPOSE(B24:D26)</f>
        <v>1</v>
      </c>
      <c r="H24" s="11">
        <v>2</v>
      </c>
      <c r="I24" s="11">
        <v>4</v>
      </c>
      <c r="P24" s="55"/>
      <c r="Z24" s="55"/>
      <c r="AJ24" s="54"/>
      <c r="AO24" s="25"/>
      <c r="AQ24" s="54"/>
    </row>
    <row r="25" spans="1:43" x14ac:dyDescent="0.35">
      <c r="A25" s="50"/>
      <c r="B25" s="11">
        <v>2</v>
      </c>
      <c r="C25" s="11">
        <v>3</v>
      </c>
      <c r="D25" s="11">
        <v>4</v>
      </c>
      <c r="F25" s="52"/>
      <c r="G25" s="11">
        <v>2</v>
      </c>
      <c r="H25" s="11">
        <v>3</v>
      </c>
      <c r="I25" s="11">
        <v>5</v>
      </c>
      <c r="P25" s="55"/>
      <c r="Z25" s="55"/>
      <c r="AJ25" s="54"/>
      <c r="AL25" s="19">
        <v>1</v>
      </c>
      <c r="AM25" s="19">
        <v>0</v>
      </c>
      <c r="AN25" s="19">
        <v>-0.3</v>
      </c>
      <c r="AO25" s="23">
        <v>-1.6</v>
      </c>
      <c r="AQ25" s="54"/>
    </row>
    <row r="26" spans="1:43" x14ac:dyDescent="0.35">
      <c r="A26" s="50"/>
      <c r="B26" s="11">
        <v>4</v>
      </c>
      <c r="C26" s="11">
        <v>5</v>
      </c>
      <c r="D26" s="11">
        <v>6</v>
      </c>
      <c r="F26" s="52"/>
      <c r="G26" s="11">
        <v>3</v>
      </c>
      <c r="H26" s="11">
        <v>4</v>
      </c>
      <c r="I26" s="11">
        <v>6</v>
      </c>
      <c r="P26" s="55"/>
      <c r="Z26" s="55"/>
      <c r="AJ26" s="54"/>
      <c r="AL26" s="19">
        <v>0</v>
      </c>
      <c r="AM26" s="19">
        <v>1</v>
      </c>
      <c r="AN26" s="19">
        <v>-1</v>
      </c>
      <c r="AO26" s="23">
        <v>1</v>
      </c>
      <c r="AQ26" s="54"/>
    </row>
    <row r="27" spans="1:43" x14ac:dyDescent="0.35">
      <c r="P27" s="55"/>
      <c r="Z27" s="55"/>
      <c r="AB27" s="19">
        <v>10</v>
      </c>
      <c r="AC27" s="19">
        <v>-5</v>
      </c>
      <c r="AD27" s="19">
        <v>2</v>
      </c>
      <c r="AE27" s="23">
        <v>-21</v>
      </c>
      <c r="AJ27" s="54"/>
      <c r="AL27" s="20">
        <f>AL23+4*AL22</f>
        <v>0</v>
      </c>
      <c r="AM27" s="20">
        <f t="shared" ref="AM27:AO27" si="8">AM23+4*AM22</f>
        <v>0</v>
      </c>
      <c r="AN27" s="20">
        <f t="shared" si="8"/>
        <v>6.4</v>
      </c>
      <c r="AO27" s="20">
        <f t="shared" si="8"/>
        <v>12.8</v>
      </c>
      <c r="AQ27" s="54"/>
    </row>
    <row r="28" spans="1:43" x14ac:dyDescent="0.35">
      <c r="A28" s="51" t="s">
        <v>65</v>
      </c>
      <c r="B28" s="51"/>
      <c r="C28" s="51"/>
      <c r="D28" s="51"/>
      <c r="E28" s="51"/>
      <c r="F28" s="51"/>
      <c r="G28" s="51"/>
      <c r="H28" s="51"/>
      <c r="I28" s="51"/>
      <c r="P28" s="55"/>
      <c r="Z28" s="55"/>
      <c r="AB28" s="19">
        <v>-2</v>
      </c>
      <c r="AC28" s="19">
        <v>9</v>
      </c>
      <c r="AD28" s="19">
        <v>-2</v>
      </c>
      <c r="AE28" s="23">
        <v>25</v>
      </c>
      <c r="AJ28" s="54"/>
      <c r="AO28" s="25"/>
      <c r="AQ28" s="54"/>
    </row>
    <row r="29" spans="1:43" x14ac:dyDescent="0.35">
      <c r="P29" s="55"/>
      <c r="Z29" s="55"/>
      <c r="AB29" s="19">
        <v>-2</v>
      </c>
      <c r="AC29" s="19">
        <v>-3</v>
      </c>
      <c r="AD29" s="19">
        <v>10</v>
      </c>
      <c r="AE29" s="23">
        <v>13</v>
      </c>
      <c r="AJ29" s="54"/>
      <c r="AL29" s="19">
        <v>1</v>
      </c>
      <c r="AM29" s="19">
        <v>0</v>
      </c>
      <c r="AN29" s="19">
        <v>-0.3</v>
      </c>
      <c r="AO29" s="23">
        <v>-1.6</v>
      </c>
      <c r="AQ29" s="54"/>
    </row>
    <row r="30" spans="1:43" x14ac:dyDescent="0.35">
      <c r="A30" s="50" t="s">
        <v>55</v>
      </c>
      <c r="B30" s="11">
        <v>8</v>
      </c>
      <c r="C30" s="11">
        <v>2</v>
      </c>
      <c r="D30" s="11">
        <v>3</v>
      </c>
      <c r="F30" s="52" t="s">
        <v>66</v>
      </c>
      <c r="G30" s="56">
        <f>MDETERM(B30:D32)</f>
        <v>-14</v>
      </c>
      <c r="H30" s="56"/>
      <c r="P30" s="55"/>
      <c r="Z30" s="55"/>
      <c r="AJ30" s="54"/>
      <c r="AL30" s="19">
        <v>0</v>
      </c>
      <c r="AM30" s="19">
        <v>1</v>
      </c>
      <c r="AN30" s="19">
        <v>-1</v>
      </c>
      <c r="AO30" s="23">
        <v>1</v>
      </c>
      <c r="AQ30" s="54"/>
    </row>
    <row r="31" spans="1:43" x14ac:dyDescent="0.35">
      <c r="A31" s="50"/>
      <c r="B31" s="11">
        <v>2</v>
      </c>
      <c r="C31" s="11">
        <v>3</v>
      </c>
      <c r="D31" s="11">
        <v>4</v>
      </c>
      <c r="F31" s="52"/>
      <c r="G31" s="56"/>
      <c r="H31" s="56"/>
      <c r="P31" s="55"/>
      <c r="Z31" s="55"/>
      <c r="AB31" s="19">
        <v>10</v>
      </c>
      <c r="AC31" s="19">
        <v>-5</v>
      </c>
      <c r="AD31" s="19">
        <v>2</v>
      </c>
      <c r="AE31" s="23">
        <v>-21</v>
      </c>
      <c r="AG31" s="21" t="s">
        <v>71</v>
      </c>
      <c r="AH31" s="21">
        <f>AE37/AD37</f>
        <v>2.0000000000000004</v>
      </c>
      <c r="AJ31" s="54"/>
      <c r="AL31" s="20">
        <f>AL27/6.4</f>
        <v>0</v>
      </c>
      <c r="AM31" s="20">
        <f t="shared" ref="AM31:AO31" si="9">AM27/6.4</f>
        <v>0</v>
      </c>
      <c r="AN31" s="20">
        <f t="shared" si="9"/>
        <v>1</v>
      </c>
      <c r="AO31" s="20">
        <f t="shared" si="9"/>
        <v>2</v>
      </c>
      <c r="AQ31" s="54"/>
    </row>
    <row r="32" spans="1:43" x14ac:dyDescent="0.35">
      <c r="A32" s="50"/>
      <c r="B32" s="11">
        <v>4</v>
      </c>
      <c r="C32" s="11">
        <v>5</v>
      </c>
      <c r="D32" s="11">
        <v>6</v>
      </c>
      <c r="F32" s="52"/>
      <c r="G32" s="56"/>
      <c r="H32" s="56"/>
      <c r="P32" s="55"/>
      <c r="Z32" s="55"/>
      <c r="AB32" s="18">
        <f t="shared" ref="AB32:AE33" si="10">AB28-$AB28/$AB$27*AB$27</f>
        <v>0</v>
      </c>
      <c r="AC32" s="18">
        <f t="shared" si="10"/>
        <v>8</v>
      </c>
      <c r="AD32" s="18">
        <f t="shared" si="10"/>
        <v>-1.6</v>
      </c>
      <c r="AE32" s="23">
        <f t="shared" si="10"/>
        <v>20.8</v>
      </c>
      <c r="AG32" s="21" t="s">
        <v>70</v>
      </c>
      <c r="AH32" s="21">
        <f>(AE36-AD36*AH31)/AC36</f>
        <v>3</v>
      </c>
      <c r="AJ32" s="54"/>
      <c r="AO32" s="25"/>
      <c r="AQ32" s="54"/>
    </row>
    <row r="33" spans="1:43" x14ac:dyDescent="0.35">
      <c r="P33" s="55"/>
      <c r="Z33" s="55"/>
      <c r="AB33" s="18">
        <f t="shared" si="10"/>
        <v>0</v>
      </c>
      <c r="AC33" s="18">
        <f t="shared" si="10"/>
        <v>-4</v>
      </c>
      <c r="AD33" s="18">
        <f t="shared" si="10"/>
        <v>10.4</v>
      </c>
      <c r="AE33" s="23">
        <f t="shared" si="10"/>
        <v>8.8000000000000007</v>
      </c>
      <c r="AG33" s="21" t="s">
        <v>69</v>
      </c>
      <c r="AH33" s="21">
        <f>(AE35-AD35*AH31-AC35*AH32)/AB35</f>
        <v>-1</v>
      </c>
      <c r="AJ33" s="54"/>
      <c r="AL33" s="20">
        <f>AL29+0.3*AL31</f>
        <v>1</v>
      </c>
      <c r="AM33" s="20">
        <f t="shared" ref="AM33:AO33" si="11">AM29+0.3*AM31</f>
        <v>0</v>
      </c>
      <c r="AN33" s="20">
        <f t="shared" si="11"/>
        <v>0</v>
      </c>
      <c r="AO33" s="27">
        <f t="shared" si="11"/>
        <v>-1</v>
      </c>
      <c r="AQ33" s="54"/>
    </row>
    <row r="34" spans="1:43" x14ac:dyDescent="0.35">
      <c r="A34" s="51" t="s">
        <v>67</v>
      </c>
      <c r="B34" s="51"/>
      <c r="C34" s="51"/>
      <c r="D34" s="51"/>
      <c r="E34" s="51"/>
      <c r="F34" s="51"/>
      <c r="G34" s="51"/>
      <c r="H34" s="51"/>
      <c r="I34" s="51"/>
      <c r="P34" s="55"/>
      <c r="Z34" s="55"/>
      <c r="AJ34" s="54"/>
      <c r="AL34" s="20">
        <f>AL30+AL31</f>
        <v>0</v>
      </c>
      <c r="AM34" s="20">
        <f t="shared" ref="AM34:AO34" si="12">AM30+AM31</f>
        <v>1</v>
      </c>
      <c r="AN34" s="20">
        <f t="shared" si="12"/>
        <v>0</v>
      </c>
      <c r="AO34" s="27">
        <f t="shared" si="12"/>
        <v>3</v>
      </c>
      <c r="AQ34" s="54"/>
    </row>
    <row r="35" spans="1:43" x14ac:dyDescent="0.35">
      <c r="P35" s="55"/>
      <c r="Z35" s="55"/>
      <c r="AB35" s="19">
        <v>10</v>
      </c>
      <c r="AC35" s="19">
        <v>-5</v>
      </c>
      <c r="AD35" s="19">
        <v>2</v>
      </c>
      <c r="AE35" s="23">
        <v>-21</v>
      </c>
      <c r="AJ35" s="54"/>
      <c r="AL35" s="19">
        <v>0</v>
      </c>
      <c r="AM35" s="19">
        <v>0</v>
      </c>
      <c r="AN35" s="19">
        <v>1</v>
      </c>
      <c r="AO35" s="27">
        <v>2</v>
      </c>
      <c r="AQ35" s="54"/>
    </row>
    <row r="36" spans="1:43" x14ac:dyDescent="0.35">
      <c r="A36" s="50" t="s">
        <v>55</v>
      </c>
      <c r="B36" s="11">
        <v>8</v>
      </c>
      <c r="C36" s="11">
        <v>2</v>
      </c>
      <c r="D36" s="11">
        <v>3</v>
      </c>
      <c r="F36" s="52" t="s">
        <v>67</v>
      </c>
      <c r="G36" s="11" cm="1">
        <f t="array" ref="G36:I38">MINVERSE(B36:D38)</f>
        <v>0.14285714285714285</v>
      </c>
      <c r="H36" s="11">
        <v>-0.2142857142857143</v>
      </c>
      <c r="I36" s="11">
        <v>7.1428571428571397E-2</v>
      </c>
      <c r="P36" s="55"/>
      <c r="Z36" s="55"/>
      <c r="AB36" s="19">
        <v>0</v>
      </c>
      <c r="AC36" s="19">
        <v>8</v>
      </c>
      <c r="AD36" s="19">
        <v>-1.6</v>
      </c>
      <c r="AE36" s="23">
        <v>20.8</v>
      </c>
      <c r="AJ36" s="54"/>
      <c r="AO36" s="25"/>
      <c r="AP36" s="25"/>
      <c r="AQ36" s="54"/>
    </row>
    <row r="37" spans="1:43" x14ac:dyDescent="0.35">
      <c r="A37" s="50"/>
      <c r="B37" s="11">
        <v>2</v>
      </c>
      <c r="C37" s="11">
        <v>3</v>
      </c>
      <c r="D37" s="11">
        <v>4</v>
      </c>
      <c r="F37" s="52"/>
      <c r="G37" s="11">
        <v>-0.2857142857142857</v>
      </c>
      <c r="H37" s="11">
        <v>-2.5714285714285712</v>
      </c>
      <c r="I37" s="11">
        <v>1.8571428571428572</v>
      </c>
      <c r="P37" s="55"/>
      <c r="Z37" s="55"/>
      <c r="AB37" s="18">
        <f>AB33-$AC33/$AC$32*AB$32</f>
        <v>0</v>
      </c>
      <c r="AC37" s="18">
        <f>AC33-$AC33/$AC$32*AC$32</f>
        <v>0</v>
      </c>
      <c r="AD37" s="18">
        <f>AD33-$AC33/$AC$32*AD$32</f>
        <v>9.6</v>
      </c>
      <c r="AE37" s="23">
        <f>AE33-$AC33/$AC$32*AE$32</f>
        <v>19.200000000000003</v>
      </c>
      <c r="AJ37" s="54"/>
      <c r="AO37" s="25"/>
      <c r="AP37" s="25"/>
      <c r="AQ37" s="54"/>
    </row>
    <row r="38" spans="1:43" x14ac:dyDescent="0.35">
      <c r="A38" s="50"/>
      <c r="B38" s="11">
        <v>4</v>
      </c>
      <c r="C38" s="11">
        <v>5</v>
      </c>
      <c r="D38" s="11">
        <v>6</v>
      </c>
      <c r="F38" s="52"/>
      <c r="G38" s="11">
        <v>0.14285714285714285</v>
      </c>
      <c r="H38" s="11">
        <v>2.2857142857142856</v>
      </c>
      <c r="I38" s="11">
        <v>-1.4285714285714286</v>
      </c>
      <c r="P38" s="55"/>
      <c r="Z38" s="55"/>
      <c r="AJ38" s="54"/>
      <c r="AO38" s="25"/>
      <c r="AP38" s="25"/>
      <c r="AQ38" s="54"/>
    </row>
    <row r="39" spans="1:43" x14ac:dyDescent="0.35">
      <c r="Z39" s="55"/>
      <c r="AJ39" s="22"/>
      <c r="AQ39" s="22"/>
    </row>
    <row r="40" spans="1:43" x14ac:dyDescent="0.35">
      <c r="Z40" s="55"/>
      <c r="AJ40" s="22"/>
      <c r="AQ40" s="22"/>
    </row>
  </sheetData>
  <mergeCells count="33">
    <mergeCell ref="A18:A20"/>
    <mergeCell ref="A14:A16"/>
    <mergeCell ref="Z1:Z40"/>
    <mergeCell ref="K3:K5"/>
    <mergeCell ref="AQ1:AQ38"/>
    <mergeCell ref="G30:H32"/>
    <mergeCell ref="P1:P38"/>
    <mergeCell ref="R1:X1"/>
    <mergeCell ref="R13:R15"/>
    <mergeCell ref="R17:R19"/>
    <mergeCell ref="R21:R23"/>
    <mergeCell ref="K14:K16"/>
    <mergeCell ref="K18:K20"/>
    <mergeCell ref="A1:N1"/>
    <mergeCell ref="A24:A26"/>
    <mergeCell ref="A10:A12"/>
    <mergeCell ref="AB1:AH1"/>
    <mergeCell ref="A3:A5"/>
    <mergeCell ref="A34:I34"/>
    <mergeCell ref="F10:F12"/>
    <mergeCell ref="AL1:AO1"/>
    <mergeCell ref="AJ1:AJ38"/>
    <mergeCell ref="A30:A32"/>
    <mergeCell ref="A36:A38"/>
    <mergeCell ref="F3:F5"/>
    <mergeCell ref="F14:F16"/>
    <mergeCell ref="F18:F20"/>
    <mergeCell ref="F24:F26"/>
    <mergeCell ref="F30:F32"/>
    <mergeCell ref="F36:F38"/>
    <mergeCell ref="A7:N7"/>
    <mergeCell ref="A22:I22"/>
    <mergeCell ref="A28:I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B5AE-F5A8-4DF4-8C71-EAC196A4506C}">
  <dimension ref="A1:BC91"/>
  <sheetViews>
    <sheetView tabSelected="1" topLeftCell="A29" zoomScale="70" zoomScaleNormal="70" workbookViewId="0">
      <selection activeCell="P48" sqref="P48:R50"/>
    </sheetView>
  </sheetViews>
  <sheetFormatPr defaultRowHeight="14.5" x14ac:dyDescent="0.35"/>
  <cols>
    <col min="1" max="1" width="8.7265625" style="29"/>
    <col min="2" max="2" width="12.1796875" style="1" customWidth="1"/>
    <col min="3" max="3" width="11.36328125" style="1" customWidth="1"/>
    <col min="4" max="4" width="8.7265625" style="1"/>
    <col min="5" max="5" width="12" style="1" customWidth="1"/>
    <col min="6" max="6" width="11.90625" style="1" customWidth="1"/>
    <col min="7" max="7" width="9.81640625" style="1" customWidth="1"/>
    <col min="8" max="8" width="8.7265625" style="1"/>
    <col min="9" max="9" width="10.26953125" style="1" customWidth="1"/>
    <col min="10" max="10" width="8.7265625" style="1"/>
    <col min="11" max="11" width="11.1796875" style="1" customWidth="1"/>
    <col min="12" max="12" width="12.7265625" style="1" customWidth="1"/>
    <col min="13" max="13" width="8.7265625" style="1"/>
    <col min="14" max="14" width="10.81640625" style="1" customWidth="1"/>
    <col min="15" max="17" width="8.7265625" style="1"/>
    <col min="18" max="18" width="11" style="1" customWidth="1"/>
    <col min="19" max="19" width="8.7265625" style="1"/>
    <col min="20" max="20" width="11.36328125" style="1" customWidth="1"/>
    <col min="21" max="21" width="8.7265625" style="1"/>
    <col min="22" max="22" width="12.453125" style="1" customWidth="1"/>
    <col min="23" max="23" width="8.7265625" style="1"/>
    <col min="24" max="24" width="8.7265625" style="40"/>
    <col min="25" max="35" width="8.7265625" style="1"/>
    <col min="36" max="36" width="15" style="1" customWidth="1"/>
    <col min="37" max="45" width="8.7265625" style="1"/>
    <col min="46" max="46" width="16.36328125" style="1" customWidth="1"/>
    <col min="47" max="16384" width="8.7265625" style="1"/>
  </cols>
  <sheetData>
    <row r="1" spans="1:55" s="35" customFormat="1" ht="39" customHeight="1" x14ac:dyDescent="0.35">
      <c r="A1" s="34" t="s">
        <v>95</v>
      </c>
      <c r="X1" s="46"/>
      <c r="Y1" s="34" t="s">
        <v>112</v>
      </c>
      <c r="Z1" s="1"/>
      <c r="AA1" s="1"/>
      <c r="AB1" s="1"/>
      <c r="AC1" s="1"/>
      <c r="AD1" s="1"/>
      <c r="AE1" s="1"/>
      <c r="AF1" s="1"/>
      <c r="AG1" s="1"/>
      <c r="AH1" s="33"/>
      <c r="AI1" s="1"/>
      <c r="AJ1" s="29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x14ac:dyDescent="0.35">
      <c r="B2" s="31" t="s">
        <v>92</v>
      </c>
      <c r="C2" s="31" t="s">
        <v>80</v>
      </c>
      <c r="D2" s="31" t="s">
        <v>48</v>
      </c>
      <c r="E2" s="31" t="s">
        <v>81</v>
      </c>
      <c r="F2" s="31" t="s">
        <v>82</v>
      </c>
      <c r="G2" s="31" t="s">
        <v>93</v>
      </c>
      <c r="M2" s="31" t="s">
        <v>92</v>
      </c>
      <c r="N2" s="31" t="s">
        <v>80</v>
      </c>
      <c r="O2" s="31" t="s">
        <v>48</v>
      </c>
      <c r="P2" s="31" t="s">
        <v>81</v>
      </c>
      <c r="Q2" s="31" t="s">
        <v>82</v>
      </c>
      <c r="R2" s="31" t="s">
        <v>93</v>
      </c>
      <c r="Y2" s="29"/>
      <c r="AJ2" s="36" t="s">
        <v>115</v>
      </c>
    </row>
    <row r="3" spans="1:55" x14ac:dyDescent="0.35">
      <c r="B3" s="32">
        <v>10</v>
      </c>
      <c r="C3" s="32">
        <v>8</v>
      </c>
      <c r="D3" s="32">
        <v>12</v>
      </c>
      <c r="E3" s="32">
        <v>0.90308999999999995</v>
      </c>
      <c r="F3" s="32">
        <v>1.0791812000000001</v>
      </c>
      <c r="G3" s="32">
        <f>LOG(10,10)</f>
        <v>1</v>
      </c>
      <c r="M3" s="32">
        <v>2</v>
      </c>
      <c r="N3" s="32">
        <v>1</v>
      </c>
      <c r="O3" s="32">
        <v>4</v>
      </c>
      <c r="P3" s="32">
        <v>0</v>
      </c>
      <c r="Q3" s="32">
        <v>1.38629</v>
      </c>
      <c r="R3" s="32">
        <f>LN(2)</f>
        <v>0.69314718055994529</v>
      </c>
      <c r="Y3" s="29"/>
      <c r="AJ3" s="29"/>
      <c r="AK3" s="31" t="s">
        <v>92</v>
      </c>
      <c r="AL3" s="31" t="s">
        <v>80</v>
      </c>
      <c r="AM3" s="31" t="s">
        <v>48</v>
      </c>
      <c r="AN3" s="31" t="s">
        <v>81</v>
      </c>
      <c r="AO3" s="31" t="s">
        <v>82</v>
      </c>
      <c r="AP3" s="31" t="s">
        <v>93</v>
      </c>
    </row>
    <row r="4" spans="1:55" x14ac:dyDescent="0.35">
      <c r="Y4" s="29"/>
      <c r="AK4" s="32">
        <v>10</v>
      </c>
      <c r="AL4" s="32">
        <v>9</v>
      </c>
      <c r="AM4" s="32">
        <v>11</v>
      </c>
      <c r="AN4" s="32">
        <f>LOG(AL4)</f>
        <v>0.95424250943932487</v>
      </c>
      <c r="AO4" s="32">
        <f t="shared" ref="AO4" si="0">LOG(AM4)</f>
        <v>1.0413926851582251</v>
      </c>
      <c r="AP4" s="32">
        <f>LOG(AK4)</f>
        <v>1</v>
      </c>
    </row>
    <row r="5" spans="1:55" x14ac:dyDescent="0.35">
      <c r="B5" s="30" t="s">
        <v>83</v>
      </c>
      <c r="C5" s="30">
        <f>E3+((F3-E3)/(D3-C3))*(B3-C3)</f>
        <v>0.99113560000000001</v>
      </c>
      <c r="M5" s="30" t="s">
        <v>104</v>
      </c>
      <c r="N5" s="30">
        <f>P3+((Q3-P3)/(O3-N3))*(M3-N3)</f>
        <v>0.46209666666666666</v>
      </c>
      <c r="Y5" s="29"/>
      <c r="AH5" s="33"/>
    </row>
    <row r="6" spans="1:55" x14ac:dyDescent="0.35">
      <c r="B6" s="30" t="s">
        <v>84</v>
      </c>
      <c r="C6" s="30">
        <f>(G3-C5)/G3*100</f>
        <v>0.88643999999999945</v>
      </c>
      <c r="D6" s="1" t="s">
        <v>91</v>
      </c>
      <c r="M6" s="30" t="s">
        <v>84</v>
      </c>
      <c r="N6" s="30">
        <f>(R3-N5)/R3*100</f>
        <v>33.333543058867967</v>
      </c>
      <c r="O6" s="1" t="s">
        <v>91</v>
      </c>
      <c r="Y6" s="29"/>
      <c r="AK6" s="1" t="s">
        <v>118</v>
      </c>
      <c r="AL6" s="1">
        <f>((AK4-AM4)/(AL4-AM4)*AN4)+((AK4-AL4)/(AM4-AL4)*AO4)</f>
        <v>0.99781759729877506</v>
      </c>
    </row>
    <row r="7" spans="1:55" x14ac:dyDescent="0.35">
      <c r="Y7" s="29"/>
      <c r="AH7" s="33"/>
      <c r="AJ7" s="1" t="s">
        <v>116</v>
      </c>
    </row>
    <row r="8" spans="1:55" x14ac:dyDescent="0.35">
      <c r="B8" s="31" t="s">
        <v>92</v>
      </c>
      <c r="C8" s="31" t="s">
        <v>80</v>
      </c>
      <c r="D8" s="31" t="s">
        <v>48</v>
      </c>
      <c r="E8" s="31" t="s">
        <v>81</v>
      </c>
      <c r="F8" s="31" t="s">
        <v>82</v>
      </c>
      <c r="G8" s="31" t="s">
        <v>93</v>
      </c>
      <c r="H8" s="33"/>
      <c r="M8" s="31" t="s">
        <v>92</v>
      </c>
      <c r="N8" s="31" t="s">
        <v>80</v>
      </c>
      <c r="O8" s="31" t="s">
        <v>48</v>
      </c>
      <c r="P8" s="31" t="s">
        <v>81</v>
      </c>
      <c r="Q8" s="31" t="s">
        <v>82</v>
      </c>
      <c r="R8" s="31" t="s">
        <v>93</v>
      </c>
      <c r="T8" s="33"/>
      <c r="Y8" s="29"/>
      <c r="Z8" s="31" t="s">
        <v>92</v>
      </c>
      <c r="AA8" s="31" t="s">
        <v>80</v>
      </c>
      <c r="AB8" s="31" t="s">
        <v>48</v>
      </c>
      <c r="AC8" s="31" t="s">
        <v>72</v>
      </c>
      <c r="AD8" s="31" t="s">
        <v>81</v>
      </c>
      <c r="AE8" s="31" t="s">
        <v>82</v>
      </c>
      <c r="AF8" s="31" t="s">
        <v>85</v>
      </c>
      <c r="AG8" s="31" t="s">
        <v>93</v>
      </c>
      <c r="AK8" s="31" t="s">
        <v>92</v>
      </c>
      <c r="AL8" s="31" t="s">
        <v>80</v>
      </c>
      <c r="AM8" s="31" t="s">
        <v>48</v>
      </c>
      <c r="AN8" s="31" t="s">
        <v>72</v>
      </c>
      <c r="AO8" s="31" t="s">
        <v>81</v>
      </c>
      <c r="AP8" s="31" t="s">
        <v>82</v>
      </c>
      <c r="AQ8" s="31" t="s">
        <v>85</v>
      </c>
      <c r="AR8" s="31" t="s">
        <v>93</v>
      </c>
    </row>
    <row r="9" spans="1:55" x14ac:dyDescent="0.35">
      <c r="B9" s="32">
        <v>10</v>
      </c>
      <c r="C9" s="32">
        <v>9</v>
      </c>
      <c r="D9" s="32">
        <v>11</v>
      </c>
      <c r="E9" s="32">
        <v>0.95424249999999999</v>
      </c>
      <c r="F9" s="32">
        <v>1.0413927000000001</v>
      </c>
      <c r="G9" s="32">
        <v>1</v>
      </c>
      <c r="H9" s="33"/>
      <c r="M9" s="32">
        <v>2</v>
      </c>
      <c r="N9" s="32">
        <v>1</v>
      </c>
      <c r="O9" s="32">
        <v>6</v>
      </c>
      <c r="P9" s="32">
        <v>0</v>
      </c>
      <c r="Q9" s="32">
        <v>1.7917590000000001</v>
      </c>
      <c r="R9" s="32">
        <f>LN(2)</f>
        <v>0.69314718055994529</v>
      </c>
      <c r="T9" s="33"/>
      <c r="Y9" s="29"/>
      <c r="Z9" s="32">
        <v>2</v>
      </c>
      <c r="AA9" s="32">
        <v>1</v>
      </c>
      <c r="AB9" s="32">
        <v>4</v>
      </c>
      <c r="AC9" s="32">
        <v>6</v>
      </c>
      <c r="AD9" s="32">
        <f>LN(AA9)</f>
        <v>0</v>
      </c>
      <c r="AE9" s="32">
        <f t="shared" ref="AE9:AF9" si="1">LN(AB9)</f>
        <v>1.3862943611198906</v>
      </c>
      <c r="AF9" s="32">
        <f t="shared" si="1"/>
        <v>1.791759469228055</v>
      </c>
      <c r="AG9" s="32">
        <f>LN(Z9)</f>
        <v>0.69314718055994529</v>
      </c>
      <c r="AK9" s="32">
        <v>10</v>
      </c>
      <c r="AL9" s="32">
        <v>8</v>
      </c>
      <c r="AM9" s="32">
        <v>9</v>
      </c>
      <c r="AN9" s="32">
        <v>11</v>
      </c>
      <c r="AO9" s="32">
        <f>LOG(AL9)</f>
        <v>0.90308998699194354</v>
      </c>
      <c r="AP9" s="32">
        <f t="shared" ref="AP9:AQ9" si="2">LOG(AM9)</f>
        <v>0.95424250943932487</v>
      </c>
      <c r="AQ9" s="32">
        <f t="shared" si="2"/>
        <v>1.0413926851582251</v>
      </c>
      <c r="AR9" s="32">
        <f>LOG(AK9)</f>
        <v>1</v>
      </c>
    </row>
    <row r="10" spans="1:55" x14ac:dyDescent="0.35">
      <c r="H10" s="33"/>
      <c r="T10" s="33"/>
      <c r="Y10" s="29"/>
    </row>
    <row r="11" spans="1:55" x14ac:dyDescent="0.35">
      <c r="B11" s="30" t="s">
        <v>83</v>
      </c>
      <c r="C11" s="30">
        <f>E9+((F9-E9)/(D9-C9))*(B9-C9)</f>
        <v>0.99781760000000008</v>
      </c>
      <c r="H11" s="33"/>
      <c r="M11" s="30" t="s">
        <v>104</v>
      </c>
      <c r="N11" s="30">
        <f>P9+((Q9-P9)/(O9-N9))*(M9-N9)</f>
        <v>0.3583518</v>
      </c>
      <c r="T11" s="33"/>
      <c r="Y11" s="29"/>
      <c r="Z11" s="1" t="s">
        <v>113</v>
      </c>
      <c r="AA11" s="1">
        <f>((Z9-AB9)/(AA9-AB9)*AD9)+((Z9-AA9)/(AB9-AA9)*AE9)</f>
        <v>0.46209812037329684</v>
      </c>
      <c r="AK11" s="1" t="s">
        <v>119</v>
      </c>
      <c r="AL11" s="1">
        <f>((AK9-AM9)*(AK9-AN9)/((AL9-AM9)*(AL9-AN9))*AO9)+((AK9-AL9)*(AK9-AN9)/((AM9-AL9)*(AM9-AN9))*AP9)+((AK9-AL9)*(AK9-AM9)/((AN9-AL9)*(AN9-AM9))*AQ9)</f>
        <v>1.0003434088280854</v>
      </c>
    </row>
    <row r="12" spans="1:55" x14ac:dyDescent="0.35">
      <c r="B12" s="30" t="s">
        <v>84</v>
      </c>
      <c r="C12" s="30">
        <f>(G9-C11)/G9*100</f>
        <v>0.21823999999999177</v>
      </c>
      <c r="D12" s="1" t="s">
        <v>91</v>
      </c>
      <c r="M12" s="30" t="s">
        <v>84</v>
      </c>
      <c r="N12" s="30">
        <f>(R9-N11)/R9*100</f>
        <v>48.300763524636636</v>
      </c>
      <c r="O12" s="1" t="s">
        <v>91</v>
      </c>
      <c r="S12" s="33"/>
      <c r="T12" s="33"/>
      <c r="Y12" s="29"/>
      <c r="Z12" s="1" t="s">
        <v>114</v>
      </c>
      <c r="AA12" s="1">
        <f>((Z9-AB9)*(Z9-AC9)/((AA9-AB9)*(AA9-AC9))*AD9)+((Z9-AA9)*(Z9-AC9)/((AB9-AA9)*(AB9-AC9))*AE9)+((Z9-AA9)*(Z9-AB9)/((AC9-AA9)*(AC9-AB9))*AF9)</f>
        <v>0.56584434690098262</v>
      </c>
      <c r="AJ12" s="1" t="s">
        <v>117</v>
      </c>
    </row>
    <row r="13" spans="1:55" x14ac:dyDescent="0.35">
      <c r="I13" s="33"/>
      <c r="L13" s="33"/>
      <c r="M13" s="33"/>
      <c r="N13" s="33"/>
      <c r="O13" s="33"/>
      <c r="P13" s="33"/>
      <c r="Q13" s="33"/>
      <c r="R13" s="33"/>
      <c r="Y13" s="29"/>
      <c r="AK13" s="31" t="s">
        <v>92</v>
      </c>
      <c r="AL13" s="31" t="s">
        <v>80</v>
      </c>
      <c r="AM13" s="31" t="s">
        <v>48</v>
      </c>
      <c r="AN13" s="31" t="s">
        <v>72</v>
      </c>
      <c r="AO13" s="31" t="s">
        <v>73</v>
      </c>
      <c r="AP13" s="31" t="s">
        <v>81</v>
      </c>
      <c r="AQ13" s="31" t="s">
        <v>82</v>
      </c>
      <c r="AR13" s="31" t="s">
        <v>85</v>
      </c>
      <c r="AS13" s="31" t="s">
        <v>97</v>
      </c>
      <c r="AT13" s="31" t="s">
        <v>93</v>
      </c>
    </row>
    <row r="14" spans="1:55" s="35" customFormat="1" ht="41.5" customHeight="1" x14ac:dyDescent="0.35">
      <c r="A14" s="34" t="s">
        <v>96</v>
      </c>
      <c r="X14" s="46"/>
      <c r="Y14" s="29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32">
        <v>10</v>
      </c>
      <c r="AL14" s="32">
        <v>8</v>
      </c>
      <c r="AM14" s="32">
        <v>9</v>
      </c>
      <c r="AN14" s="32">
        <v>11</v>
      </c>
      <c r="AO14" s="32">
        <v>12</v>
      </c>
      <c r="AP14" s="32">
        <f>LOG(AL14)</f>
        <v>0.90308998699194354</v>
      </c>
      <c r="AQ14" s="32">
        <f>LOG(AM14)</f>
        <v>0.95424250943932487</v>
      </c>
      <c r="AR14" s="32">
        <f>LOG(AN14)</f>
        <v>1.0413926851582251</v>
      </c>
      <c r="AS14" s="32">
        <f>LOG(AO14)</f>
        <v>1.0791812460476249</v>
      </c>
      <c r="AT14" s="32">
        <v>1</v>
      </c>
      <c r="AU14" s="1"/>
      <c r="AV14" s="1"/>
      <c r="AW14" s="1"/>
      <c r="AX14" s="1"/>
      <c r="AY14" s="1"/>
      <c r="AZ14" s="1"/>
      <c r="BA14" s="1"/>
      <c r="BB14" s="1"/>
      <c r="BC14" s="1"/>
    </row>
    <row r="15" spans="1:55" x14ac:dyDescent="0.35">
      <c r="B15" s="31" t="s">
        <v>92</v>
      </c>
      <c r="C15" s="31" t="s">
        <v>80</v>
      </c>
      <c r="D15" s="31" t="s">
        <v>48</v>
      </c>
      <c r="E15" s="31" t="s">
        <v>72</v>
      </c>
      <c r="F15" s="31" t="s">
        <v>81</v>
      </c>
      <c r="G15" s="31" t="s">
        <v>82</v>
      </c>
      <c r="H15" s="31" t="s">
        <v>85</v>
      </c>
      <c r="I15" s="31" t="s">
        <v>93</v>
      </c>
      <c r="M15" s="31" t="s">
        <v>92</v>
      </c>
      <c r="N15" s="31" t="s">
        <v>80</v>
      </c>
      <c r="O15" s="31" t="s">
        <v>48</v>
      </c>
      <c r="P15" s="31" t="s">
        <v>72</v>
      </c>
      <c r="Q15" s="31" t="s">
        <v>81</v>
      </c>
      <c r="R15" s="31" t="s">
        <v>82</v>
      </c>
      <c r="S15" s="31" t="s">
        <v>85</v>
      </c>
      <c r="T15" s="31" t="s">
        <v>93</v>
      </c>
      <c r="Y15" s="29"/>
    </row>
    <row r="16" spans="1:55" x14ac:dyDescent="0.35">
      <c r="B16" s="32">
        <v>10</v>
      </c>
      <c r="C16" s="32">
        <v>8</v>
      </c>
      <c r="D16" s="32">
        <v>9</v>
      </c>
      <c r="E16" s="32">
        <v>11</v>
      </c>
      <c r="F16" s="32">
        <f>LOG(C16)</f>
        <v>0.90308998699194354</v>
      </c>
      <c r="G16" s="32">
        <f t="shared" ref="G16:H16" si="3">LOG(D16)</f>
        <v>0.95424250943932487</v>
      </c>
      <c r="H16" s="32">
        <f t="shared" si="3"/>
        <v>1.0413926851582251</v>
      </c>
      <c r="I16" s="32">
        <v>1</v>
      </c>
      <c r="M16" s="32">
        <v>4</v>
      </c>
      <c r="N16" s="32">
        <v>2</v>
      </c>
      <c r="O16" s="32">
        <v>5</v>
      </c>
      <c r="P16" s="32">
        <v>6</v>
      </c>
      <c r="Q16" s="32">
        <f>N16*EXP(-N16)</f>
        <v>0.2706705664732254</v>
      </c>
      <c r="R16" s="32">
        <f>O16*EXP(-O16)</f>
        <v>3.3689734995427337E-2</v>
      </c>
      <c r="S16" s="32">
        <f>P16*EXP(-P16)</f>
        <v>1.4872513059998151E-2</v>
      </c>
      <c r="T16" s="32">
        <f>M16*EXP(-M16)</f>
        <v>7.3262555554936715E-2</v>
      </c>
      <c r="Y16" s="29"/>
      <c r="AK16" s="1" t="s">
        <v>120</v>
      </c>
      <c r="AL16" s="1">
        <f>((AK14-AM14)*(AK14-AN14)*(AK14-AO14))/((AL14-AM14)*(AL14-AN14)*(AL14-AO14))*AP14+((AK14-AL14)*(AK14-AN14)*(AK14-AO14))/((AM14-AL14)*(AM14-AN14)*(AM14-AO14))*AQ14+((AK14-AL14)*(AK14-AM14)*(AK14-AO14))/((AN14-AL14)*(AN14-AM14)*(AN14-AO14))*AR14+((AK14-AL14)*(AK14-AM14)*(AK14-AN14))/((AO14-AL14)*(AO14-AM14)*(AO14-AN14))*AS14</f>
        <v>1.0000449242251053</v>
      </c>
    </row>
    <row r="17" spans="1:55" x14ac:dyDescent="0.35">
      <c r="Y17" s="29"/>
    </row>
    <row r="18" spans="1:55" ht="23.5" x14ac:dyDescent="0.35">
      <c r="B18" s="1" t="s">
        <v>86</v>
      </c>
      <c r="C18" s="1">
        <f>F16</f>
        <v>0.90308998699194354</v>
      </c>
      <c r="M18" s="1" t="s">
        <v>86</v>
      </c>
      <c r="N18" s="1">
        <f>Q16</f>
        <v>0.2706705664732254</v>
      </c>
      <c r="Y18" s="34" t="s">
        <v>121</v>
      </c>
    </row>
    <row r="19" spans="1:55" x14ac:dyDescent="0.35">
      <c r="B19" s="1" t="s">
        <v>87</v>
      </c>
      <c r="C19" s="1">
        <f>(G16-F16)/(D16-C16)</f>
        <v>5.1152522447381332E-2</v>
      </c>
      <c r="M19" s="1" t="s">
        <v>87</v>
      </c>
      <c r="N19" s="1">
        <f>(R16-Q16)/(O16-N16)</f>
        <v>-7.8993610492599356E-2</v>
      </c>
      <c r="Y19" s="29"/>
      <c r="AF19" s="31" t="s">
        <v>34</v>
      </c>
      <c r="AG19" s="31" t="s">
        <v>105</v>
      </c>
      <c r="AH19" s="31" t="s">
        <v>106</v>
      </c>
      <c r="AJ19" s="31" t="s">
        <v>92</v>
      </c>
      <c r="AK19" s="32">
        <v>10</v>
      </c>
    </row>
    <row r="20" spans="1:55" x14ac:dyDescent="0.35">
      <c r="B20" s="1" t="s">
        <v>88</v>
      </c>
      <c r="C20" s="1">
        <f>(((H16-G16)/(E16-D16))-C19)/(E16-C16)</f>
        <v>-2.5258115293103991E-3</v>
      </c>
      <c r="M20" s="1" t="s">
        <v>88</v>
      </c>
      <c r="N20" s="1">
        <f>(((S16-R16)/(P16-O16))-N19)/(P16-N16)</f>
        <v>1.5044097139292542E-2</v>
      </c>
      <c r="Y20" s="29"/>
      <c r="AF20" s="32">
        <v>1</v>
      </c>
      <c r="AG20" s="32">
        <v>8</v>
      </c>
      <c r="AH20" s="32">
        <f>LOG(AG20)</f>
        <v>0.90308998699194354</v>
      </c>
      <c r="AJ20" s="31" t="s">
        <v>93</v>
      </c>
      <c r="AK20" s="32">
        <f>LOG(10)</f>
        <v>1</v>
      </c>
    </row>
    <row r="21" spans="1:55" x14ac:dyDescent="0.35">
      <c r="Y21" s="29"/>
      <c r="AF21" s="32">
        <v>2</v>
      </c>
      <c r="AG21" s="32">
        <v>12</v>
      </c>
      <c r="AH21" s="32">
        <f>LOG(AG21)</f>
        <v>1.0791812460476249</v>
      </c>
      <c r="AJ21" s="31" t="s">
        <v>122</v>
      </c>
      <c r="AK21" s="32">
        <f>AH20+(AH21-AH20)/(AG21-AG20)*(AK19-AG20)</f>
        <v>0.99113561651978421</v>
      </c>
    </row>
    <row r="22" spans="1:55" x14ac:dyDescent="0.35">
      <c r="B22" s="30" t="s">
        <v>89</v>
      </c>
      <c r="C22" s="30">
        <f>C18+C19*(B16-C16)+C20*(B16-C16)*(B16-D16)</f>
        <v>1.0003434088280854</v>
      </c>
      <c r="M22" s="30" t="s">
        <v>89</v>
      </c>
      <c r="N22" s="30">
        <f>N18+N19*(M16-N16)+N20*(M16-N16)*(M16-O16)</f>
        <v>8.2595151209441608E-2</v>
      </c>
      <c r="Y22" s="29"/>
      <c r="AJ22" s="31" t="s">
        <v>84</v>
      </c>
      <c r="AK22" s="32">
        <f>ABS(AK21-AK20)/AK20*100</f>
        <v>0.88643834802157873</v>
      </c>
    </row>
    <row r="23" spans="1:55" x14ac:dyDescent="0.35">
      <c r="B23" s="30" t="s">
        <v>90</v>
      </c>
      <c r="C23" s="30">
        <f>ABS((I16-C22)/I16)*100</f>
        <v>3.4340882808536755E-2</v>
      </c>
      <c r="D23" s="1" t="s">
        <v>91</v>
      </c>
      <c r="M23" s="30" t="s">
        <v>90</v>
      </c>
      <c r="N23" s="30">
        <f>ABS((T16-N22)/T16)*100</f>
        <v>12.738561443583205</v>
      </c>
      <c r="O23" s="1" t="s">
        <v>91</v>
      </c>
      <c r="Y23" s="29"/>
    </row>
    <row r="24" spans="1:55" x14ac:dyDescent="0.35">
      <c r="Y24" s="29"/>
    </row>
    <row r="25" spans="1:55" s="35" customFormat="1" ht="35.5" customHeight="1" x14ac:dyDescent="0.35">
      <c r="A25" s="34" t="s">
        <v>94</v>
      </c>
      <c r="X25" s="46"/>
      <c r="Y25" s="34" t="s">
        <v>123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x14ac:dyDescent="0.35">
      <c r="Y26" s="29"/>
    </row>
    <row r="27" spans="1:55" x14ac:dyDescent="0.35">
      <c r="L27" s="29"/>
      <c r="Y27" s="29"/>
    </row>
    <row r="28" spans="1:55" x14ac:dyDescent="0.35">
      <c r="L28" s="29"/>
      <c r="M28" s="31" t="s">
        <v>92</v>
      </c>
      <c r="N28" s="31" t="s">
        <v>80</v>
      </c>
      <c r="O28" s="31" t="s">
        <v>48</v>
      </c>
      <c r="P28" s="31" t="s">
        <v>72</v>
      </c>
      <c r="Q28" s="31" t="s">
        <v>73</v>
      </c>
      <c r="R28" s="31" t="s">
        <v>81</v>
      </c>
      <c r="S28" s="31" t="s">
        <v>82</v>
      </c>
      <c r="T28" s="31" t="s">
        <v>85</v>
      </c>
      <c r="U28" s="31" t="s">
        <v>97</v>
      </c>
      <c r="V28" s="31" t="s">
        <v>93</v>
      </c>
      <c r="Y28" s="29"/>
      <c r="AE28" s="38" t="s">
        <v>127</v>
      </c>
    </row>
    <row r="29" spans="1:55" x14ac:dyDescent="0.35">
      <c r="L29" s="29"/>
      <c r="M29" s="32">
        <v>27</v>
      </c>
      <c r="N29" s="32">
        <v>16</v>
      </c>
      <c r="O29" s="32">
        <v>24</v>
      </c>
      <c r="P29" s="32">
        <v>32</v>
      </c>
      <c r="Q29" s="32">
        <v>40</v>
      </c>
      <c r="R29" s="32">
        <f>U31</f>
        <v>9.8699999999999992</v>
      </c>
      <c r="S29" s="32">
        <f>U32</f>
        <v>8.4179999999999993</v>
      </c>
      <c r="T29" s="32">
        <f>U33</f>
        <v>7.3049999999999997</v>
      </c>
      <c r="U29" s="32">
        <f>U34</f>
        <v>6.4130000000000003</v>
      </c>
      <c r="V29" s="32">
        <v>1</v>
      </c>
      <c r="Y29" s="29"/>
      <c r="AE29" s="38" t="s">
        <v>128</v>
      </c>
    </row>
    <row r="30" spans="1:55" x14ac:dyDescent="0.35">
      <c r="L30" s="29"/>
      <c r="Y30" s="29"/>
      <c r="AE30" s="38"/>
    </row>
    <row r="31" spans="1:55" x14ac:dyDescent="0.35">
      <c r="L31" s="29"/>
      <c r="M31" s="1" t="s">
        <v>98</v>
      </c>
      <c r="N31" s="1">
        <f>R29</f>
        <v>9.8699999999999992</v>
      </c>
      <c r="P31" s="30" t="s">
        <v>103</v>
      </c>
      <c r="Q31" s="30">
        <f>N31+N32*(M29-N29)+N35*(M29-N29)*(M29-O29)+N37*(M29-N29)*(M29-O29)*(M29-P29)</f>
        <v>7.9672363281249989</v>
      </c>
      <c r="T31" s="32">
        <v>16</v>
      </c>
      <c r="U31" s="32">
        <v>9.8699999999999992</v>
      </c>
      <c r="Y31" s="29"/>
    </row>
    <row r="32" spans="1:55" x14ac:dyDescent="0.35">
      <c r="L32" s="29"/>
      <c r="M32" s="1" t="s">
        <v>87</v>
      </c>
      <c r="N32" s="1">
        <f>(S29-R29)/(O29-N29)</f>
        <v>-0.18149999999999999</v>
      </c>
      <c r="P32" s="30" t="s">
        <v>90</v>
      </c>
      <c r="Q32" s="30">
        <f>ABS((1-Q31)/1*100)</f>
        <v>696.72363281249989</v>
      </c>
      <c r="R32" s="1" t="s">
        <v>91</v>
      </c>
      <c r="T32" s="32">
        <v>24</v>
      </c>
      <c r="U32" s="32">
        <v>8.4179999999999993</v>
      </c>
      <c r="Y32" s="29"/>
    </row>
    <row r="33" spans="2:34" x14ac:dyDescent="0.35">
      <c r="L33" s="29"/>
      <c r="M33" s="1" t="s">
        <v>99</v>
      </c>
      <c r="N33" s="1">
        <f>(T29-S29)/(P29-O29)</f>
        <v>-0.13912499999999994</v>
      </c>
      <c r="T33" s="32">
        <v>32</v>
      </c>
      <c r="U33" s="32">
        <v>7.3049999999999997</v>
      </c>
      <c r="Y33" s="29"/>
    </row>
    <row r="34" spans="2:34" x14ac:dyDescent="0.35">
      <c r="L34" s="29"/>
      <c r="M34" s="1" t="s">
        <v>100</v>
      </c>
      <c r="N34" s="1">
        <f>(U29-T29)/(Q29-P29)</f>
        <v>-0.11149999999999993</v>
      </c>
      <c r="T34" s="32">
        <v>40</v>
      </c>
      <c r="U34" s="32">
        <v>6.4130000000000003</v>
      </c>
      <c r="Y34" s="29"/>
      <c r="AG34" s="1" t="s">
        <v>124</v>
      </c>
    </row>
    <row r="35" spans="2:34" x14ac:dyDescent="0.35">
      <c r="L35" s="29"/>
      <c r="M35" s="1" t="s">
        <v>88</v>
      </c>
      <c r="N35" s="1">
        <f>(N33-N32)/(P29-N29)</f>
        <v>2.6484375000000032E-3</v>
      </c>
      <c r="Y35" s="29"/>
      <c r="AG35" s="1" t="s">
        <v>125</v>
      </c>
    </row>
    <row r="36" spans="2:34" x14ac:dyDescent="0.35">
      <c r="L36" s="29"/>
      <c r="M36" s="1" t="s">
        <v>101</v>
      </c>
      <c r="N36" s="1">
        <f>(N34-N33)/(Q29-O29)</f>
        <v>1.7265625000000007E-3</v>
      </c>
      <c r="Y36" s="29"/>
      <c r="AG36" s="1" t="s">
        <v>126</v>
      </c>
    </row>
    <row r="37" spans="2:34" x14ac:dyDescent="0.35">
      <c r="L37" s="29"/>
      <c r="M37" s="1" t="s">
        <v>102</v>
      </c>
      <c r="N37" s="1">
        <f>(N36-N35)/(Q29-N29)</f>
        <v>-3.841145833333344E-5</v>
      </c>
      <c r="Y37" s="29"/>
    </row>
    <row r="38" spans="2:34" x14ac:dyDescent="0.35">
      <c r="Y38" s="29"/>
      <c r="Z38" s="41" t="s">
        <v>34</v>
      </c>
      <c r="AA38" s="31" t="s">
        <v>105</v>
      </c>
      <c r="AB38" s="31" t="s">
        <v>106</v>
      </c>
      <c r="AD38" s="1" t="s">
        <v>131</v>
      </c>
      <c r="AG38" s="1" t="s">
        <v>129</v>
      </c>
    </row>
    <row r="39" spans="2:34" x14ac:dyDescent="0.35">
      <c r="Y39" s="29"/>
      <c r="Z39" s="42">
        <v>1</v>
      </c>
      <c r="AA39" s="32">
        <v>8</v>
      </c>
      <c r="AB39" s="32">
        <f>LOG(AA39)</f>
        <v>0.90308998699194354</v>
      </c>
      <c r="AC39" s="1" t="s">
        <v>132</v>
      </c>
      <c r="AD39" s="1">
        <f>AA40-AA39</f>
        <v>1</v>
      </c>
      <c r="AG39" s="1" t="s">
        <v>130</v>
      </c>
    </row>
    <row r="40" spans="2:34" x14ac:dyDescent="0.35">
      <c r="Y40" s="29"/>
      <c r="Z40" s="42">
        <v>2</v>
      </c>
      <c r="AA40" s="32">
        <v>9</v>
      </c>
      <c r="AB40" s="32">
        <f t="shared" ref="AB40:AB42" si="4">LOG(AA40)</f>
        <v>0.95424250943932487</v>
      </c>
      <c r="AC40" s="1" t="s">
        <v>133</v>
      </c>
      <c r="AD40" s="1">
        <f t="shared" ref="AD40:AD41" si="5">AA41-AA40</f>
        <v>2</v>
      </c>
    </row>
    <row r="41" spans="2:34" x14ac:dyDescent="0.35">
      <c r="Y41" s="29"/>
      <c r="Z41" s="42">
        <v>3</v>
      </c>
      <c r="AA41" s="32">
        <v>11</v>
      </c>
      <c r="AB41" s="32">
        <f t="shared" si="4"/>
        <v>1.0413926851582251</v>
      </c>
      <c r="AC41" s="1" t="s">
        <v>134</v>
      </c>
      <c r="AD41" s="1">
        <f t="shared" si="5"/>
        <v>1</v>
      </c>
    </row>
    <row r="42" spans="2:34" x14ac:dyDescent="0.35">
      <c r="Y42" s="29"/>
      <c r="Z42" s="42">
        <v>4</v>
      </c>
      <c r="AA42" s="32">
        <v>12</v>
      </c>
      <c r="AB42" s="32">
        <f t="shared" si="4"/>
        <v>1.0791812460476249</v>
      </c>
    </row>
    <row r="43" spans="2:34" x14ac:dyDescent="0.35">
      <c r="Y43" s="29"/>
      <c r="Z43" s="29"/>
    </row>
    <row r="44" spans="2:34" x14ac:dyDescent="0.35">
      <c r="Y44" s="29"/>
    </row>
    <row r="45" spans="2:34" x14ac:dyDescent="0.35">
      <c r="Y45" s="29"/>
      <c r="Z45" s="43" t="s">
        <v>132</v>
      </c>
      <c r="AA45" s="43">
        <v>0</v>
      </c>
      <c r="AB45" s="43">
        <v>0</v>
      </c>
      <c r="AC45" s="43">
        <v>0</v>
      </c>
      <c r="AD45" s="43">
        <v>0</v>
      </c>
      <c r="AE45" s="37" t="s">
        <v>92</v>
      </c>
      <c r="AF45" s="44" t="s">
        <v>87</v>
      </c>
      <c r="AG45" s="37" t="s">
        <v>135</v>
      </c>
      <c r="AH45" s="44" t="s">
        <v>136</v>
      </c>
    </row>
    <row r="46" spans="2:34" x14ac:dyDescent="0.35">
      <c r="Y46" s="29"/>
      <c r="Z46" s="43">
        <v>0</v>
      </c>
      <c r="AA46" s="43" t="s">
        <v>133</v>
      </c>
      <c r="AB46" s="43">
        <v>0</v>
      </c>
      <c r="AC46" s="43" t="s">
        <v>137</v>
      </c>
      <c r="AD46" s="43">
        <v>0</v>
      </c>
      <c r="AE46" s="37"/>
      <c r="AF46" s="44" t="s">
        <v>88</v>
      </c>
      <c r="AG46" s="37"/>
      <c r="AH46" s="44" t="s">
        <v>138</v>
      </c>
    </row>
    <row r="47" spans="2:34" x14ac:dyDescent="0.35">
      <c r="B47" s="31" t="s">
        <v>92</v>
      </c>
      <c r="C47" s="31" t="s">
        <v>80</v>
      </c>
      <c r="D47" s="31" t="s">
        <v>48</v>
      </c>
      <c r="E47" s="31" t="s">
        <v>72</v>
      </c>
      <c r="F47" s="31" t="s">
        <v>73</v>
      </c>
      <c r="G47" s="31" t="s">
        <v>81</v>
      </c>
      <c r="H47" s="31" t="s">
        <v>82</v>
      </c>
      <c r="I47" s="31" t="s">
        <v>85</v>
      </c>
      <c r="J47" s="31" t="s">
        <v>97</v>
      </c>
      <c r="K47" s="31" t="s">
        <v>93</v>
      </c>
      <c r="L47" s="29"/>
      <c r="M47" s="31" t="s">
        <v>34</v>
      </c>
      <c r="N47" s="31" t="s">
        <v>105</v>
      </c>
      <c r="O47" s="31" t="s">
        <v>106</v>
      </c>
      <c r="P47" s="31" t="s">
        <v>107</v>
      </c>
      <c r="Q47" s="31" t="s">
        <v>108</v>
      </c>
      <c r="R47" s="31" t="s">
        <v>109</v>
      </c>
      <c r="S47" s="31" t="s">
        <v>110</v>
      </c>
      <c r="T47" s="31" t="s">
        <v>111</v>
      </c>
      <c r="Y47" s="29"/>
      <c r="Z47" s="43">
        <v>0</v>
      </c>
      <c r="AA47" s="43">
        <v>0</v>
      </c>
      <c r="AB47" s="43" t="s">
        <v>134</v>
      </c>
      <c r="AC47" s="43">
        <v>0</v>
      </c>
      <c r="AD47" s="43" t="s">
        <v>139</v>
      </c>
      <c r="AE47" s="37"/>
      <c r="AF47" s="44" t="s">
        <v>102</v>
      </c>
      <c r="AG47" s="37"/>
      <c r="AH47" s="44" t="s">
        <v>140</v>
      </c>
    </row>
    <row r="48" spans="2:34" x14ac:dyDescent="0.35">
      <c r="B48" s="32">
        <v>2</v>
      </c>
      <c r="C48" s="32">
        <v>1</v>
      </c>
      <c r="D48" s="32">
        <v>4</v>
      </c>
      <c r="E48" s="32">
        <v>5</v>
      </c>
      <c r="F48" s="32">
        <v>6</v>
      </c>
      <c r="G48" s="32">
        <f>LN(C48)</f>
        <v>0</v>
      </c>
      <c r="H48" s="32">
        <f t="shared" ref="H48:J48" si="6">LN(D48)</f>
        <v>1.3862943611198906</v>
      </c>
      <c r="I48" s="32">
        <f t="shared" si="6"/>
        <v>1.6094379124341003</v>
      </c>
      <c r="J48" s="32">
        <f t="shared" si="6"/>
        <v>1.791759469228055</v>
      </c>
      <c r="K48" s="32">
        <f>LN(B48)</f>
        <v>0.69314718055994529</v>
      </c>
      <c r="L48" s="29"/>
      <c r="M48" s="32">
        <v>0</v>
      </c>
      <c r="N48" s="32">
        <v>1</v>
      </c>
      <c r="O48" s="32">
        <f>LN(N48)</f>
        <v>0</v>
      </c>
      <c r="P48" s="32">
        <f>(O49-O48)/(N49-N48)</f>
        <v>0.46209812037329684</v>
      </c>
      <c r="Q48" s="32">
        <f>(P49-P48)/(N50-N48)</f>
        <v>-5.9738642264771782E-2</v>
      </c>
      <c r="R48" s="32">
        <f>(Q49-Q48)/(N51-N48)</f>
        <v>7.8655290009288538E-3</v>
      </c>
      <c r="S48" s="32">
        <f>$N$53-N48</f>
        <v>1</v>
      </c>
      <c r="T48" s="32">
        <f>O48</f>
        <v>0</v>
      </c>
      <c r="Y48" s="29"/>
      <c r="Z48" s="43">
        <v>1</v>
      </c>
      <c r="AA48" s="43">
        <v>-1</v>
      </c>
      <c r="AB48" s="43">
        <v>0</v>
      </c>
      <c r="AC48" s="43">
        <v>0</v>
      </c>
      <c r="AD48" s="43">
        <v>0</v>
      </c>
      <c r="AE48" s="37"/>
      <c r="AF48" s="44" t="s">
        <v>141</v>
      </c>
      <c r="AG48" s="37"/>
      <c r="AH48" s="44">
        <v>0</v>
      </c>
    </row>
    <row r="49" spans="1:34" x14ac:dyDescent="0.35">
      <c r="L49" s="29"/>
      <c r="M49" s="32">
        <v>1</v>
      </c>
      <c r="N49" s="32">
        <v>4</v>
      </c>
      <c r="O49" s="32">
        <f t="shared" ref="O49:O51" si="7">LN(N49)</f>
        <v>1.3862943611198906</v>
      </c>
      <c r="P49" s="32">
        <f>(O50-O49)/(N50-N49)</f>
        <v>0.22314355131420971</v>
      </c>
      <c r="Q49" s="32">
        <f>(P50-P49)/(N51-N49)</f>
        <v>-2.0410997260127517E-2</v>
      </c>
      <c r="R49" s="32"/>
      <c r="S49" s="32">
        <f>S48*($N$53-N49)</f>
        <v>-2</v>
      </c>
      <c r="T49" s="32">
        <f>O48+P48*S48</f>
        <v>0.46209812037329684</v>
      </c>
      <c r="Y49" s="29"/>
      <c r="Z49" s="43">
        <v>0</v>
      </c>
      <c r="AA49" s="43">
        <v>1</v>
      </c>
      <c r="AB49" s="43">
        <v>-1</v>
      </c>
      <c r="AC49" s="43" t="s">
        <v>142</v>
      </c>
      <c r="AD49" s="43">
        <v>0</v>
      </c>
      <c r="AE49" s="37"/>
      <c r="AF49" s="44" t="s">
        <v>143</v>
      </c>
      <c r="AG49" s="37"/>
      <c r="AH49" s="44">
        <v>0</v>
      </c>
    </row>
    <row r="50" spans="1:34" x14ac:dyDescent="0.35">
      <c r="B50" s="1" t="s">
        <v>98</v>
      </c>
      <c r="C50" s="1">
        <f>G48</f>
        <v>0</v>
      </c>
      <c r="E50" s="30" t="s">
        <v>103</v>
      </c>
      <c r="F50" s="30">
        <f>C50+C51*(B48-C48)+C54*(B48-C48)*(B48-D48)+C56*(B48-C48)*(B48-D48)*(B48-E48)</f>
        <v>0.62876857890841353</v>
      </c>
      <c r="L50" s="29"/>
      <c r="M50" s="32">
        <v>2</v>
      </c>
      <c r="N50" s="32">
        <v>5</v>
      </c>
      <c r="O50" s="32">
        <f t="shared" si="7"/>
        <v>1.6094379124341003</v>
      </c>
      <c r="P50" s="32">
        <f>(O51-O50)/(N51-N50)</f>
        <v>0.18232155679395468</v>
      </c>
      <c r="Q50" s="32"/>
      <c r="R50" s="32"/>
      <c r="S50" s="32">
        <f>S49*($N$53-N50)</f>
        <v>6</v>
      </c>
      <c r="T50" s="32">
        <f>T49+Q48*S49</f>
        <v>0.58157540490284043</v>
      </c>
      <c r="Y50" s="29"/>
    </row>
    <row r="51" spans="1:34" x14ac:dyDescent="0.35">
      <c r="B51" s="1" t="s">
        <v>87</v>
      </c>
      <c r="C51" s="1">
        <f>(H48-G48)/(D48-C48)</f>
        <v>0.46209812037329684</v>
      </c>
      <c r="E51" s="30" t="s">
        <v>90</v>
      </c>
      <c r="F51" s="30">
        <f>ABS((1-F50)/1*100)</f>
        <v>37.12314210915865</v>
      </c>
      <c r="G51" s="1" t="s">
        <v>91</v>
      </c>
      <c r="L51" s="29"/>
      <c r="M51" s="32">
        <v>3</v>
      </c>
      <c r="N51" s="32">
        <v>6</v>
      </c>
      <c r="O51" s="32">
        <f t="shared" si="7"/>
        <v>1.791759469228055</v>
      </c>
      <c r="P51" s="32"/>
      <c r="Q51" s="32"/>
      <c r="R51" s="32"/>
      <c r="S51" s="32"/>
      <c r="T51" s="31">
        <f>T50+R48*S50</f>
        <v>0.62876857890841353</v>
      </c>
      <c r="Y51" s="29"/>
    </row>
    <row r="52" spans="1:34" x14ac:dyDescent="0.35">
      <c r="B52" s="1" t="s">
        <v>99</v>
      </c>
      <c r="C52" s="1">
        <f>(I48-H48)/(E48-D48)</f>
        <v>0.22314355131420971</v>
      </c>
      <c r="L52" s="29"/>
      <c r="Y52" s="29"/>
      <c r="Z52" s="44">
        <v>1</v>
      </c>
      <c r="AA52" s="44">
        <v>0</v>
      </c>
      <c r="AB52" s="44">
        <v>0</v>
      </c>
      <c r="AC52" s="44">
        <v>0</v>
      </c>
      <c r="AD52" s="44">
        <v>0</v>
      </c>
      <c r="AE52" s="37" t="s">
        <v>92</v>
      </c>
      <c r="AF52" s="44" t="s">
        <v>87</v>
      </c>
      <c r="AG52" s="37" t="s">
        <v>135</v>
      </c>
      <c r="AH52" s="37">
        <f>AB40-AB39</f>
        <v>5.1152522447381332E-2</v>
      </c>
    </row>
    <row r="53" spans="1:34" x14ac:dyDescent="0.35">
      <c r="B53" s="1" t="s">
        <v>100</v>
      </c>
      <c r="C53" s="1">
        <f>(J48-I48)/(F48-E48)</f>
        <v>0.18232155679395468</v>
      </c>
      <c r="L53" s="29"/>
      <c r="M53" s="30" t="s">
        <v>92</v>
      </c>
      <c r="N53" s="30">
        <v>2</v>
      </c>
      <c r="Y53" s="29"/>
      <c r="Z53" s="44">
        <v>0</v>
      </c>
      <c r="AA53" s="44">
        <v>2</v>
      </c>
      <c r="AB53" s="44">
        <v>0</v>
      </c>
      <c r="AC53" s="44">
        <v>4</v>
      </c>
      <c r="AD53" s="44">
        <v>0</v>
      </c>
      <c r="AE53" s="37"/>
      <c r="AF53" s="44" t="s">
        <v>88</v>
      </c>
      <c r="AG53" s="37"/>
      <c r="AH53" s="37">
        <f>AB41-AB40</f>
        <v>8.7150175718900269E-2</v>
      </c>
    </row>
    <row r="54" spans="1:34" x14ac:dyDescent="0.35">
      <c r="B54" s="1" t="s">
        <v>88</v>
      </c>
      <c r="C54" s="1">
        <f>(C52-C51)/(E48-C48)</f>
        <v>-5.9738642264771782E-2</v>
      </c>
      <c r="L54" s="29"/>
      <c r="M54" s="30" t="s">
        <v>84</v>
      </c>
      <c r="N54" s="30">
        <f>ABS((1-T51)/1*100)</f>
        <v>37.12314210915865</v>
      </c>
      <c r="O54" s="1" t="s">
        <v>91</v>
      </c>
      <c r="Y54" s="29"/>
      <c r="Z54" s="44">
        <v>0</v>
      </c>
      <c r="AA54" s="44">
        <v>0</v>
      </c>
      <c r="AB54" s="44">
        <v>1</v>
      </c>
      <c r="AC54" s="44">
        <v>0</v>
      </c>
      <c r="AD54" s="44">
        <v>1</v>
      </c>
      <c r="AE54" s="37"/>
      <c r="AF54" s="44" t="s">
        <v>102</v>
      </c>
      <c r="AG54" s="37"/>
      <c r="AH54" s="37">
        <f>AB42-AB41</f>
        <v>3.7788560889399747E-2</v>
      </c>
    </row>
    <row r="55" spans="1:34" x14ac:dyDescent="0.35">
      <c r="B55" s="1" t="s">
        <v>101</v>
      </c>
      <c r="C55" s="1">
        <f>(C53-C52)/(F48-D48)</f>
        <v>-2.0410997260127517E-2</v>
      </c>
      <c r="L55" s="29"/>
      <c r="Y55" s="29"/>
      <c r="Z55" s="44">
        <v>1</v>
      </c>
      <c r="AA55" s="44">
        <v>-1</v>
      </c>
      <c r="AB55" s="44">
        <v>0</v>
      </c>
      <c r="AC55" s="44">
        <v>0</v>
      </c>
      <c r="AD55" s="44">
        <v>0</v>
      </c>
      <c r="AE55" s="37"/>
      <c r="AF55" s="44" t="s">
        <v>141</v>
      </c>
      <c r="AG55" s="37"/>
      <c r="AH55" s="37">
        <v>0</v>
      </c>
    </row>
    <row r="56" spans="1:34" x14ac:dyDescent="0.35">
      <c r="B56" s="1" t="s">
        <v>102</v>
      </c>
      <c r="C56" s="1">
        <f>(C55-C54)/(F48-C48)</f>
        <v>7.8655290009288538E-3</v>
      </c>
      <c r="J56" s="33"/>
      <c r="L56" s="29"/>
      <c r="Y56" s="29"/>
      <c r="Z56" s="44">
        <v>0</v>
      </c>
      <c r="AA56" s="44">
        <v>1</v>
      </c>
      <c r="AB56" s="44">
        <v>-1</v>
      </c>
      <c r="AC56" s="44">
        <v>4</v>
      </c>
      <c r="AD56" s="44">
        <v>0</v>
      </c>
      <c r="AE56" s="37"/>
      <c r="AF56" s="44" t="s">
        <v>143</v>
      </c>
      <c r="AG56" s="37"/>
      <c r="AH56" s="37">
        <v>0</v>
      </c>
    </row>
    <row r="57" spans="1:34" x14ac:dyDescent="0.35">
      <c r="J57" s="33"/>
      <c r="L57" s="29"/>
      <c r="Y57" s="29"/>
    </row>
    <row r="58" spans="1:34" x14ac:dyDescent="0.35">
      <c r="Y58" s="29"/>
      <c r="Z58" s="1" t="s">
        <v>144</v>
      </c>
    </row>
    <row r="59" spans="1:34" ht="29" customHeight="1" x14ac:dyDescent="0.35">
      <c r="A59" s="34" t="s">
        <v>147</v>
      </c>
      <c r="Y59" s="29"/>
    </row>
    <row r="60" spans="1:34" x14ac:dyDescent="0.35">
      <c r="Y60" s="29"/>
      <c r="Z60" s="1" t="s">
        <v>145</v>
      </c>
      <c r="AA60" s="45" t="s">
        <v>87</v>
      </c>
      <c r="AB60" s="45">
        <v>5.1152522447381332E-2</v>
      </c>
    </row>
    <row r="61" spans="1:34" x14ac:dyDescent="0.35">
      <c r="A61" s="36" t="s">
        <v>148</v>
      </c>
      <c r="B61" s="39"/>
      <c r="C61" s="39"/>
      <c r="Y61" s="29"/>
      <c r="AA61" s="45" t="s">
        <v>88</v>
      </c>
      <c r="AB61" s="45">
        <v>5.1152522447381332E-2</v>
      </c>
    </row>
    <row r="62" spans="1:34" x14ac:dyDescent="0.35">
      <c r="A62" s="36" t="s">
        <v>149</v>
      </c>
      <c r="B62" s="39"/>
      <c r="C62" s="39"/>
      <c r="Y62" s="29"/>
      <c r="AA62" s="45" t="s">
        <v>102</v>
      </c>
      <c r="AB62" s="45">
        <v>3.5997653271518937E-2</v>
      </c>
    </row>
    <row r="63" spans="1:34" x14ac:dyDescent="0.35">
      <c r="A63" s="36" t="s">
        <v>150</v>
      </c>
      <c r="B63" s="39"/>
      <c r="C63" s="39"/>
      <c r="Y63" s="29"/>
      <c r="AA63" s="45" t="s">
        <v>141</v>
      </c>
      <c r="AB63" s="45">
        <v>-3.7887172939655989E-3</v>
      </c>
    </row>
    <row r="64" spans="1:34" x14ac:dyDescent="0.35">
      <c r="A64" s="36" t="s">
        <v>151</v>
      </c>
      <c r="B64" s="39"/>
      <c r="C64" s="39"/>
      <c r="Y64" s="29"/>
      <c r="AA64" s="45" t="s">
        <v>143</v>
      </c>
      <c r="AB64" s="45">
        <v>1.7909076178808103E-3</v>
      </c>
    </row>
    <row r="65" spans="2:28" x14ac:dyDescent="0.35">
      <c r="Y65" s="29"/>
    </row>
    <row r="66" spans="2:28" x14ac:dyDescent="0.35">
      <c r="Y66" s="29"/>
      <c r="Z66" s="1" t="s">
        <v>146</v>
      </c>
      <c r="AA66" s="1">
        <f>AB40+AB61*(10-AA40)+AB63*(10-AA40)^2</f>
        <v>1.0016063145927405</v>
      </c>
    </row>
    <row r="67" spans="2:28" x14ac:dyDescent="0.35">
      <c r="B67" s="1" t="s">
        <v>152</v>
      </c>
      <c r="Y67" s="29"/>
      <c r="Z67" s="1" t="s">
        <v>84</v>
      </c>
      <c r="AA67" s="1">
        <f>ABS((AA66-1)/1*100)</f>
        <v>0.16063145927405209</v>
      </c>
      <c r="AB67" s="1" t="s">
        <v>91</v>
      </c>
    </row>
    <row r="68" spans="2:28" x14ac:dyDescent="0.35">
      <c r="C68" s="1" t="s">
        <v>153</v>
      </c>
      <c r="D68" s="38" t="s">
        <v>155</v>
      </c>
      <c r="Y68" s="29"/>
    </row>
    <row r="69" spans="2:28" x14ac:dyDescent="0.35">
      <c r="C69" s="1" t="s">
        <v>154</v>
      </c>
      <c r="D69" s="38" t="s">
        <v>156</v>
      </c>
      <c r="Y69" s="29"/>
    </row>
    <row r="70" spans="2:28" x14ac:dyDescent="0.35">
      <c r="Y70" s="29"/>
    </row>
    <row r="71" spans="2:28" x14ac:dyDescent="0.35">
      <c r="B71" s="1" t="s">
        <v>157</v>
      </c>
      <c r="C71" s="1">
        <f>(5.23-5.5)/(0.24/SQRT(64))</f>
        <v>-8.9999999999999858</v>
      </c>
      <c r="Y71" s="29"/>
    </row>
    <row r="72" spans="2:28" x14ac:dyDescent="0.35">
      <c r="Y72" s="29"/>
    </row>
    <row r="73" spans="2:28" x14ac:dyDescent="0.35">
      <c r="B73" s="1" t="s">
        <v>158</v>
      </c>
      <c r="C73" s="38" t="s">
        <v>159</v>
      </c>
      <c r="Y73" s="29"/>
    </row>
    <row r="74" spans="2:28" x14ac:dyDescent="0.35">
      <c r="C74" s="38" t="s">
        <v>160</v>
      </c>
    </row>
    <row r="76" spans="2:28" x14ac:dyDescent="0.35">
      <c r="B76" s="1" t="s">
        <v>161</v>
      </c>
      <c r="C76" s="1" t="s">
        <v>162</v>
      </c>
    </row>
    <row r="77" spans="2:28" x14ac:dyDescent="0.35">
      <c r="C77" s="1" t="s">
        <v>163</v>
      </c>
    </row>
    <row r="79" spans="2:28" x14ac:dyDescent="0.35">
      <c r="B79" s="31" t="s">
        <v>34</v>
      </c>
      <c r="C79" s="31" t="s">
        <v>105</v>
      </c>
      <c r="D79" s="31" t="s">
        <v>106</v>
      </c>
      <c r="E79" s="31" t="s">
        <v>107</v>
      </c>
      <c r="F79" s="31" t="s">
        <v>108</v>
      </c>
      <c r="G79" s="31" t="s">
        <v>109</v>
      </c>
      <c r="H79" s="31" t="s">
        <v>110</v>
      </c>
      <c r="I79" s="31" t="s">
        <v>111</v>
      </c>
    </row>
    <row r="80" spans="2:28" x14ac:dyDescent="0.35">
      <c r="B80" s="32">
        <v>0</v>
      </c>
      <c r="C80" s="32">
        <v>40</v>
      </c>
      <c r="D80" s="32">
        <v>1.3029999999999999</v>
      </c>
      <c r="E80" s="32">
        <f>(D81-D80)/(C81-C80)</f>
        <v>-4.0000000000000034E-4</v>
      </c>
      <c r="F80" s="32">
        <f>(E81-E80)/(C82-C80)</f>
        <v>5.0000000000005578E-6</v>
      </c>
      <c r="G80" s="32">
        <f>(F81-F80)/(C83-C80)</f>
        <v>-4.1666666666689771E-8</v>
      </c>
      <c r="H80" s="32">
        <f>$C$85-C80</f>
        <v>23</v>
      </c>
      <c r="I80" s="32">
        <f>D80</f>
        <v>1.3029999999999999</v>
      </c>
    </row>
    <row r="81" spans="2:21" x14ac:dyDescent="0.35">
      <c r="B81" s="32">
        <v>1</v>
      </c>
      <c r="C81" s="32">
        <v>50</v>
      </c>
      <c r="D81" s="32">
        <v>1.2989999999999999</v>
      </c>
      <c r="E81" s="32">
        <f>(D82-D81)/(C82-C81)</f>
        <v>-2.9999999999998919E-4</v>
      </c>
      <c r="F81" s="32">
        <f>(E82-E81)/(C83-C81)</f>
        <v>3.333333333332967E-6</v>
      </c>
      <c r="G81" s="32"/>
      <c r="H81" s="32">
        <f>H80*($C$85-C81)</f>
        <v>299</v>
      </c>
      <c r="I81" s="32">
        <f>D80+E80*H80</f>
        <v>1.2937999999999998</v>
      </c>
    </row>
    <row r="82" spans="2:21" x14ac:dyDescent="0.35">
      <c r="B82" s="32">
        <v>2</v>
      </c>
      <c r="C82" s="32">
        <v>60</v>
      </c>
      <c r="D82" s="32">
        <v>1.296</v>
      </c>
      <c r="E82" s="32">
        <f>(D83-D82)/(C83-C82)</f>
        <v>-2.0000000000000017E-4</v>
      </c>
      <c r="F82" s="32"/>
      <c r="G82" s="32"/>
      <c r="H82" s="32">
        <f>H81*($C$85-C82)</f>
        <v>897</v>
      </c>
      <c r="I82" s="32">
        <f>I81+F80*H81</f>
        <v>1.2952950000000001</v>
      </c>
    </row>
    <row r="83" spans="2:21" x14ac:dyDescent="0.35">
      <c r="B83" s="32">
        <v>3</v>
      </c>
      <c r="C83" s="32">
        <v>80</v>
      </c>
      <c r="D83" s="32">
        <v>1.292</v>
      </c>
      <c r="E83" s="32"/>
      <c r="F83" s="32"/>
      <c r="G83" s="32"/>
      <c r="H83" s="32"/>
      <c r="I83" s="31">
        <f>I82+G80*H82</f>
        <v>1.2952576250000001</v>
      </c>
    </row>
    <row r="85" spans="2:21" x14ac:dyDescent="0.35">
      <c r="B85" s="30" t="s">
        <v>92</v>
      </c>
      <c r="C85" s="30">
        <v>63</v>
      </c>
    </row>
    <row r="86" spans="2:21" x14ac:dyDescent="0.35">
      <c r="U86" s="25"/>
    </row>
    <row r="88" spans="2:21" x14ac:dyDescent="0.35">
      <c r="B88" s="1" t="s">
        <v>164</v>
      </c>
      <c r="C88" s="1" t="str">
        <f>"-9&lt; 1.29"</f>
        <v>-9&lt; 1.29</v>
      </c>
    </row>
    <row r="89" spans="2:21" x14ac:dyDescent="0.35">
      <c r="C89" s="1" t="s">
        <v>165</v>
      </c>
    </row>
    <row r="91" spans="2:21" x14ac:dyDescent="0.35">
      <c r="C91" s="1" t="s">
        <v>166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687A5-C2DB-415B-BB9E-2A9AC2D803D4}">
  <dimension ref="C6:N57"/>
  <sheetViews>
    <sheetView zoomScale="79" workbookViewId="0">
      <selection activeCell="E54" sqref="E54"/>
    </sheetView>
  </sheetViews>
  <sheetFormatPr defaultRowHeight="14.5" x14ac:dyDescent="0.35"/>
  <cols>
    <col min="3" max="3" width="8.90625" bestFit="1" customWidth="1"/>
    <col min="4" max="4" width="10.08984375" customWidth="1"/>
    <col min="5" max="5" width="10.26953125" customWidth="1"/>
    <col min="6" max="6" width="8.1796875" customWidth="1"/>
    <col min="7" max="7" width="8.26953125" customWidth="1"/>
    <col min="9" max="9" width="8.81640625" bestFit="1" customWidth="1"/>
    <col min="11" max="11" width="11.26953125" customWidth="1"/>
    <col min="12" max="12" width="15.90625" customWidth="1"/>
  </cols>
  <sheetData>
    <row r="6" spans="3:10" x14ac:dyDescent="0.35">
      <c r="C6" t="s">
        <v>167</v>
      </c>
    </row>
    <row r="8" spans="3:10" x14ac:dyDescent="0.35">
      <c r="C8" s="2" t="s">
        <v>34</v>
      </c>
      <c r="D8" s="2" t="s">
        <v>35</v>
      </c>
      <c r="E8" s="2" t="s">
        <v>42</v>
      </c>
      <c r="F8" s="2" t="s">
        <v>41</v>
      </c>
      <c r="G8" s="2" t="s">
        <v>4</v>
      </c>
    </row>
    <row r="9" spans="3:10" x14ac:dyDescent="0.35">
      <c r="C9" s="3">
        <v>0</v>
      </c>
      <c r="D9" s="3">
        <v>1</v>
      </c>
      <c r="E9" s="4">
        <f>(EXP(0.5*D9)-5)/-5</f>
        <v>0.67025574585997438</v>
      </c>
      <c r="F9" s="4">
        <f>EXP(0.5*D9)+5*D9-5</f>
        <v>1.6487212707001282</v>
      </c>
      <c r="G9" s="4" t="s">
        <v>0</v>
      </c>
      <c r="I9" t="s">
        <v>168</v>
      </c>
    </row>
    <row r="10" spans="3:10" x14ac:dyDescent="0.35">
      <c r="C10" s="3">
        <v>1</v>
      </c>
      <c r="D10" s="3">
        <f>E9</f>
        <v>0.67025574585997438</v>
      </c>
      <c r="E10" s="4">
        <f t="shared" ref="E10:E16" si="0">(EXP(0.5*D10)-5)/-5</f>
        <v>0.72037616892296774</v>
      </c>
      <c r="F10" s="4">
        <f t="shared" ref="F10:F14" si="1">EXP(0.5*D10)+5*D10-5</f>
        <v>-0.25060211531496712</v>
      </c>
      <c r="G10" s="3">
        <f>ABS((D10-D9)/D10*100)</f>
        <v>49.196781404230393</v>
      </c>
    </row>
    <row r="11" spans="3:10" x14ac:dyDescent="0.35">
      <c r="C11" s="3">
        <v>2</v>
      </c>
      <c r="D11" s="3">
        <f t="shared" ref="D11:D14" si="2">E10</f>
        <v>0.72037616892296774</v>
      </c>
      <c r="E11" s="4">
        <f t="shared" si="0"/>
        <v>0.71328019461888836</v>
      </c>
      <c r="F11" s="4">
        <f t="shared" si="1"/>
        <v>3.5479871520397666E-2</v>
      </c>
      <c r="G11" s="3">
        <f t="shared" ref="G11:G14" si="3">ABS((D11-D10)/D11*100)</f>
        <v>6.9575348582016892</v>
      </c>
      <c r="I11" t="s">
        <v>23</v>
      </c>
      <c r="J11">
        <v>2E-3</v>
      </c>
    </row>
    <row r="12" spans="3:10" x14ac:dyDescent="0.35">
      <c r="C12" s="3">
        <v>3</v>
      </c>
      <c r="D12" s="3">
        <f t="shared" si="2"/>
        <v>0.71328019461888836</v>
      </c>
      <c r="E12" s="4">
        <f t="shared" si="0"/>
        <v>0.71429567029204333</v>
      </c>
      <c r="F12" s="4">
        <f t="shared" si="1"/>
        <v>-5.0773783657742655E-3</v>
      </c>
      <c r="G12" s="3">
        <f>ABS((D12-D11)/D12*100)</f>
        <v>0.99483686181288355</v>
      </c>
    </row>
    <row r="13" spans="3:10" x14ac:dyDescent="0.35">
      <c r="C13" s="3">
        <v>4</v>
      </c>
      <c r="D13" s="3">
        <f t="shared" si="2"/>
        <v>0.71429567029204333</v>
      </c>
      <c r="E13" s="4">
        <f t="shared" si="0"/>
        <v>0.71415057056058184</v>
      </c>
      <c r="F13" s="4">
        <f t="shared" si="1"/>
        <v>7.2549865730664465E-4</v>
      </c>
      <c r="G13" s="3">
        <f t="shared" si="3"/>
        <v>0.14216461269319774</v>
      </c>
    </row>
    <row r="14" spans="3:10" x14ac:dyDescent="0.35">
      <c r="C14" s="3">
        <v>5</v>
      </c>
      <c r="D14" s="3">
        <f t="shared" si="2"/>
        <v>0.71415057056058184</v>
      </c>
      <c r="E14" s="4">
        <f t="shared" si="0"/>
        <v>0.71417130814604324</v>
      </c>
      <c r="F14" s="4">
        <f t="shared" si="1"/>
        <v>-1.0368792730730547E-4</v>
      </c>
      <c r="G14" s="3">
        <f t="shared" si="3"/>
        <v>2.0317806558298544E-2</v>
      </c>
    </row>
    <row r="15" spans="3:10" x14ac:dyDescent="0.35">
      <c r="C15" s="3">
        <v>6</v>
      </c>
      <c r="D15" s="3">
        <f>E14</f>
        <v>0.71417130814604324</v>
      </c>
      <c r="E15" s="4">
        <f>(EXP(0.5*D15)-5)/-5</f>
        <v>0.71416834443221588</v>
      </c>
      <c r="F15" s="4">
        <f>EXP(0.5*D15)+5*D15-5</f>
        <v>1.4818569136210158E-5</v>
      </c>
      <c r="G15" s="3">
        <f>ABS((D15-D14)/D15*100)</f>
        <v>2.9037270504787323E-3</v>
      </c>
    </row>
    <row r="16" spans="3:10" x14ac:dyDescent="0.35">
      <c r="C16" s="3">
        <v>7</v>
      </c>
      <c r="D16" s="5">
        <f>E15</f>
        <v>0.71416834443221588</v>
      </c>
      <c r="E16" s="4">
        <f t="shared" si="0"/>
        <v>0.71416876799351703</v>
      </c>
      <c r="F16" s="4">
        <f t="shared" ref="F16" si="4">EXP(0.5*D16)+5*D16-5</f>
        <v>-2.1178065061633333E-6</v>
      </c>
      <c r="G16" s="3">
        <f>ABS((D16-D15)/D16*100)</f>
        <v>4.1498812576316174E-4</v>
      </c>
    </row>
    <row r="20" spans="3:11" ht="23.5" x14ac:dyDescent="0.35">
      <c r="C20" s="34" t="s">
        <v>96</v>
      </c>
      <c r="D20" s="35"/>
      <c r="E20" s="35"/>
      <c r="F20" s="35"/>
      <c r="G20" s="35"/>
      <c r="H20" s="35"/>
      <c r="I20" s="35"/>
      <c r="J20" s="35"/>
      <c r="K20" s="35"/>
    </row>
    <row r="21" spans="3:11" x14ac:dyDescent="0.35">
      <c r="C21" s="29"/>
      <c r="D21" s="31" t="s">
        <v>92</v>
      </c>
      <c r="E21" s="31" t="s">
        <v>80</v>
      </c>
      <c r="F21" s="31" t="s">
        <v>48</v>
      </c>
      <c r="G21" s="31" t="s">
        <v>72</v>
      </c>
      <c r="H21" s="31" t="s">
        <v>81</v>
      </c>
      <c r="I21" s="31" t="s">
        <v>82</v>
      </c>
      <c r="J21" s="31" t="s">
        <v>85</v>
      </c>
      <c r="K21" s="31" t="s">
        <v>93</v>
      </c>
    </row>
    <row r="22" spans="3:11" x14ac:dyDescent="0.35">
      <c r="C22" s="29"/>
      <c r="D22" s="32">
        <v>27</v>
      </c>
      <c r="E22" s="32">
        <v>24</v>
      </c>
      <c r="F22" s="32">
        <v>32</v>
      </c>
      <c r="G22" s="32">
        <v>40</v>
      </c>
      <c r="H22" s="32">
        <v>8.4179999999999993</v>
      </c>
      <c r="I22" s="32">
        <v>7.3049999999999997</v>
      </c>
      <c r="J22" s="32">
        <v>6.4130000000000003</v>
      </c>
      <c r="K22" s="32"/>
    </row>
    <row r="23" spans="3:11" x14ac:dyDescent="0.35">
      <c r="C23" s="29"/>
      <c r="D23" s="1"/>
      <c r="E23" s="1"/>
      <c r="F23" s="1"/>
      <c r="G23" s="1"/>
      <c r="H23" s="1"/>
      <c r="I23" s="1"/>
      <c r="J23" s="1"/>
      <c r="K23" s="1"/>
    </row>
    <row r="24" spans="3:11" x14ac:dyDescent="0.35">
      <c r="C24" s="29"/>
      <c r="D24" s="1" t="s">
        <v>86</v>
      </c>
      <c r="E24" s="1">
        <f>H22</f>
        <v>8.4179999999999993</v>
      </c>
      <c r="F24" s="1"/>
      <c r="G24" s="1"/>
      <c r="H24" s="1"/>
      <c r="I24" s="1"/>
      <c r="J24" s="1"/>
      <c r="K24" s="1"/>
    </row>
    <row r="25" spans="3:11" x14ac:dyDescent="0.35">
      <c r="C25" s="29"/>
      <c r="D25" s="1" t="s">
        <v>87</v>
      </c>
      <c r="E25" s="1">
        <f>(I22-H22)/(F22-E22)</f>
        <v>-0.13912499999999994</v>
      </c>
      <c r="F25" s="1"/>
      <c r="G25" s="1"/>
      <c r="H25" s="1"/>
      <c r="I25" s="1"/>
      <c r="J25" s="1"/>
      <c r="K25" s="1"/>
    </row>
    <row r="26" spans="3:11" x14ac:dyDescent="0.35">
      <c r="C26" s="29"/>
      <c r="D26" s="1" t="s">
        <v>88</v>
      </c>
      <c r="E26" s="1">
        <f>(((J22-I22)/(G22-F22))-E25)/(G22-E22)</f>
        <v>1.7265625000000007E-3</v>
      </c>
      <c r="F26" s="1"/>
      <c r="G26" s="1"/>
      <c r="H26" s="1"/>
      <c r="I26" s="1"/>
      <c r="J26" s="1"/>
      <c r="K26" s="1"/>
    </row>
    <row r="27" spans="3:11" x14ac:dyDescent="0.35">
      <c r="C27" s="29"/>
      <c r="D27" s="1"/>
      <c r="E27" s="1"/>
      <c r="F27" s="1"/>
      <c r="G27" s="1"/>
      <c r="H27" s="1"/>
      <c r="I27" s="1"/>
      <c r="J27" s="1"/>
      <c r="K27" s="1"/>
    </row>
    <row r="28" spans="3:11" x14ac:dyDescent="0.35">
      <c r="C28" s="29"/>
      <c r="D28" s="30" t="s">
        <v>89</v>
      </c>
      <c r="E28" s="30">
        <f>E24+E25*(D22-E22)+E26*(D22-E22)*(D22-F22)</f>
        <v>7.974726562499999</v>
      </c>
      <c r="F28" s="1"/>
      <c r="G28" s="1"/>
      <c r="H28" s="1"/>
      <c r="I28" s="1"/>
      <c r="J28" s="1"/>
      <c r="K28" s="1"/>
    </row>
    <row r="29" spans="3:11" x14ac:dyDescent="0.35">
      <c r="C29" s="29"/>
      <c r="D29" s="30" t="s">
        <v>90</v>
      </c>
      <c r="E29" s="30" t="e">
        <f>ABS((K22-E28)/K22)*100</f>
        <v>#DIV/0!</v>
      </c>
      <c r="F29" s="1" t="s">
        <v>91</v>
      </c>
      <c r="G29" s="1"/>
      <c r="H29" s="1"/>
      <c r="I29" s="1"/>
      <c r="J29" s="1"/>
      <c r="K29" s="1"/>
    </row>
    <row r="30" spans="3:11" x14ac:dyDescent="0.35">
      <c r="C30" s="29"/>
      <c r="D30" s="1"/>
      <c r="E30" s="1"/>
      <c r="F30" s="1"/>
      <c r="G30" s="1"/>
      <c r="H30" s="1"/>
      <c r="I30" s="1"/>
      <c r="J30" s="1"/>
      <c r="K30" s="1"/>
    </row>
    <row r="32" spans="3:11" ht="23.5" x14ac:dyDescent="0.35">
      <c r="C32" s="34" t="s">
        <v>94</v>
      </c>
    </row>
    <row r="34" spans="3:14" x14ac:dyDescent="0.35">
      <c r="D34" s="31" t="s">
        <v>34</v>
      </c>
      <c r="E34" s="31" t="s">
        <v>105</v>
      </c>
      <c r="F34" s="31" t="s">
        <v>106</v>
      </c>
      <c r="G34" s="31" t="s">
        <v>107</v>
      </c>
      <c r="H34" s="31" t="s">
        <v>108</v>
      </c>
      <c r="I34" s="31" t="s">
        <v>109</v>
      </c>
      <c r="J34" s="31" t="s">
        <v>110</v>
      </c>
      <c r="K34" s="31" t="s">
        <v>111</v>
      </c>
    </row>
    <row r="35" spans="3:14" x14ac:dyDescent="0.35">
      <c r="D35" s="32">
        <v>0</v>
      </c>
      <c r="E35" s="32">
        <v>16</v>
      </c>
      <c r="F35" s="32">
        <v>9.8699999999999992</v>
      </c>
      <c r="G35" s="32">
        <f>(F36-F35)/(E36-E35)</f>
        <v>-0.18149999999999999</v>
      </c>
      <c r="H35" s="32">
        <f>(G36-G35)/(E37-E35)</f>
        <v>2.6484375000000032E-3</v>
      </c>
      <c r="I35" s="32">
        <f>(H36-H35)/(E38-E35)</f>
        <v>-3.841145833333344E-5</v>
      </c>
      <c r="J35" s="32">
        <f>E40-E35</f>
        <v>11</v>
      </c>
      <c r="K35" s="32">
        <f>F35</f>
        <v>9.8699999999999992</v>
      </c>
    </row>
    <row r="36" spans="3:14" x14ac:dyDescent="0.35">
      <c r="D36" s="32">
        <v>1</v>
      </c>
      <c r="E36" s="32">
        <v>24</v>
      </c>
      <c r="F36" s="32">
        <f>H22</f>
        <v>8.4179999999999993</v>
      </c>
      <c r="G36" s="32">
        <f t="shared" ref="G36:G37" si="5">(F37-F36)/(E37-E36)</f>
        <v>-0.13912499999999994</v>
      </c>
      <c r="H36" s="32">
        <f>(G37-G36)/(E38-E36)</f>
        <v>1.7265625000000007E-3</v>
      </c>
      <c r="I36" s="32"/>
      <c r="J36" s="32">
        <f>J35*(E40-E36)</f>
        <v>33</v>
      </c>
      <c r="K36" s="32">
        <f>F35+G35*J35</f>
        <v>7.8734999999999991</v>
      </c>
    </row>
    <row r="37" spans="3:14" x14ac:dyDescent="0.35">
      <c r="D37" s="32">
        <v>2</v>
      </c>
      <c r="E37" s="32">
        <v>32</v>
      </c>
      <c r="F37" s="32">
        <f>I22</f>
        <v>7.3049999999999997</v>
      </c>
      <c r="G37" s="32">
        <f t="shared" si="5"/>
        <v>-0.11149999999999993</v>
      </c>
      <c r="H37" s="32"/>
      <c r="I37" s="32"/>
      <c r="J37" s="32">
        <f>J36*(E40-E37)</f>
        <v>-165</v>
      </c>
      <c r="K37" s="32">
        <f>K36+H35*J36</f>
        <v>7.9608984374999991</v>
      </c>
    </row>
    <row r="38" spans="3:14" x14ac:dyDescent="0.35">
      <c r="D38" s="32">
        <v>3</v>
      </c>
      <c r="E38" s="32">
        <v>40</v>
      </c>
      <c r="F38" s="32">
        <f>J22</f>
        <v>6.4130000000000003</v>
      </c>
      <c r="G38" s="32"/>
      <c r="H38" s="32"/>
      <c r="I38" s="32"/>
      <c r="J38" s="32"/>
      <c r="K38" s="31">
        <f>K37+I35*J37</f>
        <v>7.9672363281249989</v>
      </c>
    </row>
    <row r="39" spans="3:14" x14ac:dyDescent="0.35">
      <c r="D39" s="1"/>
      <c r="E39" s="1"/>
      <c r="F39" s="1"/>
      <c r="G39" s="1"/>
      <c r="H39" s="1"/>
      <c r="I39" s="1"/>
      <c r="J39" s="1"/>
      <c r="K39" s="1"/>
    </row>
    <row r="40" spans="3:14" x14ac:dyDescent="0.35">
      <c r="D40" s="30" t="s">
        <v>92</v>
      </c>
      <c r="E40" s="30">
        <v>27</v>
      </c>
      <c r="F40" s="1"/>
      <c r="G40" s="1"/>
      <c r="H40" s="1"/>
      <c r="I40" s="1"/>
      <c r="J40" s="1"/>
      <c r="K40" s="1"/>
    </row>
    <row r="41" spans="3:14" x14ac:dyDescent="0.35">
      <c r="D41" s="30" t="s">
        <v>84</v>
      </c>
      <c r="E41" s="30">
        <f>ABS((1-K38)/1*100)</f>
        <v>696.72363281249989</v>
      </c>
      <c r="F41" s="1" t="s">
        <v>91</v>
      </c>
      <c r="G41" s="1"/>
      <c r="H41" s="1"/>
      <c r="I41" s="1"/>
      <c r="J41" s="1"/>
      <c r="K41" s="1"/>
    </row>
    <row r="44" spans="3:14" ht="23.5" x14ac:dyDescent="0.35">
      <c r="C44" s="34" t="s">
        <v>112</v>
      </c>
    </row>
    <row r="46" spans="3:14" x14ac:dyDescent="0.35">
      <c r="D46" s="1" t="s">
        <v>117</v>
      </c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3:14" x14ac:dyDescent="0.35">
      <c r="D47" s="1"/>
      <c r="E47" s="31" t="s">
        <v>92</v>
      </c>
      <c r="F47" s="31" t="s">
        <v>80</v>
      </c>
      <c r="G47" s="31" t="s">
        <v>48</v>
      </c>
      <c r="H47" s="31" t="s">
        <v>72</v>
      </c>
      <c r="I47" s="31" t="s">
        <v>73</v>
      </c>
      <c r="J47" s="31" t="s">
        <v>81</v>
      </c>
      <c r="K47" s="31" t="s">
        <v>82</v>
      </c>
      <c r="L47" s="31" t="s">
        <v>85</v>
      </c>
      <c r="M47" s="31" t="s">
        <v>97</v>
      </c>
      <c r="N47" s="31" t="s">
        <v>93</v>
      </c>
    </row>
    <row r="48" spans="3:14" x14ac:dyDescent="0.35">
      <c r="D48" s="1"/>
      <c r="E48" s="32">
        <v>10</v>
      </c>
      <c r="F48" s="32">
        <v>8</v>
      </c>
      <c r="G48" s="32">
        <v>9</v>
      </c>
      <c r="H48" s="32">
        <v>11</v>
      </c>
      <c r="I48" s="32">
        <v>12</v>
      </c>
      <c r="J48" s="32">
        <f>LOG(F48)</f>
        <v>0.90308998699194354</v>
      </c>
      <c r="K48" s="32">
        <f>LOG(G48)</f>
        <v>0.95424250943932487</v>
      </c>
      <c r="L48" s="32">
        <f>LOG(H48)</f>
        <v>1.0413926851582251</v>
      </c>
      <c r="M48" s="32">
        <f>LOG(I48)</f>
        <v>1.0791812460476249</v>
      </c>
      <c r="N48" s="32">
        <v>1</v>
      </c>
    </row>
    <row r="49" spans="3:14" x14ac:dyDescent="0.3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35">
      <c r="D50" s="1"/>
      <c r="E50" s="1" t="s">
        <v>120</v>
      </c>
      <c r="F50" s="1">
        <f>((E48-G48)*(E48-H48)*(E48-I48))/((F48-G48)*(F48-H48)*(F48-I48))*J48+((E48-F48)*(E48-H48)*(E48-I48))/((G48-F48)*(G48-H48)*(G48-I48))*K48+((E48-F48)*(E48-G48)*(E48-I48))/((H48-F48)*(H48-G48)*(H48-I48))*L48+((E48-F48)*(E48-G48)*(E48-H48))/((I48-F48)*(I48-G48)*(I48-H48))*M48</f>
        <v>1.0000449242251053</v>
      </c>
      <c r="G50" s="1"/>
      <c r="H50" s="1"/>
      <c r="I50" s="1"/>
      <c r="J50" s="1"/>
      <c r="K50" s="1"/>
      <c r="L50" s="1"/>
      <c r="M50" s="1"/>
      <c r="N50" s="1"/>
    </row>
    <row r="52" spans="3:14" ht="23.5" x14ac:dyDescent="0.35">
      <c r="C52" s="34" t="s">
        <v>95</v>
      </c>
      <c r="D52" s="35"/>
      <c r="E52" s="35"/>
      <c r="F52" s="35"/>
      <c r="G52" s="35"/>
      <c r="H52" s="35"/>
      <c r="I52" s="35"/>
    </row>
    <row r="53" spans="3:14" x14ac:dyDescent="0.35">
      <c r="C53" s="29"/>
      <c r="D53" s="31" t="s">
        <v>92</v>
      </c>
      <c r="E53" s="31" t="s">
        <v>80</v>
      </c>
      <c r="F53" s="31" t="s">
        <v>48</v>
      </c>
      <c r="G53" s="31" t="s">
        <v>81</v>
      </c>
      <c r="H53" s="31" t="s">
        <v>82</v>
      </c>
      <c r="I53" s="31" t="s">
        <v>93</v>
      </c>
    </row>
    <row r="54" spans="3:14" x14ac:dyDescent="0.35">
      <c r="C54" s="29"/>
      <c r="D54" s="32">
        <v>27</v>
      </c>
      <c r="E54" s="32">
        <v>8</v>
      </c>
      <c r="F54" s="32">
        <v>32</v>
      </c>
      <c r="G54" s="32">
        <v>11.843</v>
      </c>
      <c r="H54" s="32">
        <v>7.3049999999999997</v>
      </c>
      <c r="I54" s="32">
        <f>LOG(10,10)</f>
        <v>1</v>
      </c>
    </row>
    <row r="55" spans="3:14" x14ac:dyDescent="0.35">
      <c r="C55" s="29"/>
      <c r="D55" s="1"/>
      <c r="E55" s="1"/>
      <c r="F55" s="1"/>
      <c r="G55" s="1"/>
      <c r="H55" s="1"/>
      <c r="I55" s="1"/>
    </row>
    <row r="56" spans="3:14" x14ac:dyDescent="0.35">
      <c r="C56" s="29"/>
      <c r="D56" s="30" t="s">
        <v>83</v>
      </c>
      <c r="E56" s="30">
        <f>G54+((H54-G54)/(F54-E54))*(D54-E54)</f>
        <v>8.2504166666666663</v>
      </c>
      <c r="F56" s="1"/>
      <c r="G56" s="1"/>
      <c r="H56" s="1"/>
      <c r="I56" s="1"/>
    </row>
    <row r="57" spans="3:14" x14ac:dyDescent="0.35">
      <c r="C57" s="29"/>
      <c r="D57" s="30" t="s">
        <v>84</v>
      </c>
      <c r="E57" s="30">
        <f>(I54-E56)/I54*100</f>
        <v>-725.04166666666663</v>
      </c>
      <c r="F57" s="1" t="s">
        <v>91</v>
      </c>
      <c r="G57" s="1"/>
      <c r="H57" s="1"/>
      <c r="I5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6</vt:i4>
      </vt:variant>
    </vt:vector>
  </HeadingPairs>
  <TitlesOfParts>
    <vt:vector size="6" baseType="lpstr">
      <vt:lpstr>error</vt:lpstr>
      <vt:lpstr>root</vt:lpstr>
      <vt:lpstr>grafis</vt:lpstr>
      <vt:lpstr>matriks</vt:lpstr>
      <vt:lpstr>interpolasi</vt:lpstr>
      <vt:lpstr>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PUTRI NISRINA AZ-ZAHRA(589217)</cp:lastModifiedBy>
  <dcterms:created xsi:type="dcterms:W3CDTF">2021-09-03T00:46:21Z</dcterms:created>
  <dcterms:modified xsi:type="dcterms:W3CDTF">2021-11-09T09:43:25Z</dcterms:modified>
</cp:coreProperties>
</file>