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tsacid-my.sharepoint.com/personal/5003201158_student_its_ac_id/Documents/SEMESTER 3/Analisis Numerik/"/>
    </mc:Choice>
  </mc:AlternateContent>
  <xr:revisionPtr revIDLastSave="2408" documentId="8_{9907807B-E00A-49C4-B180-2D263FC310A3}" xr6:coauthVersionLast="47" xr6:coauthVersionMax="47" xr10:uidLastSave="{2D8D719A-D4EF-4CF5-ACD1-67A2FBC3B78F}"/>
  <bookViews>
    <workbookView xWindow="-110" yWindow="-110" windowWidth="19420" windowHeight="10300" xr2:uid="{080C16B6-5620-4A57-9CAC-7880ACD46F15}"/>
  </bookViews>
  <sheets>
    <sheet name="Integrasi Numerik" sheetId="1" r:id="rId1"/>
    <sheet name="Integral Lipat 2 " sheetId="2" r:id="rId2"/>
    <sheet name="Diferensiasi Numerik" sheetId="3" r:id="rId3"/>
    <sheet name="regresi" sheetId="4" r:id="rId4"/>
    <sheet name="regresi non linier" sheetId="5" r:id="rId5"/>
    <sheet name="Persamaan Diferensial " sheetId="7" r:id="rId6"/>
    <sheet name="latihan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45" i="7" l="1"/>
  <c r="Q45" i="7"/>
  <c r="P44" i="7"/>
  <c r="AJ16" i="7" l="1"/>
  <c r="AH16" i="7"/>
  <c r="AI15" i="7"/>
  <c r="X17" i="7"/>
  <c r="X16" i="7"/>
  <c r="Y18" i="7" l="1"/>
  <c r="Y17" i="7"/>
  <c r="Y16" i="7"/>
  <c r="Y15" i="7"/>
  <c r="S28" i="5" l="1"/>
  <c r="N27" i="5" a="1"/>
  <c r="N27" i="5" s="1"/>
  <c r="Q26" i="5" l="1"/>
  <c r="G27" i="5"/>
  <c r="E27" i="5"/>
  <c r="D27" i="5"/>
  <c r="E19" i="5"/>
  <c r="C52" i="3"/>
  <c r="C32" i="3"/>
  <c r="C16" i="3"/>
  <c r="C18" i="3" s="1"/>
  <c r="S27" i="5" l="1"/>
  <c r="J28" i="2"/>
  <c r="L20" i="2"/>
  <c r="H26" i="2"/>
  <c r="H22" i="2"/>
  <c r="H21" i="2"/>
  <c r="H20" i="2"/>
  <c r="F20" i="2"/>
  <c r="K62" i="1"/>
  <c r="O60" i="1"/>
  <c r="AC27" i="1"/>
  <c r="U27" i="1"/>
  <c r="M27" i="1"/>
  <c r="K17" i="1"/>
  <c r="D28" i="1"/>
  <c r="F27" i="1"/>
  <c r="F16" i="1"/>
  <c r="B16" i="8"/>
  <c r="B25" i="8"/>
  <c r="C25" i="8"/>
  <c r="D25" i="8"/>
  <c r="B26" i="8"/>
  <c r="C26" i="8"/>
  <c r="D26" i="8"/>
  <c r="B27" i="8"/>
  <c r="C27" i="8"/>
  <c r="D27" i="8"/>
  <c r="B28" i="8"/>
  <c r="C28" i="8"/>
  <c r="D28" i="8"/>
  <c r="D24" i="8"/>
  <c r="C24" i="8"/>
  <c r="B24" i="8"/>
  <c r="D16" i="8"/>
  <c r="C16" i="8"/>
  <c r="B19" i="8"/>
  <c r="B17" i="8"/>
  <c r="C17" i="8"/>
  <c r="D17" i="8"/>
  <c r="B18" i="8"/>
  <c r="C18" i="8"/>
  <c r="D18" i="8"/>
  <c r="C19" i="8"/>
  <c r="D19" i="8"/>
  <c r="B20" i="8"/>
  <c r="C20" i="8"/>
  <c r="D20" i="8"/>
  <c r="D9" i="8"/>
  <c r="F17" i="8" s="1"/>
  <c r="D10" i="8"/>
  <c r="F18" i="8" s="1"/>
  <c r="D11" i="8"/>
  <c r="F19" i="8" s="1"/>
  <c r="D12" i="8"/>
  <c r="F20" i="8" s="1"/>
  <c r="D8" i="8"/>
  <c r="F16" i="8" s="1"/>
  <c r="I27" i="5" a="1"/>
  <c r="I27" i="5" s="1"/>
  <c r="S45" i="7"/>
  <c r="S44" i="7"/>
  <c r="Z16" i="7"/>
  <c r="AR24" i="7"/>
  <c r="O60" i="7"/>
  <c r="O74" i="7"/>
  <c r="O76" i="7"/>
  <c r="R63" i="7"/>
  <c r="R59" i="7"/>
  <c r="Q59" i="7"/>
  <c r="P59" i="7"/>
  <c r="R43" i="7"/>
  <c r="Q43" i="7"/>
  <c r="V46" i="7"/>
  <c r="V47" i="7"/>
  <c r="V44" i="7"/>
  <c r="L16" i="8" l="1" a="1"/>
  <c r="L16" i="8" s="1"/>
  <c r="H16" i="8" a="1"/>
  <c r="H16" i="8" s="1"/>
  <c r="AR27" i="7"/>
  <c r="AR26" i="7"/>
  <c r="AR25" i="7"/>
  <c r="AS23" i="7"/>
  <c r="AG16" i="7"/>
  <c r="P15" i="7"/>
  <c r="S59" i="7" s="1"/>
  <c r="P73" i="7"/>
  <c r="Q73" i="7" s="1"/>
  <c r="R73" i="7" s="1"/>
  <c r="S73" i="7" s="1"/>
  <c r="P31" i="7"/>
  <c r="P30" i="7"/>
  <c r="P29" i="7"/>
  <c r="P28" i="7"/>
  <c r="P27" i="7"/>
  <c r="P26" i="7"/>
  <c r="P25" i="7"/>
  <c r="AH24" i="7"/>
  <c r="AJ24" i="7" s="1"/>
  <c r="P24" i="7"/>
  <c r="AI23" i="7"/>
  <c r="Y23" i="7"/>
  <c r="X24" i="7" s="1"/>
  <c r="P23" i="7"/>
  <c r="AT23" i="7" s="1"/>
  <c r="P19" i="7"/>
  <c r="P18" i="7"/>
  <c r="P17" i="7"/>
  <c r="P16" i="7"/>
  <c r="AS15" i="7"/>
  <c r="AR16" i="7" s="1"/>
  <c r="N16" i="8" l="1" a="1"/>
  <c r="AS24" i="7"/>
  <c r="AS25" i="7" s="1"/>
  <c r="AS26" i="7" s="1"/>
  <c r="X18" i="7"/>
  <c r="AG24" i="7"/>
  <c r="AK24" i="7" s="1"/>
  <c r="V45" i="7"/>
  <c r="Z24" i="7"/>
  <c r="AT15" i="7"/>
  <c r="T73" i="7"/>
  <c r="Y24" i="7"/>
  <c r="X25" i="7" s="1"/>
  <c r="AK23" i="7"/>
  <c r="Z23" i="7"/>
  <c r="AS16" i="7"/>
  <c r="AR17" i="7" s="1"/>
  <c r="Z15" i="7"/>
  <c r="AK15" i="7"/>
  <c r="S43" i="7"/>
  <c r="N16" i="8" l="1"/>
  <c r="S18" i="8"/>
  <c r="T18" i="8" s="1"/>
  <c r="S17" i="8"/>
  <c r="T17" i="8" s="1"/>
  <c r="AT25" i="7"/>
  <c r="Q44" i="7"/>
  <c r="R44" i="7" s="1"/>
  <c r="P45" i="7" s="1"/>
  <c r="AI24" i="7"/>
  <c r="AH25" i="7" s="1"/>
  <c r="AJ25" i="7" s="1"/>
  <c r="X19" i="7"/>
  <c r="Y19" i="7" s="1"/>
  <c r="AT27" i="7"/>
  <c r="AS27" i="7"/>
  <c r="AR28" i="7" s="1"/>
  <c r="AS28" i="7" s="1"/>
  <c r="AR29" i="7" s="1"/>
  <c r="Z17" i="7"/>
  <c r="Y25" i="7"/>
  <c r="X26" i="7" s="1"/>
  <c r="Z25" i="7"/>
  <c r="S60" i="7"/>
  <c r="Q60" i="7"/>
  <c r="P60" i="7"/>
  <c r="AK16" i="7"/>
  <c r="AI16" i="7"/>
  <c r="AH17" i="7" s="1"/>
  <c r="AJ17" i="7" s="1"/>
  <c r="AR18" i="7"/>
  <c r="AS17" i="7"/>
  <c r="AT17" i="7"/>
  <c r="T74" i="7"/>
  <c r="P74" i="7"/>
  <c r="Q74" i="7" s="1"/>
  <c r="R74" i="7" s="1"/>
  <c r="S74" i="7" s="1"/>
  <c r="P16" i="8" l="1" a="1"/>
  <c r="F28" i="8"/>
  <c r="F24" i="8"/>
  <c r="F25" i="8"/>
  <c r="F26" i="8"/>
  <c r="F27" i="8"/>
  <c r="S16" i="8"/>
  <c r="T16" i="8" s="1"/>
  <c r="R60" i="7"/>
  <c r="O61" i="7" s="1"/>
  <c r="P61" i="7" s="1"/>
  <c r="Q61" i="7" s="1"/>
  <c r="AG25" i="7"/>
  <c r="P46" i="7"/>
  <c r="Z18" i="7"/>
  <c r="AT29" i="7"/>
  <c r="AS29" i="7"/>
  <c r="AR30" i="7" s="1"/>
  <c r="AS30" i="7" s="1"/>
  <c r="AR31" i="7" s="1"/>
  <c r="Y26" i="7"/>
  <c r="X27" i="7" s="1"/>
  <c r="Z26" i="7"/>
  <c r="O75" i="7"/>
  <c r="AG17" i="7"/>
  <c r="AS18" i="7"/>
  <c r="AR19" i="7" s="1"/>
  <c r="P16" i="8" l="1"/>
  <c r="H24" i="8" a="1"/>
  <c r="H24" i="8" s="1"/>
  <c r="L24" i="8" a="1"/>
  <c r="L24" i="8" s="1"/>
  <c r="AI25" i="7"/>
  <c r="AH26" i="7" s="1"/>
  <c r="AJ26" i="7" s="1"/>
  <c r="AG26" i="7" s="1"/>
  <c r="AK25" i="7"/>
  <c r="S61" i="7"/>
  <c r="Z19" i="7"/>
  <c r="R61" i="7"/>
  <c r="O62" i="7" s="1"/>
  <c r="AT31" i="7"/>
  <c r="AS31" i="7"/>
  <c r="S46" i="7"/>
  <c r="Q46" i="7"/>
  <c r="T75" i="7"/>
  <c r="P75" i="7"/>
  <c r="Q75" i="7" s="1"/>
  <c r="AT19" i="7"/>
  <c r="AS19" i="7"/>
  <c r="Z27" i="7"/>
  <c r="Y27" i="7"/>
  <c r="X28" i="7" s="1"/>
  <c r="AK17" i="7"/>
  <c r="AI17" i="7"/>
  <c r="N24" i="8" l="1" a="1"/>
  <c r="AK26" i="7"/>
  <c r="AH27" i="7"/>
  <c r="AJ27" i="7" s="1"/>
  <c r="AG27" i="7" s="1"/>
  <c r="AI26" i="7"/>
  <c r="Y28" i="7"/>
  <c r="X29" i="7" s="1"/>
  <c r="Z28" i="7"/>
  <c r="S62" i="7"/>
  <c r="P62" i="7"/>
  <c r="Q62" i="7" s="1"/>
  <c r="R62" i="7" s="1"/>
  <c r="R75" i="7"/>
  <c r="S75" i="7" s="1"/>
  <c r="R46" i="7"/>
  <c r="P47" i="7" s="1"/>
  <c r="AH18" i="7"/>
  <c r="AJ18" i="7" s="1"/>
  <c r="AG18" i="7" s="1"/>
  <c r="P26" i="8" l="1"/>
  <c r="S26" i="8" s="1"/>
  <c r="T26" i="8" s="1"/>
  <c r="P25" i="8"/>
  <c r="S25" i="8" s="1"/>
  <c r="T25" i="8" s="1"/>
  <c r="N24" i="8"/>
  <c r="AH28" i="7"/>
  <c r="AJ28" i="7" s="1"/>
  <c r="AK27" i="7"/>
  <c r="AI27" i="7"/>
  <c r="S47" i="7"/>
  <c r="Q47" i="7"/>
  <c r="R47" i="7" s="1"/>
  <c r="Y29" i="7"/>
  <c r="X30" i="7" s="1"/>
  <c r="Z29" i="7"/>
  <c r="AK18" i="7"/>
  <c r="AI18" i="7"/>
  <c r="O63" i="7"/>
  <c r="P24" i="8" l="1"/>
  <c r="S24" i="8" s="1"/>
  <c r="T24" i="8" s="1"/>
  <c r="AG28" i="7"/>
  <c r="Z30" i="7"/>
  <c r="Y30" i="7"/>
  <c r="X31" i="7" s="1"/>
  <c r="AH19" i="7"/>
  <c r="AJ19" i="7" s="1"/>
  <c r="AG19" i="7" s="1"/>
  <c r="S63" i="7"/>
  <c r="P63" i="7"/>
  <c r="Q63" i="7" s="1"/>
  <c r="P76" i="7"/>
  <c r="Q76" i="7" s="1"/>
  <c r="T76" i="7"/>
  <c r="AK28" i="7" l="1"/>
  <c r="AI28" i="7"/>
  <c r="AH29" i="7" s="1"/>
  <c r="AJ29" i="7" s="1"/>
  <c r="AG29" i="7" s="1"/>
  <c r="R76" i="7"/>
  <c r="S76" i="7" s="1"/>
  <c r="AK19" i="7"/>
  <c r="AI19" i="7"/>
  <c r="Y31" i="7"/>
  <c r="Z31" i="7"/>
  <c r="AI29" i="7" l="1"/>
  <c r="AH30" i="7" s="1"/>
  <c r="AJ30" i="7" s="1"/>
  <c r="AK29" i="7"/>
  <c r="O77" i="7"/>
  <c r="AG30" i="7" l="1"/>
  <c r="P77" i="7"/>
  <c r="Q77" i="7" s="1"/>
  <c r="R77" i="7" s="1"/>
  <c r="S77" i="7" s="1"/>
  <c r="T77" i="7"/>
  <c r="AK30" i="7" l="1"/>
  <c r="AI30" i="7"/>
  <c r="AH31" i="7"/>
  <c r="AJ31" i="7" s="1"/>
  <c r="AG31" i="7" s="1"/>
  <c r="L27" i="5" a="1"/>
  <c r="L27" i="5" s="1"/>
  <c r="C55" i="4"/>
  <c r="C52" i="4" a="1"/>
  <c r="C52" i="4" s="1"/>
  <c r="C42" i="4" a="1"/>
  <c r="C42" i="4" s="1"/>
  <c r="C50" i="3"/>
  <c r="AI31" i="7" l="1"/>
  <c r="AK31" i="7"/>
  <c r="K64" i="1"/>
  <c r="K63" i="1"/>
  <c r="U60" i="1"/>
  <c r="Q60" i="1"/>
  <c r="AF52" i="5"/>
  <c r="AF53" i="5"/>
  <c r="AF54" i="5"/>
  <c r="AF55" i="5"/>
  <c r="AF51" i="5"/>
  <c r="AD52" i="5"/>
  <c r="AD53" i="5"/>
  <c r="AD54" i="5"/>
  <c r="AD55" i="5"/>
  <c r="AD51" i="5"/>
  <c r="AK51" i="5" s="1" a="1"/>
  <c r="AK51" i="5" s="1"/>
  <c r="AC52" i="5"/>
  <c r="AC53" i="5"/>
  <c r="AC54" i="5"/>
  <c r="AC55" i="5"/>
  <c r="AC51" i="5"/>
  <c r="AF44" i="5"/>
  <c r="AF45" i="5"/>
  <c r="AF46" i="5"/>
  <c r="AF47" i="5"/>
  <c r="AF43" i="5"/>
  <c r="AD44" i="5"/>
  <c r="AD45" i="5"/>
  <c r="AD46" i="5"/>
  <c r="AD47" i="5"/>
  <c r="AD43" i="5"/>
  <c r="AC44" i="5"/>
  <c r="AC45" i="5"/>
  <c r="AC46" i="5"/>
  <c r="AC47" i="5"/>
  <c r="AC43" i="5"/>
  <c r="AR35" i="5"/>
  <c r="AF35" i="5"/>
  <c r="AC35" i="5"/>
  <c r="AR28" i="5"/>
  <c r="AF27" i="5"/>
  <c r="AD27" i="5"/>
  <c r="AD28" i="5"/>
  <c r="AD29" i="5"/>
  <c r="AD30" i="5"/>
  <c r="AD31" i="5"/>
  <c r="AC27" i="5"/>
  <c r="AD19" i="5"/>
  <c r="AC28" i="5"/>
  <c r="AC29" i="5"/>
  <c r="AC30" i="5"/>
  <c r="AC31" i="5"/>
  <c r="AD20" i="5"/>
  <c r="AF28" i="5" s="1"/>
  <c r="AD21" i="5"/>
  <c r="AF29" i="5" s="1"/>
  <c r="AD22" i="5"/>
  <c r="AD23" i="5"/>
  <c r="AF31" i="5"/>
  <c r="AF30" i="5"/>
  <c r="G28" i="5"/>
  <c r="G29" i="5"/>
  <c r="G30" i="5"/>
  <c r="G31" i="5"/>
  <c r="E28" i="5"/>
  <c r="E29" i="5"/>
  <c r="E30" i="5"/>
  <c r="E31" i="5"/>
  <c r="D28" i="5"/>
  <c r="D29" i="5"/>
  <c r="D30" i="5"/>
  <c r="D31" i="5"/>
  <c r="E20" i="5"/>
  <c r="E21" i="5"/>
  <c r="E22" i="5"/>
  <c r="E23" i="5"/>
  <c r="C7" i="4" a="1"/>
  <c r="C7" i="4" s="1"/>
  <c r="AC19" i="3"/>
  <c r="S20" i="3"/>
  <c r="T16" i="3"/>
  <c r="U12" i="3"/>
  <c r="U15" i="3"/>
  <c r="T10" i="3"/>
  <c r="U9" i="3" s="1"/>
  <c r="AC10" i="3" s="1"/>
  <c r="T11" i="3"/>
  <c r="U10" i="3" s="1"/>
  <c r="T12" i="3"/>
  <c r="U11" i="3" s="1"/>
  <c r="T13" i="3"/>
  <c r="T14" i="3"/>
  <c r="U13" i="3" s="1"/>
  <c r="V12" i="3" s="1"/>
  <c r="T15" i="3"/>
  <c r="U14" i="3" s="1"/>
  <c r="T9" i="3"/>
  <c r="AC9" i="3" s="1"/>
  <c r="C34" i="3"/>
  <c r="B9" i="3" a="1"/>
  <c r="B9" i="3" s="1"/>
  <c r="T27" i="5" l="1"/>
  <c r="I9" i="4"/>
  <c r="I15" i="4"/>
  <c r="F11" i="4"/>
  <c r="I13" i="4"/>
  <c r="F10" i="4"/>
  <c r="F8" i="4"/>
  <c r="F9" i="4"/>
  <c r="I11" i="4"/>
  <c r="I12" i="4"/>
  <c r="F16" i="4"/>
  <c r="I8" i="4"/>
  <c r="I10" i="4"/>
  <c r="F14" i="4"/>
  <c r="I16" i="4"/>
  <c r="F15" i="4"/>
  <c r="F13" i="4"/>
  <c r="F12" i="4"/>
  <c r="I14" i="4"/>
  <c r="AH51" i="5" a="1"/>
  <c r="AH51" i="5" s="1"/>
  <c r="AM51" i="5" s="1" a="1"/>
  <c r="AM51" i="5" s="1"/>
  <c r="AP50" i="5" s="1"/>
  <c r="AR51" i="5" s="1"/>
  <c r="AS51" i="5" s="1"/>
  <c r="AP51" i="5"/>
  <c r="AR52" i="5" s="1"/>
  <c r="AS52" i="5" s="1"/>
  <c r="AH43" i="5" a="1"/>
  <c r="AH43" i="5" s="1"/>
  <c r="AK43" i="5" a="1"/>
  <c r="AK43" i="5" s="1"/>
  <c r="V14" i="3"/>
  <c r="W13" i="3" s="1"/>
  <c r="X12" i="3" s="1"/>
  <c r="V10" i="3"/>
  <c r="V11" i="3"/>
  <c r="W10" i="3" s="1"/>
  <c r="V13" i="3"/>
  <c r="W12" i="3" s="1"/>
  <c r="AC11" i="3"/>
  <c r="D9" i="3"/>
  <c r="E9" i="3" s="1"/>
  <c r="V9" i="3"/>
  <c r="W9" i="3" s="1"/>
  <c r="D10" i="3"/>
  <c r="D11" i="3"/>
  <c r="E10" i="3" s="1"/>
  <c r="Q27" i="5" l="1"/>
  <c r="P32" i="4" a="1"/>
  <c r="C19" i="4" a="1"/>
  <c r="C19" i="4" s="1"/>
  <c r="L19" i="4" a="1"/>
  <c r="L19" i="4" s="1"/>
  <c r="AM43" i="5" a="1"/>
  <c r="AP43" i="5" s="1"/>
  <c r="AR44" i="5" s="1"/>
  <c r="AS44" i="5" s="1"/>
  <c r="X9" i="3"/>
  <c r="AC12" i="3"/>
  <c r="W11" i="3"/>
  <c r="X10" i="3" s="1"/>
  <c r="F9" i="3"/>
  <c r="D35" i="5" l="1"/>
  <c r="E36" i="5"/>
  <c r="G35" i="5"/>
  <c r="D36" i="5"/>
  <c r="G37" i="5"/>
  <c r="G36" i="5"/>
  <c r="E35" i="5"/>
  <c r="E38" i="5"/>
  <c r="G38" i="5"/>
  <c r="D39" i="5"/>
  <c r="D37" i="5"/>
  <c r="E37" i="5"/>
  <c r="D38" i="5"/>
  <c r="E39" i="5"/>
  <c r="T28" i="5"/>
  <c r="G39" i="5"/>
  <c r="P32" i="4"/>
  <c r="M42" i="4" s="1"/>
  <c r="M50" i="4"/>
  <c r="M43" i="4"/>
  <c r="M47" i="4"/>
  <c r="M44" i="4"/>
  <c r="M45" i="4"/>
  <c r="M48" i="4"/>
  <c r="M49" i="4"/>
  <c r="M46" i="4"/>
  <c r="F32" i="4" a="1"/>
  <c r="F32" i="4" s="1"/>
  <c r="C29" i="4" a="1"/>
  <c r="C29" i="4" s="1"/>
  <c r="C32" i="4" s="1" a="1"/>
  <c r="C32" i="4" s="1"/>
  <c r="AM43" i="5"/>
  <c r="AP42" i="5" s="1"/>
  <c r="AR43" i="5" s="1"/>
  <c r="AS43" i="5" s="1"/>
  <c r="Y9" i="3"/>
  <c r="AC14" i="3" s="1"/>
  <c r="AC13" i="3"/>
  <c r="X11" i="3"/>
  <c r="U61" i="1"/>
  <c r="U62" i="1"/>
  <c r="U63" i="1"/>
  <c r="U64" i="1"/>
  <c r="U65" i="1"/>
  <c r="U66" i="1"/>
  <c r="W66" i="1" s="1"/>
  <c r="U67" i="1"/>
  <c r="U68" i="1"/>
  <c r="U69" i="1"/>
  <c r="U70" i="1"/>
  <c r="U71" i="1"/>
  <c r="U72" i="1"/>
  <c r="U73" i="1"/>
  <c r="U74" i="1"/>
  <c r="W74" i="1" s="1"/>
  <c r="U75" i="1"/>
  <c r="U76" i="1"/>
  <c r="U77" i="1"/>
  <c r="U78" i="1"/>
  <c r="U79" i="1"/>
  <c r="U80" i="1"/>
  <c r="U81" i="1"/>
  <c r="U82" i="1"/>
  <c r="W82" i="1" s="1"/>
  <c r="U83" i="1"/>
  <c r="U84" i="1"/>
  <c r="U85" i="1"/>
  <c r="U86" i="1"/>
  <c r="U87" i="1"/>
  <c r="U88" i="1"/>
  <c r="U89" i="1"/>
  <c r="U90" i="1"/>
  <c r="W90" i="1" s="1"/>
  <c r="U91" i="1"/>
  <c r="U92" i="1"/>
  <c r="U93" i="1"/>
  <c r="U94" i="1"/>
  <c r="W94" i="1" s="1"/>
  <c r="U95" i="1"/>
  <c r="U96" i="1"/>
  <c r="U97" i="1"/>
  <c r="U98" i="1"/>
  <c r="W98" i="1" s="1"/>
  <c r="U99" i="1"/>
  <c r="U100" i="1"/>
  <c r="U101" i="1"/>
  <c r="U102" i="1"/>
  <c r="W102" i="1" s="1"/>
  <c r="U103" i="1"/>
  <c r="U104" i="1"/>
  <c r="U105" i="1"/>
  <c r="U106" i="1"/>
  <c r="W106" i="1" s="1"/>
  <c r="U107" i="1"/>
  <c r="U108" i="1"/>
  <c r="U109" i="1"/>
  <c r="U110" i="1"/>
  <c r="W110" i="1" s="1"/>
  <c r="U111" i="1"/>
  <c r="U112" i="1"/>
  <c r="U113" i="1"/>
  <c r="U114" i="1"/>
  <c r="W114" i="1" s="1"/>
  <c r="U115" i="1"/>
  <c r="U116" i="1"/>
  <c r="U117" i="1"/>
  <c r="U118" i="1"/>
  <c r="W118" i="1" s="1"/>
  <c r="U119" i="1"/>
  <c r="U120" i="1"/>
  <c r="U121" i="1"/>
  <c r="U122" i="1"/>
  <c r="W122" i="1" s="1"/>
  <c r="U123" i="1"/>
  <c r="U124" i="1"/>
  <c r="U125" i="1"/>
  <c r="U126" i="1"/>
  <c r="W126" i="1" s="1"/>
  <c r="U127" i="1"/>
  <c r="U128" i="1"/>
  <c r="U129" i="1"/>
  <c r="U130" i="1"/>
  <c r="W130" i="1" s="1"/>
  <c r="U131" i="1"/>
  <c r="U132" i="1"/>
  <c r="U133" i="1"/>
  <c r="U134" i="1"/>
  <c r="W134" i="1" s="1"/>
  <c r="U135" i="1"/>
  <c r="U136" i="1"/>
  <c r="U137" i="1"/>
  <c r="U138" i="1"/>
  <c r="W138" i="1" s="1"/>
  <c r="U139" i="1"/>
  <c r="U140" i="1"/>
  <c r="U141" i="1"/>
  <c r="U142" i="1"/>
  <c r="W142" i="1" s="1"/>
  <c r="U143" i="1"/>
  <c r="U144" i="1"/>
  <c r="U145" i="1"/>
  <c r="U146" i="1"/>
  <c r="W146" i="1" s="1"/>
  <c r="U147" i="1"/>
  <c r="U148" i="1"/>
  <c r="U149" i="1"/>
  <c r="U150" i="1"/>
  <c r="W150" i="1" s="1"/>
  <c r="U151" i="1"/>
  <c r="U152" i="1"/>
  <c r="U153" i="1"/>
  <c r="U154" i="1"/>
  <c r="W154" i="1" s="1"/>
  <c r="U155" i="1"/>
  <c r="U156" i="1"/>
  <c r="U157" i="1"/>
  <c r="U158" i="1"/>
  <c r="W158" i="1" s="1"/>
  <c r="U159" i="1"/>
  <c r="U160" i="1"/>
  <c r="W60" i="1"/>
  <c r="W160" i="1"/>
  <c r="W159" i="1"/>
  <c r="W157" i="1"/>
  <c r="W156" i="1"/>
  <c r="W155" i="1"/>
  <c r="W153" i="1"/>
  <c r="W152" i="1"/>
  <c r="W151" i="1"/>
  <c r="W149" i="1"/>
  <c r="W148" i="1"/>
  <c r="W147" i="1"/>
  <c r="W145" i="1"/>
  <c r="W144" i="1"/>
  <c r="W143" i="1"/>
  <c r="W141" i="1"/>
  <c r="W140" i="1"/>
  <c r="W139" i="1"/>
  <c r="W137" i="1"/>
  <c r="W136" i="1"/>
  <c r="W135" i="1"/>
  <c r="W133" i="1"/>
  <c r="W132" i="1"/>
  <c r="W131" i="1"/>
  <c r="W129" i="1"/>
  <c r="W128" i="1"/>
  <c r="W127" i="1"/>
  <c r="W125" i="1"/>
  <c r="W124" i="1"/>
  <c r="W123" i="1"/>
  <c r="W121" i="1"/>
  <c r="W120" i="1"/>
  <c r="W119" i="1"/>
  <c r="W117" i="1"/>
  <c r="W116" i="1"/>
  <c r="W115" i="1"/>
  <c r="W113" i="1"/>
  <c r="W112" i="1"/>
  <c r="W111" i="1"/>
  <c r="W109" i="1"/>
  <c r="W108" i="1"/>
  <c r="W107" i="1"/>
  <c r="W105" i="1"/>
  <c r="W104" i="1"/>
  <c r="W103" i="1"/>
  <c r="W101" i="1"/>
  <c r="W100" i="1"/>
  <c r="W99" i="1"/>
  <c r="W97" i="1"/>
  <c r="W96" i="1"/>
  <c r="W95" i="1"/>
  <c r="W93" i="1"/>
  <c r="W92" i="1"/>
  <c r="W91" i="1"/>
  <c r="W89" i="1"/>
  <c r="W88" i="1"/>
  <c r="W87" i="1"/>
  <c r="W86" i="1"/>
  <c r="W85" i="1"/>
  <c r="W84" i="1"/>
  <c r="W83" i="1"/>
  <c r="W81" i="1"/>
  <c r="W80" i="1"/>
  <c r="W79" i="1"/>
  <c r="W78" i="1"/>
  <c r="W77" i="1"/>
  <c r="W76" i="1"/>
  <c r="W75" i="1"/>
  <c r="W73" i="1"/>
  <c r="W72" i="1"/>
  <c r="W71" i="1"/>
  <c r="W70" i="1"/>
  <c r="W69" i="1"/>
  <c r="W68" i="1"/>
  <c r="W67" i="1"/>
  <c r="W65" i="1"/>
  <c r="W64" i="1"/>
  <c r="W63" i="1"/>
  <c r="W62" i="1"/>
  <c r="W61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61" i="1"/>
  <c r="AA40" i="1"/>
  <c r="AA37" i="1"/>
  <c r="AC37" i="1" s="1"/>
  <c r="AA36" i="1"/>
  <c r="AC36" i="1" s="1"/>
  <c r="AA35" i="1"/>
  <c r="AC35" i="1" s="1"/>
  <c r="AA34" i="1"/>
  <c r="AC34" i="1" s="1"/>
  <c r="AA33" i="1"/>
  <c r="AC33" i="1" s="1"/>
  <c r="AC39" i="1" s="1"/>
  <c r="AC40" i="1" s="1"/>
  <c r="AA41" i="1" s="1"/>
  <c r="L22" i="2"/>
  <c r="L24" i="2"/>
  <c r="F21" i="2"/>
  <c r="F22" i="2"/>
  <c r="F23" i="2"/>
  <c r="F24" i="2"/>
  <c r="H24" i="2"/>
  <c r="H23" i="2"/>
  <c r="L35" i="5" l="1" a="1"/>
  <c r="L35" i="5" s="1"/>
  <c r="I35" i="5" a="1"/>
  <c r="I35" i="5" s="1"/>
  <c r="C56" i="4"/>
  <c r="Y10" i="3"/>
  <c r="Z9" i="3" s="1"/>
  <c r="AC15" i="3" s="1"/>
  <c r="Y11" i="3"/>
  <c r="J15" i="2"/>
  <c r="J14" i="2"/>
  <c r="AA27" i="1"/>
  <c r="AA24" i="1"/>
  <c r="AC24" i="1" s="1"/>
  <c r="AA23" i="1"/>
  <c r="AC23" i="1" s="1"/>
  <c r="AA22" i="1"/>
  <c r="AC22" i="1" s="1"/>
  <c r="AA21" i="1"/>
  <c r="AC21" i="1" s="1"/>
  <c r="AA20" i="1"/>
  <c r="AC20" i="1" s="1"/>
  <c r="AA19" i="1"/>
  <c r="AC19" i="1" s="1"/>
  <c r="AA18" i="1"/>
  <c r="AC18" i="1" s="1"/>
  <c r="AA17" i="1"/>
  <c r="AC17" i="1" s="1"/>
  <c r="AA16" i="1"/>
  <c r="AC16" i="1" s="1"/>
  <c r="S39" i="1"/>
  <c r="N35" i="5" l="1" a="1"/>
  <c r="N35" i="5" s="1"/>
  <c r="Q34" i="5" s="1"/>
  <c r="Z10" i="3"/>
  <c r="AA9" i="3" s="1"/>
  <c r="AC16" i="3" s="1"/>
  <c r="AC26" i="1"/>
  <c r="AA28" i="1" s="1"/>
  <c r="L21" i="2"/>
  <c r="N21" i="2" s="1"/>
  <c r="N22" i="2"/>
  <c r="L23" i="2"/>
  <c r="N23" i="2" s="1"/>
  <c r="N24" i="2"/>
  <c r="N20" i="2"/>
  <c r="N26" i="2" l="1"/>
  <c r="S35" i="5"/>
  <c r="T35" i="5" s="1"/>
  <c r="Q35" i="5"/>
  <c r="G45" i="5" s="1"/>
  <c r="S35" i="1"/>
  <c r="U35" i="1" s="1"/>
  <c r="S34" i="1"/>
  <c r="U34" i="1" s="1"/>
  <c r="S33" i="1"/>
  <c r="U33" i="1" s="1"/>
  <c r="K37" i="1"/>
  <c r="K34" i="1"/>
  <c r="M34" i="1" s="1"/>
  <c r="K33" i="1"/>
  <c r="M33" i="1" s="1"/>
  <c r="K16" i="1"/>
  <c r="K27" i="1"/>
  <c r="S27" i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K24" i="1"/>
  <c r="M24" i="1" s="1"/>
  <c r="K23" i="1"/>
  <c r="M23" i="1" s="1"/>
  <c r="K22" i="1"/>
  <c r="M22" i="1" s="1"/>
  <c r="K21" i="1"/>
  <c r="M21" i="1" s="1"/>
  <c r="K20" i="1"/>
  <c r="M20" i="1" s="1"/>
  <c r="K19" i="1"/>
  <c r="M19" i="1" s="1"/>
  <c r="K18" i="1"/>
  <c r="M18" i="1" s="1"/>
  <c r="M17" i="1"/>
  <c r="M16" i="1"/>
  <c r="F17" i="1"/>
  <c r="F18" i="1"/>
  <c r="F19" i="1"/>
  <c r="F20" i="1"/>
  <c r="F21" i="1"/>
  <c r="F22" i="1"/>
  <c r="F23" i="1"/>
  <c r="F24" i="1"/>
  <c r="D27" i="1"/>
  <c r="G43" i="5" l="1"/>
  <c r="E44" i="5"/>
  <c r="D45" i="5"/>
  <c r="D47" i="5"/>
  <c r="E46" i="5"/>
  <c r="S36" i="5"/>
  <c r="T36" i="5" s="1"/>
  <c r="E47" i="5"/>
  <c r="G47" i="5"/>
  <c r="E43" i="5"/>
  <c r="E45" i="5"/>
  <c r="G46" i="5"/>
  <c r="G44" i="5"/>
  <c r="D44" i="5"/>
  <c r="D46" i="5"/>
  <c r="D43" i="5"/>
  <c r="M36" i="1"/>
  <c r="M37" i="1" s="1"/>
  <c r="K38" i="1" s="1"/>
  <c r="U38" i="1"/>
  <c r="U39" i="1" s="1"/>
  <c r="S40" i="1" s="1"/>
  <c r="U26" i="1"/>
  <c r="S28" i="1" s="1"/>
  <c r="M26" i="1"/>
  <c r="K28" i="1" s="1"/>
  <c r="F26" i="1"/>
  <c r="L43" i="5" l="1" a="1"/>
  <c r="L43" i="5" s="1"/>
  <c r="I43" i="5" a="1"/>
  <c r="I43" i="5" s="1"/>
  <c r="AK27" i="5" a="1"/>
  <c r="AK27" i="5" s="1"/>
  <c r="AH27" i="5" a="1"/>
  <c r="AH27" i="5" s="1"/>
  <c r="AM27" i="5" s="1" a="1"/>
  <c r="N43" i="5" l="1" a="1"/>
  <c r="Q43" i="5" s="1"/>
  <c r="S44" i="5" s="1"/>
  <c r="T44" i="5" s="1"/>
  <c r="AP27" i="5"/>
  <c r="AM27" i="5"/>
  <c r="AP26" i="5" s="1"/>
  <c r="N43" i="5" l="1"/>
  <c r="Q42" i="5" s="1"/>
  <c r="AS28" i="5"/>
  <c r="AD37" i="5"/>
  <c r="AD39" i="5"/>
  <c r="AD36" i="5"/>
  <c r="AD35" i="5"/>
  <c r="AD38" i="5"/>
  <c r="AF36" i="5"/>
  <c r="AC36" i="5"/>
  <c r="AC37" i="5"/>
  <c r="AC38" i="5"/>
  <c r="AC39" i="5"/>
  <c r="AR27" i="5"/>
  <c r="AS27" i="5" s="1"/>
  <c r="AF37" i="5"/>
  <c r="AF38" i="5"/>
  <c r="AF39" i="5"/>
  <c r="S43" i="5" l="1"/>
  <c r="T43" i="5" s="1"/>
  <c r="AK35" i="5" a="1"/>
  <c r="AK35" i="5" s="1"/>
  <c r="AH35" i="5" a="1"/>
  <c r="AH35" i="5" s="1"/>
  <c r="AM35" i="5" l="1" a="1"/>
  <c r="AM35" i="5" s="1"/>
  <c r="AP34" i="5" s="1"/>
  <c r="AP35" i="5" l="1"/>
  <c r="AS35" i="5"/>
  <c r="AR36" i="5" l="1"/>
  <c r="AS36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<sst xmlns="http://schemas.openxmlformats.org/spreadsheetml/2006/main" count="345" uniqueCount="112">
  <si>
    <t>i</t>
  </si>
  <si>
    <t>xi</t>
  </si>
  <si>
    <t>f(xi)</t>
  </si>
  <si>
    <t>wi</t>
  </si>
  <si>
    <t>wiyi</t>
  </si>
  <si>
    <t>riemann</t>
  </si>
  <si>
    <t>trapezoidal</t>
  </si>
  <si>
    <t>simson</t>
  </si>
  <si>
    <t>h</t>
  </si>
  <si>
    <t>n=8</t>
  </si>
  <si>
    <t>n=1</t>
  </si>
  <si>
    <t>(1/3)</t>
  </si>
  <si>
    <t>n=2</t>
  </si>
  <si>
    <t>(3/8)</t>
  </si>
  <si>
    <t>k</t>
  </si>
  <si>
    <t>j</t>
  </si>
  <si>
    <t>yj</t>
  </si>
  <si>
    <t>f(xi,yj)</t>
  </si>
  <si>
    <t>wiyj</t>
  </si>
  <si>
    <t>L</t>
  </si>
  <si>
    <t>n=4</t>
  </si>
  <si>
    <t>TRUE VALUE</t>
  </si>
  <si>
    <t>error</t>
  </si>
  <si>
    <t>%</t>
  </si>
  <si>
    <t>E(X)</t>
  </si>
  <si>
    <t>E(X^2)</t>
  </si>
  <si>
    <t>VAR(X)</t>
  </si>
  <si>
    <t xml:space="preserve"> </t>
  </si>
  <si>
    <t>x</t>
  </si>
  <si>
    <t>y</t>
  </si>
  <si>
    <t>NEWTON MAJU</t>
  </si>
  <si>
    <t xml:space="preserve">delta y </t>
  </si>
  <si>
    <t>delta^2 y</t>
  </si>
  <si>
    <t>delta ^3 y</t>
  </si>
  <si>
    <t>U = x-xo</t>
  </si>
  <si>
    <t>U</t>
  </si>
  <si>
    <t>f3(3)</t>
  </si>
  <si>
    <t>NEWTON MUNDUR</t>
  </si>
  <si>
    <t>STIRLING</t>
  </si>
  <si>
    <t>time</t>
  </si>
  <si>
    <t>posisi</t>
  </si>
  <si>
    <t>delta ^4 y</t>
  </si>
  <si>
    <t>delta ^5 y</t>
  </si>
  <si>
    <t>delta ^6 y</t>
  </si>
  <si>
    <t>delta ^7 y</t>
  </si>
  <si>
    <t>delta ^8 y</t>
  </si>
  <si>
    <t>turunan</t>
  </si>
  <si>
    <t>ln y</t>
  </si>
  <si>
    <t>ln a</t>
  </si>
  <si>
    <t>b</t>
  </si>
  <si>
    <t>X transpose X</t>
  </si>
  <si>
    <t>=</t>
  </si>
  <si>
    <t>(X transpose X) invers</t>
  </si>
  <si>
    <t>(X transpose X) invers Xt</t>
  </si>
  <si>
    <t>a</t>
  </si>
  <si>
    <t>boo</t>
  </si>
  <si>
    <t>b1o</t>
  </si>
  <si>
    <t>iterasi 0</t>
  </si>
  <si>
    <t>A(o)</t>
  </si>
  <si>
    <t>B(o)</t>
  </si>
  <si>
    <t>(A transpose A) invers</t>
  </si>
  <si>
    <t>A transpose B</t>
  </si>
  <si>
    <t>Xo</t>
  </si>
  <si>
    <t>bo</t>
  </si>
  <si>
    <t>b1</t>
  </si>
  <si>
    <t>ket</t>
  </si>
  <si>
    <t>iterasi 1</t>
  </si>
  <si>
    <t>A(1)</t>
  </si>
  <si>
    <t>B(1)</t>
  </si>
  <si>
    <t>iterasi 2</t>
  </si>
  <si>
    <t>A(2)</t>
  </si>
  <si>
    <t>B(2)</t>
  </si>
  <si>
    <t>A(3)</t>
  </si>
  <si>
    <t>iterasi 3</t>
  </si>
  <si>
    <t>ini beloommmmm</t>
  </si>
  <si>
    <t>n</t>
  </si>
  <si>
    <t xml:space="preserve">EULER'S METHOD </t>
  </si>
  <si>
    <t>y true</t>
  </si>
  <si>
    <t xml:space="preserve">  </t>
  </si>
  <si>
    <t>t</t>
  </si>
  <si>
    <t>f(t,y)</t>
  </si>
  <si>
    <t>HEUN'S METHOD</t>
  </si>
  <si>
    <t>ti</t>
  </si>
  <si>
    <t>yi</t>
  </si>
  <si>
    <t>f(ti,yi)</t>
  </si>
  <si>
    <t>y(i+1)(0)</t>
  </si>
  <si>
    <t>f(ti+1,(yi+1)0)</t>
  </si>
  <si>
    <t>-</t>
  </si>
  <si>
    <t xml:space="preserve">MIDPOINT METHOD </t>
  </si>
  <si>
    <t>RALTSON'S METHOD</t>
  </si>
  <si>
    <t>k1</t>
  </si>
  <si>
    <t>k2</t>
  </si>
  <si>
    <t>a2</t>
  </si>
  <si>
    <t>a1</t>
  </si>
  <si>
    <t>p1</t>
  </si>
  <si>
    <t>q11</t>
  </si>
  <si>
    <t>SECOND ORDER RK METHODS</t>
  </si>
  <si>
    <t>THIRD ORDER RK METHODS</t>
  </si>
  <si>
    <t>k3</t>
  </si>
  <si>
    <t>FOURTH ORDER RK METHODS</t>
  </si>
  <si>
    <t>k4</t>
  </si>
  <si>
    <t>ANALYTIC METHOD</t>
  </si>
  <si>
    <t>PUTRI NISRINA AZ-ZAHRA                                    5003201158</t>
  </si>
  <si>
    <t>Y</t>
  </si>
  <si>
    <t>(X'X) invers</t>
  </si>
  <si>
    <t>X'Y</t>
  </si>
  <si>
    <t>ABC</t>
  </si>
  <si>
    <t>Ao</t>
  </si>
  <si>
    <t>Bo</t>
  </si>
  <si>
    <t>Co</t>
  </si>
  <si>
    <t>f(x)</t>
  </si>
  <si>
    <t>keterangan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</si>
</sst>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mbria Math"/>
      <family val="1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</fonts>
  <fills count="1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0" fontId="2" fillId="8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3" borderId="0" xfId="0" applyFont="1" applyFill="1" applyAlignment="1">
      <alignment horizontal="center"/>
    </xf>
    <xf numFmtId="44" fontId="0" fillId="0" borderId="0" xfId="1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2" fillId="14" borderId="0" xfId="0" applyFont="1" applyFill="1" applyAlignment="1">
      <alignment horizontal="center"/>
    </xf>
    <xf numFmtId="0" fontId="5" fillId="0" borderId="0" xfId="0" applyFont="1" applyAlignment="1">
      <alignment horizontal="left"/>
    </xf>
    <xf numFmtId="0" fontId="2" fillId="3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2" fillId="15" borderId="0" xfId="0" applyFont="1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17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10" borderId="3" xfId="0" applyFont="1" applyFill="1" applyBorder="1" applyAlignment="1">
      <alignment horizontal="center"/>
    </xf>
    <xf numFmtId="0" fontId="2" fillId="15" borderId="0" xfId="0" applyFont="1" applyFill="1" applyAlignment="1">
      <alignment horizontal="center"/>
    </xf>
  </cellXfs>
  <cellStyles count="2">
    <cellStyle name="Mata Uang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= 0.5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ANALITIK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'Persamaan Diferensial '!$O$15:$O$19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'!$P$15:$P$19</c:f>
              <c:numCache>
                <c:formatCode>General</c:formatCode>
                <c:ptCount val="5"/>
                <c:pt idx="0">
                  <c:v>1</c:v>
                </c:pt>
                <c:pt idx="1">
                  <c:v>0.60149723926212872</c:v>
                </c:pt>
                <c:pt idx="2">
                  <c:v>0.4645590203609114</c:v>
                </c:pt>
                <c:pt idx="3">
                  <c:v>0.591555364366815</c:v>
                </c:pt>
                <c:pt idx="4">
                  <c:v>1.5946697582283151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E-400B-B3F0-4C7A86292983}"/>
            </c:ext>
          </c:extLst>
        </c:ser>
        <c:ser>
          <c:idx val="1"/>
          <c:order val="1"/>
          <c:tx>
            <c:v>EULER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'Persamaan Diferensial '!$W$15:$W$19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'!$X$15:$X$19</c:f>
              <c:numCache>
                <c:formatCode>General</c:formatCode>
                <c:ptCount val="5"/>
                <c:pt idx="0">
                  <c:v>1</c:v>
                </c:pt>
                <c:pt idx="1">
                  <c:v>0.44999999999999996</c:v>
                </c:pt>
                <c:pt idx="2">
                  <c:v>0.25874999999999992</c:v>
                </c:pt>
                <c:pt idx="3">
                  <c:v>0.24581249999999991</c:v>
                </c:pt>
                <c:pt idx="4">
                  <c:v>0.38715468749999982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0E-400B-B3F0-4C7A86292983}"/>
            </c:ext>
          </c:extLst>
        </c:ser>
        <c:ser>
          <c:idx val="2"/>
          <c:order val="2"/>
          <c:tx>
            <c:v>HEUN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'Persamaan Diferensial '!$AF$15:$AF$19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'!$AG$15:$AG$19</c:f>
              <c:numCache>
                <c:formatCode>General</c:formatCode>
                <c:ptCount val="5"/>
                <c:pt idx="0">
                  <c:v>1</c:v>
                </c:pt>
                <c:pt idx="1">
                  <c:v>0.62937500000000002</c:v>
                </c:pt>
                <c:pt idx="2">
                  <c:v>0.486585546875</c:v>
                </c:pt>
                <c:pt idx="3">
                  <c:v>0.60731958569335931</c:v>
                </c:pt>
                <c:pt idx="4">
                  <c:v>1.4754070184938046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0E-400B-B3F0-4C7A86292983}"/>
            </c:ext>
          </c:extLst>
        </c:ser>
        <c:ser>
          <c:idx val="3"/>
          <c:order val="3"/>
          <c:tx>
            <c:v>MIDPOINT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'Persamaan Diferensial '!$AQ$15:$AQ$19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('Persamaan Diferensial '!$AR$23,'Persamaan Diferensial '!$AR$25,'Persamaan Diferensial '!$AR$27,'Persamaan Diferensial '!$AR$29,'Persamaan Diferensial '!$AR$31)</c:f>
              <c:numCache>
                <c:formatCode>General</c:formatCode>
                <c:ptCount val="5"/>
                <c:pt idx="0">
                  <c:v>1</c:v>
                </c:pt>
                <c:pt idx="1">
                  <c:v>0.62390625</c:v>
                </c:pt>
                <c:pt idx="2">
                  <c:v>0.49186234130859374</c:v>
                </c:pt>
                <c:pt idx="3">
                  <c:v>0.60276192857551569</c:v>
                </c:pt>
                <c:pt idx="4">
                  <c:v>1.3642668619344738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0E-400B-B3F0-4C7A86292983}"/>
            </c:ext>
          </c:extLst>
        </c:ser>
        <c:ser>
          <c:idx val="4"/>
          <c:order val="4"/>
          <c:tx>
            <c:v>2nd ORDER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'Persamaan Diferensial '!$O$43:$O$47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'!$P$43:$P$47</c:f>
              <c:numCache>
                <c:formatCode>General</c:formatCode>
                <c:ptCount val="5"/>
                <c:pt idx="0">
                  <c:v>1</c:v>
                </c:pt>
                <c:pt idx="1">
                  <c:v>0.6287890625</c:v>
                </c:pt>
                <c:pt idx="2">
                  <c:v>0.49196603622436519</c:v>
                </c:pt>
                <c:pt idx="3">
                  <c:v>0.60855814332488167</c:v>
                </c:pt>
                <c:pt idx="4">
                  <c:v>1.426533980541191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0E-400B-B3F0-4C7A86292983}"/>
            </c:ext>
          </c:extLst>
        </c:ser>
        <c:ser>
          <c:idx val="5"/>
          <c:order val="5"/>
          <c:tx>
            <c:v>3rd ORDER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'Persamaan Diferensial '!$N$59:$N$63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'!$O$59:$O$63</c:f>
              <c:numCache>
                <c:formatCode>General</c:formatCode>
                <c:ptCount val="5"/>
                <c:pt idx="0">
                  <c:v>1</c:v>
                </c:pt>
                <c:pt idx="1">
                  <c:v>0.60109244791666661</c:v>
                </c:pt>
                <c:pt idx="2">
                  <c:v>0.4686869654863145</c:v>
                </c:pt>
                <c:pt idx="3">
                  <c:v>0.60264661015680332</c:v>
                </c:pt>
                <c:pt idx="4">
                  <c:v>1.5978602040149545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0E-400B-B3F0-4C7A86292983}"/>
            </c:ext>
          </c:extLst>
        </c:ser>
        <c:ser>
          <c:idx val="6"/>
          <c:order val="6"/>
          <c:tx>
            <c:v>4th ORDER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'Persamaan Diferensial '!$N$73:$N$77</c:f>
              <c:numCache>
                <c:formatCode>General</c:formatCode>
                <c:ptCount val="5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'Persamaan Diferensial '!$O$73:$O$77</c:f>
              <c:numCache>
                <c:formatCode>General</c:formatCode>
                <c:ptCount val="5"/>
                <c:pt idx="0">
                  <c:v>1</c:v>
                </c:pt>
                <c:pt idx="1">
                  <c:v>0.60157023722330716</c:v>
                </c:pt>
                <c:pt idx="2">
                  <c:v>0.46452378509080716</c:v>
                </c:pt>
                <c:pt idx="3">
                  <c:v>0.59138027954562733</c:v>
                </c:pt>
                <c:pt idx="4">
                  <c:v>1.5844521043366449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0E-400B-B3F0-4C7A8629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88495"/>
        <c:axId val="1878288911"/>
      </c:scatterChart>
      <c:valAx>
        <c:axId val="187828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88911"/>
        <c:crosses val="autoZero"/>
        <c:crossBetween val="midCat"/>
      </c:valAx>
      <c:valAx>
        <c:axId val="18782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88495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d-ID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 = 0.25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0"/>
          <c:tx>
            <c:v>ANALITIK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'Persamaan Diferensial '!$O$23:$O$31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</c:numCache>
            </c:numRef>
          </c:xVal>
          <c:yVal>
            <c:numRef>
              <c:f>'Persamaan Diferensial '!$P$23:$P$31</c:f>
              <c:numCache>
                <c:formatCode>General</c:formatCode>
                <c:ptCount val="9"/>
                <c:pt idx="0">
                  <c:v>1</c:v>
                </c:pt>
                <c:pt idx="1">
                  <c:v>0.76353854829905243</c:v>
                </c:pt>
                <c:pt idx="2">
                  <c:v>0.60149723926212872</c:v>
                </c:pt>
                <c:pt idx="3">
                  <c:v>0.50440538444394745</c:v>
                </c:pt>
                <c:pt idx="4">
                  <c:v>0.4645590203609114</c:v>
                </c:pt>
                <c:pt idx="5">
                  <c:v>0.4848293365688473</c:v>
                </c:pt>
                <c:pt idx="6">
                  <c:v>0.591555364366815</c:v>
                </c:pt>
                <c:pt idx="7">
                  <c:v>0.87062697438942005</c:v>
                </c:pt>
                <c:pt idx="8">
                  <c:v>1.5946697582283151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7-4EF0-8712-5AC3B9A5BC30}"/>
            </c:ext>
          </c:extLst>
        </c:ser>
        <c:ser>
          <c:idx val="0"/>
          <c:order val="1"/>
          <c:tx>
            <c:v>EULER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'Persamaan Diferensial '!$W$23:$W$31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</c:numCache>
            </c:numRef>
          </c:xVal>
          <c:yVal>
            <c:numRef>
              <c:f>'Persamaan Diferensial '!$X$23:$X$31</c:f>
              <c:numCache>
                <c:formatCode>General</c:formatCode>
                <c:ptCount val="9"/>
                <c:pt idx="0">
                  <c:v>1</c:v>
                </c:pt>
                <c:pt idx="1">
                  <c:v>0.72499999999999998</c:v>
                </c:pt>
                <c:pt idx="2">
                  <c:v>0.53695312499999992</c:v>
                </c:pt>
                <c:pt idx="3">
                  <c:v>0.42285058593749991</c:v>
                </c:pt>
                <c:pt idx="4">
                  <c:v>0.36603003845214832</c:v>
                </c:pt>
                <c:pt idx="5">
                  <c:v>0.35687928749084463</c:v>
                </c:pt>
                <c:pt idx="6">
                  <c:v>0.39814345510697352</c:v>
                </c:pt>
                <c:pt idx="7">
                  <c:v>0.51260969845022841</c:v>
                </c:pt>
                <c:pt idx="8">
                  <c:v>0.76410883175237165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7-4EF0-8712-5AC3B9A5BC30}"/>
            </c:ext>
          </c:extLst>
        </c:ser>
        <c:ser>
          <c:idx val="1"/>
          <c:order val="2"/>
          <c:tx>
            <c:v>HEUN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'Persamaan Diferensial '!$AF$23:$AF$31</c:f>
              <c:numCache>
                <c:formatCode>General</c:formatCode>
                <c:ptCount val="9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</c:numCache>
            </c:numRef>
          </c:xVal>
          <c:yVal>
            <c:numRef>
              <c:f>'Persamaan Diferensial '!$AG$23:$AG$31</c:f>
              <c:numCache>
                <c:formatCode>General</c:formatCode>
                <c:ptCount val="9"/>
                <c:pt idx="0">
                  <c:v>1</c:v>
                </c:pt>
                <c:pt idx="1">
                  <c:v>0.76847656249999996</c:v>
                </c:pt>
                <c:pt idx="2">
                  <c:v>0.60834225692749022</c:v>
                </c:pt>
                <c:pt idx="3">
                  <c:v>0.51151840826143324</c:v>
                </c:pt>
                <c:pt idx="4">
                  <c:v>0.47161597617947693</c:v>
                </c:pt>
                <c:pt idx="5">
                  <c:v>0.49230444263453754</c:v>
                </c:pt>
                <c:pt idx="6">
                  <c:v>0.59971719514763167</c:v>
                </c:pt>
                <c:pt idx="7">
                  <c:v>0.87534112715972001</c:v>
                </c:pt>
                <c:pt idx="8">
                  <c:v>1.5630651931973547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147-4EF0-8712-5AC3B9A5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288495"/>
        <c:axId val="1878288911"/>
      </c:scatterChart>
      <c:valAx>
        <c:axId val="187828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88911"/>
        <c:crosses val="autoZero"/>
        <c:crossBetween val="midCat"/>
      </c:valAx>
      <c:valAx>
        <c:axId val="18782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88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chart" Target="../charts/chart2.xml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chart" Target="../charts/chart1.xml"/><Relationship Id="rId1" Type="http://schemas.openxmlformats.org/officeDocument/2006/relationships/image" Target="../media/image12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576822</xdr:colOff>
      <xdr:row>1</xdr:row>
      <xdr:rowOff>19976</xdr:rowOff>
    </xdr:from>
    <xdr:to>
      <xdr:col>17</xdr:col>
      <xdr:colOff>306201</xdr:colOff>
      <xdr:row>10</xdr:row>
      <xdr:rowOff>148898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90C45FED-F23A-4F22-90CB-095947888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376" t="35728" r="45566" b="28381"/>
        <a:stretch/>
      </xdr:blipFill>
      <xdr:spPr>
        <a:xfrm>
          <a:off x="7527498" y="208760"/>
          <a:ext cx="3736633" cy="1827976"/>
        </a:xfrm>
        <a:prstGeom prst="rect">
          <a:avLst/>
        </a:prstGeom>
      </xdr:spPr>
    </xdr:pic>
    <xdr:clientData/>
  </xdr:twoCellAnchor>
  <xdr:twoCellAnchor editAs="oneCell">
    <xdr:from>
      <xdr:col>14</xdr:col>
      <xdr:colOff>475288</xdr:colOff>
      <xdr:row>41</xdr:row>
      <xdr:rowOff>98135</xdr:rowOff>
    </xdr:from>
    <xdr:to>
      <xdr:col>20</xdr:col>
      <xdr:colOff>283093</xdr:colOff>
      <xdr:row>56</xdr:row>
      <xdr:rowOff>63500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D929DFE0-01B4-4AFB-84CA-AC5377AC68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0646" t="39623" r="49994" b="25469"/>
        <a:stretch/>
      </xdr:blipFill>
      <xdr:spPr>
        <a:xfrm>
          <a:off x="10029152" y="7593059"/>
          <a:ext cx="4098865" cy="27074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8563</xdr:colOff>
      <xdr:row>1</xdr:row>
      <xdr:rowOff>94227</xdr:rowOff>
    </xdr:from>
    <xdr:to>
      <xdr:col>11</xdr:col>
      <xdr:colOff>153914</xdr:colOff>
      <xdr:row>11</xdr:row>
      <xdr:rowOff>167202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07276A07-EC40-4ABA-938C-CE6B9AA025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12" t="43973" r="58586" b="24590"/>
        <a:stretch/>
      </xdr:blipFill>
      <xdr:spPr>
        <a:xfrm>
          <a:off x="3122505" y="277400"/>
          <a:ext cx="3808813" cy="1904706"/>
        </a:xfrm>
        <a:prstGeom prst="rect">
          <a:avLst/>
        </a:prstGeom>
      </xdr:spPr>
    </xdr:pic>
    <xdr:clientData/>
  </xdr:twoCellAnchor>
  <xdr:twoCellAnchor editAs="oneCell">
    <xdr:from>
      <xdr:col>17</xdr:col>
      <xdr:colOff>257531</xdr:colOff>
      <xdr:row>1</xdr:row>
      <xdr:rowOff>125488</xdr:rowOff>
    </xdr:from>
    <xdr:to>
      <xdr:col>24</xdr:col>
      <xdr:colOff>96487</xdr:colOff>
      <xdr:row>12</xdr:row>
      <xdr:rowOff>52412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233829-F08A-4E28-96C1-6EA32FBCA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3388" y="306917"/>
          <a:ext cx="4093456" cy="1922638"/>
        </a:xfrm>
        <a:prstGeom prst="rect">
          <a:avLst/>
        </a:prstGeom>
      </xdr:spPr>
    </xdr:pic>
    <xdr:clientData/>
  </xdr:twoCellAnchor>
  <xdr:twoCellAnchor editAs="oneCell">
    <xdr:from>
      <xdr:col>27</xdr:col>
      <xdr:colOff>80635</xdr:colOff>
      <xdr:row>4</xdr:row>
      <xdr:rowOff>50397</xdr:rowOff>
    </xdr:from>
    <xdr:to>
      <xdr:col>34</xdr:col>
      <xdr:colOff>574524</xdr:colOff>
      <xdr:row>10</xdr:row>
      <xdr:rowOff>998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98E85C1C-71EC-41FA-BA0E-22472F921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69683" y="776111"/>
          <a:ext cx="4727222" cy="10391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64247</xdr:colOff>
      <xdr:row>12</xdr:row>
      <xdr:rowOff>103095</xdr:rowOff>
    </xdr:from>
    <xdr:to>
      <xdr:col>10</xdr:col>
      <xdr:colOff>336177</xdr:colOff>
      <xdr:row>18</xdr:row>
      <xdr:rowOff>128494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F6BDB04C-53CC-46A2-B7CC-4B07731485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696" t="67996" r="68884" b="21012"/>
        <a:stretch/>
      </xdr:blipFill>
      <xdr:spPr>
        <a:xfrm>
          <a:off x="1902012" y="2344271"/>
          <a:ext cx="4672106" cy="1145988"/>
        </a:xfrm>
        <a:prstGeom prst="rect">
          <a:avLst/>
        </a:prstGeom>
      </xdr:spPr>
    </xdr:pic>
    <xdr:clientData/>
  </xdr:twoCellAnchor>
  <xdr:twoCellAnchor editAs="oneCell">
    <xdr:from>
      <xdr:col>3</xdr:col>
      <xdr:colOff>146959</xdr:colOff>
      <xdr:row>30</xdr:row>
      <xdr:rowOff>146958</xdr:rowOff>
    </xdr:from>
    <xdr:to>
      <xdr:col>11</xdr:col>
      <xdr:colOff>136500</xdr:colOff>
      <xdr:row>37</xdr:row>
      <xdr:rowOff>96158</xdr:rowOff>
    </xdr:to>
    <xdr:pic>
      <xdr:nvPicPr>
        <xdr:cNvPr id="4" name="Gambar 3">
          <a:extLst>
            <a:ext uri="{FF2B5EF4-FFF2-40B4-BE49-F238E27FC236}">
              <a16:creationId xmlns:a16="http://schemas.microsoft.com/office/drawing/2014/main" id="{18BFA151-EEEC-4966-8049-E2061A2446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443" t="71070" r="67202" b="16739"/>
        <a:stretch/>
      </xdr:blipFill>
      <xdr:spPr>
        <a:xfrm>
          <a:off x="1970316" y="5589815"/>
          <a:ext cx="4963885" cy="12192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577850</xdr:colOff>
      <xdr:row>3</xdr:row>
      <xdr:rowOff>755650</xdr:rowOff>
    </xdr:from>
    <xdr:to>
      <xdr:col>43</xdr:col>
      <xdr:colOff>266700</xdr:colOff>
      <xdr:row>5</xdr:row>
      <xdr:rowOff>69850</xdr:rowOff>
    </xdr:to>
    <xdr:pic>
      <xdr:nvPicPr>
        <xdr:cNvPr id="8" name="Gambar 7">
          <a:extLst>
            <a:ext uri="{FF2B5EF4-FFF2-40B4-BE49-F238E27FC236}">
              <a16:creationId xmlns:a16="http://schemas.microsoft.com/office/drawing/2014/main" id="{1A1D2C00-1725-420B-A278-AB0FB3C4E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12250" y="1308100"/>
          <a:ext cx="1736725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172358</xdr:colOff>
      <xdr:row>47</xdr:row>
      <xdr:rowOff>90715</xdr:rowOff>
    </xdr:from>
    <xdr:to>
      <xdr:col>9</xdr:col>
      <xdr:colOff>248559</xdr:colOff>
      <xdr:row>55</xdr:row>
      <xdr:rowOff>141516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5FD1867E-3004-46B6-9DEF-4FA3B85CC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213" t="42082" r="70970" b="43476"/>
        <a:stretch/>
      </xdr:blipFill>
      <xdr:spPr>
        <a:xfrm>
          <a:off x="3782787" y="8617858"/>
          <a:ext cx="2507343" cy="15022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114860</xdr:colOff>
      <xdr:row>0</xdr:row>
      <xdr:rowOff>1868</xdr:rowOff>
    </xdr:from>
    <xdr:to>
      <xdr:col>15</xdr:col>
      <xdr:colOff>111696</xdr:colOff>
      <xdr:row>16</xdr:row>
      <xdr:rowOff>509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852237F2-CC48-46C1-B8B1-9460FF286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30" t="37915" r="54484" b="37753"/>
        <a:stretch/>
      </xdr:blipFill>
      <xdr:spPr>
        <a:xfrm>
          <a:off x="722646" y="1868"/>
          <a:ext cx="8977550" cy="2901498"/>
        </a:xfrm>
        <a:prstGeom prst="rect">
          <a:avLst/>
        </a:prstGeom>
      </xdr:spPr>
    </xdr:pic>
    <xdr:clientData/>
  </xdr:twoCellAnchor>
  <xdr:twoCellAnchor editAs="oneCell">
    <xdr:from>
      <xdr:col>25</xdr:col>
      <xdr:colOff>46181</xdr:colOff>
      <xdr:row>0</xdr:row>
      <xdr:rowOff>150091</xdr:rowOff>
    </xdr:from>
    <xdr:to>
      <xdr:col>29</xdr:col>
      <xdr:colOff>19213</xdr:colOff>
      <xdr:row>14</xdr:row>
      <xdr:rowOff>127001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B3AB2AB4-9709-4744-96FD-07EE115AF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536" t="38838" r="80553" b="33100"/>
        <a:stretch/>
      </xdr:blipFill>
      <xdr:spPr>
        <a:xfrm>
          <a:off x="15817272" y="150091"/>
          <a:ext cx="2420668" cy="24014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49646</xdr:colOff>
      <xdr:row>2</xdr:row>
      <xdr:rowOff>68984</xdr:rowOff>
    </xdr:from>
    <xdr:to>
      <xdr:col>10</xdr:col>
      <xdr:colOff>33771</xdr:colOff>
      <xdr:row>15</xdr:row>
      <xdr:rowOff>102601</xdr:rowOff>
    </xdr:to>
    <xdr:pic>
      <xdr:nvPicPr>
        <xdr:cNvPr id="2" name="Gambar 1">
          <a:extLst>
            <a:ext uri="{FF2B5EF4-FFF2-40B4-BE49-F238E27FC236}">
              <a16:creationId xmlns:a16="http://schemas.microsoft.com/office/drawing/2014/main" id="{0D11C88A-AA74-4949-A993-DA5FC5D5FE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66" t="37020" r="63429" b="40291"/>
        <a:stretch/>
      </xdr:blipFill>
      <xdr:spPr>
        <a:xfrm>
          <a:off x="659246" y="424584"/>
          <a:ext cx="5470525" cy="2345017"/>
        </a:xfrm>
        <a:prstGeom prst="rect">
          <a:avLst/>
        </a:prstGeom>
      </xdr:spPr>
    </xdr:pic>
    <xdr:clientData/>
  </xdr:twoCellAnchor>
  <xdr:twoCellAnchor>
    <xdr:from>
      <xdr:col>1</xdr:col>
      <xdr:colOff>176068</xdr:colOff>
      <xdr:row>16</xdr:row>
      <xdr:rowOff>166831</xdr:rowOff>
    </xdr:from>
    <xdr:to>
      <xdr:col>10</xdr:col>
      <xdr:colOff>421409</xdr:colOff>
      <xdr:row>37</xdr:row>
      <xdr:rowOff>7215</xdr:rowOff>
    </xdr:to>
    <xdr:graphicFrame macro="">
      <xdr:nvGraphicFramePr>
        <xdr:cNvPr id="3" name="Bagan 2">
          <a:extLst>
            <a:ext uri="{FF2B5EF4-FFF2-40B4-BE49-F238E27FC236}">
              <a16:creationId xmlns:a16="http://schemas.microsoft.com/office/drawing/2014/main" id="{BDEFD7CB-DA9A-44FF-BD9B-94E2ED7FB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180398</xdr:colOff>
      <xdr:row>38</xdr:row>
      <xdr:rowOff>147205</xdr:rowOff>
    </xdr:from>
    <xdr:to>
      <xdr:col>10</xdr:col>
      <xdr:colOff>425739</xdr:colOff>
      <xdr:row>58</xdr:row>
      <xdr:rowOff>162214</xdr:rowOff>
    </xdr:to>
    <xdr:graphicFrame macro="">
      <xdr:nvGraphicFramePr>
        <xdr:cNvPr id="4" name="Bagan 3">
          <a:extLst>
            <a:ext uri="{FF2B5EF4-FFF2-40B4-BE49-F238E27FC236}">
              <a16:creationId xmlns:a16="http://schemas.microsoft.com/office/drawing/2014/main" id="{636B4379-F67C-4AE2-A457-D37A7B438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278535</xdr:colOff>
      <xdr:row>2</xdr:row>
      <xdr:rowOff>50511</xdr:rowOff>
    </xdr:from>
    <xdr:to>
      <xdr:col>19</xdr:col>
      <xdr:colOff>471920</xdr:colOff>
      <xdr:row>10</xdr:row>
      <xdr:rowOff>172026</xdr:rowOff>
    </xdr:to>
    <xdr:pic>
      <xdr:nvPicPr>
        <xdr:cNvPr id="5" name="Gambar 4">
          <a:extLst>
            <a:ext uri="{FF2B5EF4-FFF2-40B4-BE49-F238E27FC236}">
              <a16:creationId xmlns:a16="http://schemas.microsoft.com/office/drawing/2014/main" id="{AA1C4A02-DD19-49E3-A127-C70A87A26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0485" y="406111"/>
          <a:ext cx="1882485" cy="1543915"/>
        </a:xfrm>
        <a:prstGeom prst="rect">
          <a:avLst/>
        </a:prstGeom>
      </xdr:spPr>
    </xdr:pic>
    <xdr:clientData/>
  </xdr:twoCellAnchor>
  <xdr:twoCellAnchor editAs="oneCell">
    <xdr:from>
      <xdr:col>21</xdr:col>
      <xdr:colOff>52160</xdr:colOff>
      <xdr:row>4</xdr:row>
      <xdr:rowOff>36285</xdr:rowOff>
    </xdr:from>
    <xdr:to>
      <xdr:col>27</xdr:col>
      <xdr:colOff>579293</xdr:colOff>
      <xdr:row>8</xdr:row>
      <xdr:rowOff>79375</xdr:rowOff>
    </xdr:to>
    <xdr:pic>
      <xdr:nvPicPr>
        <xdr:cNvPr id="6" name="Gambar 5">
          <a:extLst>
            <a:ext uri="{FF2B5EF4-FFF2-40B4-BE49-F238E27FC236}">
              <a16:creationId xmlns:a16="http://schemas.microsoft.com/office/drawing/2014/main" id="{BED20B7B-61D1-49A3-BAB5-FFDAFA6E5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26" t="22482" r="5681" b="28583"/>
        <a:stretch/>
      </xdr:blipFill>
      <xdr:spPr>
        <a:xfrm>
          <a:off x="13482410" y="747485"/>
          <a:ext cx="4184733" cy="754290"/>
        </a:xfrm>
        <a:prstGeom prst="rect">
          <a:avLst/>
        </a:prstGeom>
      </xdr:spPr>
    </xdr:pic>
    <xdr:clientData/>
  </xdr:twoCellAnchor>
  <xdr:twoCellAnchor editAs="oneCell">
    <xdr:from>
      <xdr:col>30</xdr:col>
      <xdr:colOff>63500</xdr:colOff>
      <xdr:row>2</xdr:row>
      <xdr:rowOff>92981</xdr:rowOff>
    </xdr:from>
    <xdr:to>
      <xdr:col>36</xdr:col>
      <xdr:colOff>30690</xdr:colOff>
      <xdr:row>8</xdr:row>
      <xdr:rowOff>95250</xdr:rowOff>
    </xdr:to>
    <xdr:pic>
      <xdr:nvPicPr>
        <xdr:cNvPr id="7" name="Gambar 6">
          <a:extLst>
            <a:ext uri="{FF2B5EF4-FFF2-40B4-BE49-F238E27FC236}">
              <a16:creationId xmlns:a16="http://schemas.microsoft.com/office/drawing/2014/main" id="{72DD4134-CFA6-46D9-9CEC-4396010BC7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038" r="3633" b="1453"/>
        <a:stretch/>
      </xdr:blipFill>
      <xdr:spPr>
        <a:xfrm>
          <a:off x="18980150" y="448581"/>
          <a:ext cx="4018490" cy="1069069"/>
        </a:xfrm>
        <a:prstGeom prst="rect">
          <a:avLst/>
        </a:prstGeom>
      </xdr:spPr>
    </xdr:pic>
    <xdr:clientData/>
  </xdr:twoCellAnchor>
  <xdr:twoCellAnchor editAs="oneCell">
    <xdr:from>
      <xdr:col>41</xdr:col>
      <xdr:colOff>42058</xdr:colOff>
      <xdr:row>1</xdr:row>
      <xdr:rowOff>6764</xdr:rowOff>
    </xdr:from>
    <xdr:to>
      <xdr:col>45</xdr:col>
      <xdr:colOff>32872</xdr:colOff>
      <xdr:row>8</xdr:row>
      <xdr:rowOff>143313</xdr:rowOff>
    </xdr:to>
    <xdr:pic>
      <xdr:nvPicPr>
        <xdr:cNvPr id="8" name="Gambar 7">
          <a:extLst>
            <a:ext uri="{FF2B5EF4-FFF2-40B4-BE49-F238E27FC236}">
              <a16:creationId xmlns:a16="http://schemas.microsoft.com/office/drawing/2014/main" id="{41177820-8B5B-4D43-B9CF-9F186EB38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58008" y="184564"/>
          <a:ext cx="2429214" cy="1381149"/>
        </a:xfrm>
        <a:prstGeom prst="rect">
          <a:avLst/>
        </a:prstGeom>
      </xdr:spPr>
    </xdr:pic>
    <xdr:clientData/>
  </xdr:twoCellAnchor>
  <xdr:twoCellAnchor editAs="oneCell">
    <xdr:from>
      <xdr:col>24</xdr:col>
      <xdr:colOff>11340</xdr:colOff>
      <xdr:row>66</xdr:row>
      <xdr:rowOff>16327</xdr:rowOff>
    </xdr:from>
    <xdr:to>
      <xdr:col>26</xdr:col>
      <xdr:colOff>563129</xdr:colOff>
      <xdr:row>74</xdr:row>
      <xdr:rowOff>98184</xdr:rowOff>
    </xdr:to>
    <xdr:pic>
      <xdr:nvPicPr>
        <xdr:cNvPr id="9" name="Gambar 8">
          <a:extLst>
            <a:ext uri="{FF2B5EF4-FFF2-40B4-BE49-F238E27FC236}">
              <a16:creationId xmlns:a16="http://schemas.microsoft.com/office/drawing/2014/main" id="{59B3FF89-680C-41BC-B915-15001AAA0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70390" y="11751127"/>
          <a:ext cx="1770989" cy="1504257"/>
        </a:xfrm>
        <a:prstGeom prst="rect">
          <a:avLst/>
        </a:prstGeom>
      </xdr:spPr>
    </xdr:pic>
    <xdr:clientData/>
  </xdr:twoCellAnchor>
  <xdr:twoCellAnchor editAs="oneCell">
    <xdr:from>
      <xdr:col>18</xdr:col>
      <xdr:colOff>29482</xdr:colOff>
      <xdr:row>66</xdr:row>
      <xdr:rowOff>74840</xdr:rowOff>
    </xdr:from>
    <xdr:to>
      <xdr:col>23</xdr:col>
      <xdr:colOff>117826</xdr:colOff>
      <xdr:row>69</xdr:row>
      <xdr:rowOff>129269</xdr:rowOff>
    </xdr:to>
    <xdr:pic>
      <xdr:nvPicPr>
        <xdr:cNvPr id="10" name="Gambar 9">
          <a:extLst>
            <a:ext uri="{FF2B5EF4-FFF2-40B4-BE49-F238E27FC236}">
              <a16:creationId xmlns:a16="http://schemas.microsoft.com/office/drawing/2014/main" id="{4BFA2BAA-9C5C-42A5-8913-52E0F1CE1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6955"/>
        <a:stretch/>
      </xdr:blipFill>
      <xdr:spPr>
        <a:xfrm>
          <a:off x="11497582" y="11809640"/>
          <a:ext cx="3269694" cy="587829"/>
        </a:xfrm>
        <a:prstGeom prst="rect">
          <a:avLst/>
        </a:prstGeom>
      </xdr:spPr>
    </xdr:pic>
    <xdr:clientData/>
  </xdr:twoCellAnchor>
  <xdr:twoCellAnchor editAs="oneCell">
    <xdr:from>
      <xdr:col>23</xdr:col>
      <xdr:colOff>111126</xdr:colOff>
      <xdr:row>51</xdr:row>
      <xdr:rowOff>127000</xdr:rowOff>
    </xdr:from>
    <xdr:to>
      <xdr:col>26</xdr:col>
      <xdr:colOff>301626</xdr:colOff>
      <xdr:row>58</xdr:row>
      <xdr:rowOff>51102</xdr:rowOff>
    </xdr:to>
    <xdr:pic>
      <xdr:nvPicPr>
        <xdr:cNvPr id="11" name="Gambar 10">
          <a:extLst>
            <a:ext uri="{FF2B5EF4-FFF2-40B4-BE49-F238E27FC236}">
              <a16:creationId xmlns:a16="http://schemas.microsoft.com/office/drawing/2014/main" id="{4C43922D-1FE8-435D-84EC-6FC0E7F6DF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6983" r="43858"/>
        <a:stretch/>
      </xdr:blipFill>
      <xdr:spPr>
        <a:xfrm>
          <a:off x="14760576" y="9194800"/>
          <a:ext cx="2019300" cy="1168702"/>
        </a:xfrm>
        <a:prstGeom prst="rect">
          <a:avLst/>
        </a:prstGeom>
      </xdr:spPr>
    </xdr:pic>
    <xdr:clientData/>
  </xdr:twoCellAnchor>
  <xdr:twoCellAnchor editAs="oneCell">
    <xdr:from>
      <xdr:col>17</xdr:col>
      <xdr:colOff>904875</xdr:colOff>
      <xdr:row>51</xdr:row>
      <xdr:rowOff>79375</xdr:rowOff>
    </xdr:from>
    <xdr:to>
      <xdr:col>22</xdr:col>
      <xdr:colOff>587375</xdr:colOff>
      <xdr:row>55</xdr:row>
      <xdr:rowOff>0</xdr:rowOff>
    </xdr:to>
    <xdr:pic>
      <xdr:nvPicPr>
        <xdr:cNvPr id="12" name="Gambar 11">
          <a:extLst>
            <a:ext uri="{FF2B5EF4-FFF2-40B4-BE49-F238E27FC236}">
              <a16:creationId xmlns:a16="http://schemas.microsoft.com/office/drawing/2014/main" id="{46D02EFE-F5DD-4998-907E-F8B44A85B6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71" t="4698" r="4470" b="66671"/>
        <a:stretch/>
      </xdr:blipFill>
      <xdr:spPr>
        <a:xfrm>
          <a:off x="11426825" y="9147175"/>
          <a:ext cx="3200400" cy="631825"/>
        </a:xfrm>
        <a:prstGeom prst="rect">
          <a:avLst/>
        </a:prstGeom>
      </xdr:spPr>
    </xdr:pic>
    <xdr:clientData/>
  </xdr:twoCellAnchor>
  <xdr:twoCellAnchor editAs="oneCell">
    <xdr:from>
      <xdr:col>17</xdr:col>
      <xdr:colOff>889001</xdr:colOff>
      <xdr:row>37</xdr:row>
      <xdr:rowOff>15875</xdr:rowOff>
    </xdr:from>
    <xdr:to>
      <xdr:col>21</xdr:col>
      <xdr:colOff>492126</xdr:colOff>
      <xdr:row>38</xdr:row>
      <xdr:rowOff>147375</xdr:rowOff>
    </xdr:to>
    <xdr:pic>
      <xdr:nvPicPr>
        <xdr:cNvPr id="13" name="Gambar 12">
          <a:extLst>
            <a:ext uri="{FF2B5EF4-FFF2-40B4-BE49-F238E27FC236}">
              <a16:creationId xmlns:a16="http://schemas.microsoft.com/office/drawing/2014/main" id="{BF664026-8201-4DC2-8379-26815CB8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10951" y="6594475"/>
          <a:ext cx="2511425" cy="309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389971</xdr:colOff>
      <xdr:row>36</xdr:row>
      <xdr:rowOff>138042</xdr:rowOff>
    </xdr:from>
    <xdr:to>
      <xdr:col>26</xdr:col>
      <xdr:colOff>514311</xdr:colOff>
      <xdr:row>47</xdr:row>
      <xdr:rowOff>55216</xdr:rowOff>
    </xdr:to>
    <xdr:pic>
      <xdr:nvPicPr>
        <xdr:cNvPr id="14" name="Gambar 13">
          <a:extLst>
            <a:ext uri="{FF2B5EF4-FFF2-40B4-BE49-F238E27FC236}">
              <a16:creationId xmlns:a16="http://schemas.microsoft.com/office/drawing/2014/main" id="{89901343-2B03-45B8-AC56-599DFCCE89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18" t="50902" r="37388" b="12272"/>
        <a:stretch/>
      </xdr:blipFill>
      <xdr:spPr>
        <a:xfrm>
          <a:off x="14429821" y="6538842"/>
          <a:ext cx="2562740" cy="1872974"/>
        </a:xfrm>
        <a:prstGeom prst="rect">
          <a:avLst/>
        </a:prstGeom>
      </xdr:spPr>
    </xdr:pic>
    <xdr:clientData/>
  </xdr:twoCellAnchor>
  <xdr:twoCellAnchor editAs="oneCell">
    <xdr:from>
      <xdr:col>27</xdr:col>
      <xdr:colOff>254000</xdr:colOff>
      <xdr:row>37</xdr:row>
      <xdr:rowOff>18143</xdr:rowOff>
    </xdr:from>
    <xdr:to>
      <xdr:col>34</xdr:col>
      <xdr:colOff>18143</xdr:colOff>
      <xdr:row>47</xdr:row>
      <xdr:rowOff>145142</xdr:rowOff>
    </xdr:to>
    <xdr:pic>
      <xdr:nvPicPr>
        <xdr:cNvPr id="15" name="Gambar 14">
          <a:extLst>
            <a:ext uri="{FF2B5EF4-FFF2-40B4-BE49-F238E27FC236}">
              <a16:creationId xmlns:a16="http://schemas.microsoft.com/office/drawing/2014/main" id="{20029303-AFBB-487A-985F-E149C943BF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2" t="41529" r="25903" b="15732"/>
        <a:stretch/>
      </xdr:blipFill>
      <xdr:spPr>
        <a:xfrm>
          <a:off x="17341850" y="6596743"/>
          <a:ext cx="4031343" cy="1904999"/>
        </a:xfrm>
        <a:prstGeom prst="rect">
          <a:avLst/>
        </a:prstGeom>
      </xdr:spPr>
    </xdr:pic>
    <xdr:clientData/>
  </xdr:twoCellAnchor>
  <xdr:twoCellAnchor editAs="oneCell">
    <xdr:from>
      <xdr:col>35</xdr:col>
      <xdr:colOff>54428</xdr:colOff>
      <xdr:row>38</xdr:row>
      <xdr:rowOff>45357</xdr:rowOff>
    </xdr:from>
    <xdr:to>
      <xdr:col>36</xdr:col>
      <xdr:colOff>164423</xdr:colOff>
      <xdr:row>48</xdr:row>
      <xdr:rowOff>18143</xdr:rowOff>
    </xdr:to>
    <xdr:pic>
      <xdr:nvPicPr>
        <xdr:cNvPr id="16" name="Gambar 15">
          <a:extLst>
            <a:ext uri="{FF2B5EF4-FFF2-40B4-BE49-F238E27FC236}">
              <a16:creationId xmlns:a16="http://schemas.microsoft.com/office/drawing/2014/main" id="{4E8B9551-123C-45B8-A984-8E855BB8A7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26" t="42519" r="55805" b="39906"/>
        <a:stretch/>
      </xdr:blipFill>
      <xdr:spPr>
        <a:xfrm>
          <a:off x="22019078" y="6801757"/>
          <a:ext cx="1113295" cy="1750786"/>
        </a:xfrm>
        <a:prstGeom prst="rect">
          <a:avLst/>
        </a:prstGeom>
      </xdr:spPr>
    </xdr:pic>
    <xdr:clientData/>
  </xdr:twoCellAnchor>
  <xdr:twoCellAnchor editAs="oneCell">
    <xdr:from>
      <xdr:col>27</xdr:col>
      <xdr:colOff>558800</xdr:colOff>
      <xdr:row>52</xdr:row>
      <xdr:rowOff>101600</xdr:rowOff>
    </xdr:from>
    <xdr:to>
      <xdr:col>44</xdr:col>
      <xdr:colOff>457200</xdr:colOff>
      <xdr:row>77</xdr:row>
      <xdr:rowOff>76590</xdr:rowOff>
    </xdr:to>
    <xdr:pic>
      <xdr:nvPicPr>
        <xdr:cNvPr id="17" name="Gambar 16">
          <a:extLst>
            <a:ext uri="{FF2B5EF4-FFF2-40B4-BE49-F238E27FC236}">
              <a16:creationId xmlns:a16="http://schemas.microsoft.com/office/drawing/2014/main" id="{9CC26470-C989-4C60-8647-3882361417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3333" t="42475" r="42354" b="17520"/>
        <a:stretch/>
      </xdr:blipFill>
      <xdr:spPr>
        <a:xfrm>
          <a:off x="17627600" y="9347200"/>
          <a:ext cx="10668000" cy="44199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416339</xdr:colOff>
      <xdr:row>4</xdr:row>
      <xdr:rowOff>28895</xdr:rowOff>
    </xdr:from>
    <xdr:to>
      <xdr:col>17</xdr:col>
      <xdr:colOff>232782</xdr:colOff>
      <xdr:row>10</xdr:row>
      <xdr:rowOff>93133</xdr:rowOff>
    </xdr:to>
    <xdr:pic>
      <xdr:nvPicPr>
        <xdr:cNvPr id="3" name="Gambar 2">
          <a:extLst>
            <a:ext uri="{FF2B5EF4-FFF2-40B4-BE49-F238E27FC236}">
              <a16:creationId xmlns:a16="http://schemas.microsoft.com/office/drawing/2014/main" id="{77126522-FDF0-4832-B022-593C41691B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286"/>
        <a:stretch/>
      </xdr:blipFill>
      <xdr:spPr>
        <a:xfrm>
          <a:off x="4725872" y="740095"/>
          <a:ext cx="7038510" cy="1131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8BF0-4F8F-4A01-BAE6-38C82F6D1DB5}">
  <dimension ref="C4:AC160"/>
  <sheetViews>
    <sheetView tabSelected="1" zoomScale="61" zoomScaleNormal="85" workbookViewId="0">
      <selection activeCell="O26" sqref="O26"/>
    </sheetView>
  </sheetViews>
  <sheetFormatPr defaultRowHeight="14.5" x14ac:dyDescent="0.35"/>
  <cols>
    <col min="1" max="1" width="8.7265625" style="1"/>
    <col min="2" max="3" width="8.81640625" style="1" bestFit="1" customWidth="1"/>
    <col min="4" max="4" width="9" style="1" bestFit="1" customWidth="1"/>
    <col min="5" max="5" width="8.90625" style="1" bestFit="1" customWidth="1"/>
    <col min="6" max="6" width="12.453125" style="1" bestFit="1" customWidth="1"/>
    <col min="7" max="8" width="8.7265625" style="1"/>
    <col min="9" max="9" width="9" style="1" bestFit="1" customWidth="1"/>
    <col min="10" max="10" width="11.36328125" style="1" bestFit="1" customWidth="1"/>
    <col min="11" max="11" width="12.453125" style="1" bestFit="1" customWidth="1"/>
    <col min="12" max="12" width="9" style="1" bestFit="1" customWidth="1"/>
    <col min="13" max="13" width="12.453125" style="1" bestFit="1" customWidth="1"/>
    <col min="14" max="14" width="8.7265625" style="1"/>
    <col min="15" max="16" width="8.81640625" style="1" bestFit="1" customWidth="1"/>
    <col min="17" max="17" width="9.08984375" style="1" bestFit="1" customWidth="1"/>
    <col min="18" max="18" width="11.08984375" style="1" bestFit="1" customWidth="1"/>
    <col min="19" max="19" width="12.453125" style="1" bestFit="1" customWidth="1"/>
    <col min="20" max="20" width="11.08984375" style="1" customWidth="1"/>
    <col min="21" max="21" width="12.453125" style="1" bestFit="1" customWidth="1"/>
    <col min="22" max="23" width="8.81640625" style="1" bestFit="1" customWidth="1"/>
    <col min="24" max="24" width="8.7265625" style="1"/>
    <col min="25" max="26" width="8.81640625" style="1" bestFit="1" customWidth="1"/>
    <col min="27" max="16384" width="8.7265625" style="1"/>
  </cols>
  <sheetData>
    <row r="4" spans="4:29" x14ac:dyDescent="0.35">
      <c r="T4" s="1" t="s">
        <v>21</v>
      </c>
    </row>
    <row r="5" spans="4:29" x14ac:dyDescent="0.35">
      <c r="T5" s="1">
        <v>1.645</v>
      </c>
    </row>
    <row r="13" spans="4:29" x14ac:dyDescent="0.35">
      <c r="E13" s="1" t="s">
        <v>5</v>
      </c>
      <c r="K13" s="1" t="s">
        <v>6</v>
      </c>
      <c r="S13" s="1" t="s">
        <v>7</v>
      </c>
      <c r="T13" s="2" t="s">
        <v>11</v>
      </c>
      <c r="AA13" s="1" t="s">
        <v>7</v>
      </c>
      <c r="AB13" s="2" t="s">
        <v>13</v>
      </c>
    </row>
    <row r="15" spans="4:29" x14ac:dyDescent="0.35">
      <c r="D15" s="4" t="s">
        <v>0</v>
      </c>
      <c r="E15" s="4" t="s">
        <v>1</v>
      </c>
      <c r="F15" s="4" t="s">
        <v>2</v>
      </c>
      <c r="I15" s="4" t="s">
        <v>0</v>
      </c>
      <c r="J15" s="4" t="s">
        <v>1</v>
      </c>
      <c r="K15" s="4" t="s">
        <v>2</v>
      </c>
      <c r="L15" s="4" t="s">
        <v>3</v>
      </c>
      <c r="M15" s="4" t="s">
        <v>4</v>
      </c>
      <c r="Q15" s="4" t="s">
        <v>0</v>
      </c>
      <c r="R15" s="4" t="s">
        <v>1</v>
      </c>
      <c r="S15" s="4" t="s">
        <v>2</v>
      </c>
      <c r="T15" s="4" t="s">
        <v>3</v>
      </c>
      <c r="U15" s="4" t="s">
        <v>4</v>
      </c>
      <c r="Y15" s="4" t="s">
        <v>0</v>
      </c>
      <c r="Z15" s="4" t="s">
        <v>1</v>
      </c>
      <c r="AA15" s="4" t="s">
        <v>2</v>
      </c>
      <c r="AB15" s="4" t="s">
        <v>3</v>
      </c>
      <c r="AC15" s="4" t="s">
        <v>4</v>
      </c>
    </row>
    <row r="16" spans="4:29" x14ac:dyDescent="0.35">
      <c r="D16" s="5">
        <v>0</v>
      </c>
      <c r="E16" s="5">
        <v>0</v>
      </c>
      <c r="F16" s="5">
        <f>0.2+25*E16-200*E16^2+675*E16^3-900*E16^4+400*E16^5</f>
        <v>0.2</v>
      </c>
      <c r="I16" s="5">
        <v>0</v>
      </c>
      <c r="J16" s="5">
        <v>0</v>
      </c>
      <c r="K16" s="5">
        <f>0.2+25*J16-200*J16^2+675*J16^3-900*J16^4+400*J16^5</f>
        <v>0.2</v>
      </c>
      <c r="L16" s="5">
        <v>1</v>
      </c>
      <c r="M16" s="5">
        <f>K16*L16</f>
        <v>0.2</v>
      </c>
      <c r="Q16" s="5">
        <v>0</v>
      </c>
      <c r="R16" s="5">
        <v>0</v>
      </c>
      <c r="S16" s="5">
        <f>0.2+25*R16-200*R16^2+675*R16^3-900*R16^4+400*R16^5</f>
        <v>0.2</v>
      </c>
      <c r="T16" s="5">
        <v>1</v>
      </c>
      <c r="U16" s="5">
        <f>S16*T16</f>
        <v>0.2</v>
      </c>
      <c r="Y16" s="5">
        <v>0</v>
      </c>
      <c r="Z16" s="5">
        <v>0</v>
      </c>
      <c r="AA16" s="5">
        <f>0.2+25*Z16-200*Z16^2+675*Z16^3-900*Z16^4+400*Z16^5</f>
        <v>0.2</v>
      </c>
      <c r="AB16" s="5">
        <v>1</v>
      </c>
      <c r="AC16" s="5">
        <f>AA16*AB16</f>
        <v>0.2</v>
      </c>
    </row>
    <row r="17" spans="3:29" x14ac:dyDescent="0.35">
      <c r="D17" s="5">
        <v>1</v>
      </c>
      <c r="E17" s="5">
        <v>0.1</v>
      </c>
      <c r="F17" s="5">
        <f t="shared" ref="F17:F24" si="0">0.2+25*E17-200*E17^2+675*E17^3-900*E17^4+400*E17^5</f>
        <v>1.2889999999999999</v>
      </c>
      <c r="I17" s="5">
        <v>1</v>
      </c>
      <c r="J17" s="5">
        <v>0.1</v>
      </c>
      <c r="K17" s="5">
        <f>0.2+25*J17-200*J17^2+675*J17^3-900*J17^4+400*J17^5</f>
        <v>1.2889999999999999</v>
      </c>
      <c r="L17" s="5">
        <v>2</v>
      </c>
      <c r="M17" s="5">
        <f t="shared" ref="M17:M24" si="1">K17*L17</f>
        <v>2.5779999999999998</v>
      </c>
      <c r="Q17" s="5">
        <v>1</v>
      </c>
      <c r="R17" s="5">
        <v>0.1</v>
      </c>
      <c r="S17" s="5">
        <f t="shared" ref="S17:S24" si="2">0.2+25*R17-200*R17^2+675*R17^3-900*R17^4+400*R17^5</f>
        <v>1.2889999999999999</v>
      </c>
      <c r="T17" s="5">
        <v>4</v>
      </c>
      <c r="U17" s="5">
        <f t="shared" ref="U17:U24" si="3">S17*T17</f>
        <v>5.1559999999999997</v>
      </c>
      <c r="Y17" s="5">
        <v>1</v>
      </c>
      <c r="Z17" s="5">
        <v>0.1</v>
      </c>
      <c r="AA17" s="5">
        <f t="shared" ref="AA17:AA24" si="4">0.2+25*Z17-200*Z17^2+675*Z17^3-900*Z17^4+400*Z17^5</f>
        <v>1.2889999999999999</v>
      </c>
      <c r="AB17" s="5">
        <v>3</v>
      </c>
      <c r="AC17" s="5">
        <f t="shared" ref="AC17:AC24" si="5">AA17*AB17</f>
        <v>3.867</v>
      </c>
    </row>
    <row r="18" spans="3:29" x14ac:dyDescent="0.35">
      <c r="D18" s="5">
        <v>2</v>
      </c>
      <c r="E18" s="5">
        <v>0.2</v>
      </c>
      <c r="F18" s="5">
        <f t="shared" si="0"/>
        <v>1.2879999999999991</v>
      </c>
      <c r="I18" s="5">
        <v>2</v>
      </c>
      <c r="J18" s="5">
        <v>0.2</v>
      </c>
      <c r="K18" s="5">
        <f t="shared" ref="K18:K24" si="6">0.2+25*J18-200*J18^2+675*J18^3-900*J18^4+400*J18^5</f>
        <v>1.2879999999999991</v>
      </c>
      <c r="L18" s="5">
        <v>2</v>
      </c>
      <c r="M18" s="5">
        <f t="shared" si="1"/>
        <v>2.5759999999999983</v>
      </c>
      <c r="Q18" s="5">
        <v>2</v>
      </c>
      <c r="R18" s="5">
        <v>0.2</v>
      </c>
      <c r="S18" s="5">
        <f t="shared" si="2"/>
        <v>1.2879999999999991</v>
      </c>
      <c r="T18" s="5">
        <v>2</v>
      </c>
      <c r="U18" s="5">
        <f t="shared" si="3"/>
        <v>2.5759999999999983</v>
      </c>
      <c r="Y18" s="5">
        <v>2</v>
      </c>
      <c r="Z18" s="5">
        <v>0.2</v>
      </c>
      <c r="AA18" s="5">
        <f t="shared" si="4"/>
        <v>1.2879999999999991</v>
      </c>
      <c r="AB18" s="5">
        <v>3</v>
      </c>
      <c r="AC18" s="5">
        <f t="shared" si="5"/>
        <v>3.8639999999999972</v>
      </c>
    </row>
    <row r="19" spans="3:29" x14ac:dyDescent="0.35">
      <c r="D19" s="5">
        <v>3</v>
      </c>
      <c r="E19" s="5">
        <v>0.3</v>
      </c>
      <c r="F19" s="5">
        <f t="shared" si="0"/>
        <v>1.6070000000000007</v>
      </c>
      <c r="I19" s="5">
        <v>3</v>
      </c>
      <c r="J19" s="5">
        <v>0.3</v>
      </c>
      <c r="K19" s="5">
        <f t="shared" si="6"/>
        <v>1.6070000000000007</v>
      </c>
      <c r="L19" s="5">
        <v>2</v>
      </c>
      <c r="M19" s="5">
        <f t="shared" si="1"/>
        <v>3.2140000000000013</v>
      </c>
      <c r="Q19" s="5">
        <v>3</v>
      </c>
      <c r="R19" s="5">
        <v>0.3</v>
      </c>
      <c r="S19" s="5">
        <f t="shared" si="2"/>
        <v>1.6070000000000007</v>
      </c>
      <c r="T19" s="5">
        <v>4</v>
      </c>
      <c r="U19" s="5">
        <f t="shared" si="3"/>
        <v>6.4280000000000026</v>
      </c>
      <c r="Y19" s="5">
        <v>3</v>
      </c>
      <c r="Z19" s="5">
        <v>0.3</v>
      </c>
      <c r="AA19" s="5">
        <f t="shared" si="4"/>
        <v>1.6070000000000007</v>
      </c>
      <c r="AB19" s="5">
        <v>2</v>
      </c>
      <c r="AC19" s="5">
        <f t="shared" si="5"/>
        <v>3.2140000000000013</v>
      </c>
    </row>
    <row r="20" spans="3:29" x14ac:dyDescent="0.35">
      <c r="D20" s="5">
        <v>4</v>
      </c>
      <c r="E20" s="5">
        <v>0.4</v>
      </c>
      <c r="F20" s="5">
        <f t="shared" si="0"/>
        <v>2.4559999999999951</v>
      </c>
      <c r="I20" s="5">
        <v>4</v>
      </c>
      <c r="J20" s="5">
        <v>0.4</v>
      </c>
      <c r="K20" s="5">
        <f t="shared" si="6"/>
        <v>2.4559999999999951</v>
      </c>
      <c r="L20" s="5">
        <v>2</v>
      </c>
      <c r="M20" s="5">
        <f t="shared" si="1"/>
        <v>4.9119999999999902</v>
      </c>
      <c r="Q20" s="5">
        <v>4</v>
      </c>
      <c r="R20" s="5">
        <v>0.4</v>
      </c>
      <c r="S20" s="5">
        <f t="shared" si="2"/>
        <v>2.4559999999999951</v>
      </c>
      <c r="T20" s="5">
        <v>2</v>
      </c>
      <c r="U20" s="5">
        <f t="shared" si="3"/>
        <v>4.9119999999999902</v>
      </c>
      <c r="Y20" s="5">
        <v>4</v>
      </c>
      <c r="Z20" s="5">
        <v>0.4</v>
      </c>
      <c r="AA20" s="5">
        <f t="shared" si="4"/>
        <v>2.4559999999999951</v>
      </c>
      <c r="AB20" s="5">
        <v>3</v>
      </c>
      <c r="AC20" s="5">
        <f t="shared" si="5"/>
        <v>7.3679999999999852</v>
      </c>
    </row>
    <row r="21" spans="3:29" x14ac:dyDescent="0.35">
      <c r="D21" s="5">
        <v>5</v>
      </c>
      <c r="E21" s="5">
        <v>0.5</v>
      </c>
      <c r="F21" s="5">
        <f t="shared" si="0"/>
        <v>3.3250000000000028</v>
      </c>
      <c r="I21" s="5">
        <v>5</v>
      </c>
      <c r="J21" s="5">
        <v>0.5</v>
      </c>
      <c r="K21" s="5">
        <f t="shared" si="6"/>
        <v>3.3250000000000028</v>
      </c>
      <c r="L21" s="5">
        <v>2</v>
      </c>
      <c r="M21" s="5">
        <f t="shared" si="1"/>
        <v>6.6500000000000057</v>
      </c>
      <c r="Q21" s="5">
        <v>5</v>
      </c>
      <c r="R21" s="5">
        <v>0.5</v>
      </c>
      <c r="S21" s="5">
        <f t="shared" si="2"/>
        <v>3.3250000000000028</v>
      </c>
      <c r="T21" s="5">
        <v>4</v>
      </c>
      <c r="U21" s="5">
        <f t="shared" si="3"/>
        <v>13.300000000000011</v>
      </c>
      <c r="Y21" s="5">
        <v>5</v>
      </c>
      <c r="Z21" s="5">
        <v>0.5</v>
      </c>
      <c r="AA21" s="5">
        <f t="shared" si="4"/>
        <v>3.3250000000000028</v>
      </c>
      <c r="AB21" s="5">
        <v>3</v>
      </c>
      <c r="AC21" s="5">
        <f t="shared" si="5"/>
        <v>9.9750000000000085</v>
      </c>
    </row>
    <row r="22" spans="3:29" x14ac:dyDescent="0.35">
      <c r="D22" s="5">
        <v>6</v>
      </c>
      <c r="E22" s="5">
        <v>0.6</v>
      </c>
      <c r="F22" s="5">
        <f t="shared" si="0"/>
        <v>3.4640000000000128</v>
      </c>
      <c r="I22" s="5">
        <v>6</v>
      </c>
      <c r="J22" s="5">
        <v>0.6</v>
      </c>
      <c r="K22" s="5">
        <f t="shared" si="6"/>
        <v>3.4640000000000128</v>
      </c>
      <c r="L22" s="5">
        <v>2</v>
      </c>
      <c r="M22" s="5">
        <f t="shared" si="1"/>
        <v>6.9280000000000257</v>
      </c>
      <c r="Q22" s="5">
        <v>6</v>
      </c>
      <c r="R22" s="5">
        <v>0.6</v>
      </c>
      <c r="S22" s="5">
        <f t="shared" si="2"/>
        <v>3.4640000000000128</v>
      </c>
      <c r="T22" s="5">
        <v>2</v>
      </c>
      <c r="U22" s="5">
        <f t="shared" si="3"/>
        <v>6.9280000000000257</v>
      </c>
      <c r="Y22" s="5">
        <v>6</v>
      </c>
      <c r="Z22" s="5">
        <v>0.6</v>
      </c>
      <c r="AA22" s="5">
        <f t="shared" si="4"/>
        <v>3.4640000000000128</v>
      </c>
      <c r="AB22" s="5">
        <v>2</v>
      </c>
      <c r="AC22" s="5">
        <f t="shared" si="5"/>
        <v>6.9280000000000257</v>
      </c>
    </row>
    <row r="23" spans="3:29" x14ac:dyDescent="0.35">
      <c r="D23" s="5">
        <v>7</v>
      </c>
      <c r="E23" s="5">
        <v>0.7</v>
      </c>
      <c r="F23" s="5">
        <f t="shared" si="0"/>
        <v>2.363000000000028</v>
      </c>
      <c r="I23" s="5">
        <v>7</v>
      </c>
      <c r="J23" s="5">
        <v>0.7</v>
      </c>
      <c r="K23" s="5">
        <f t="shared" si="6"/>
        <v>2.363000000000028</v>
      </c>
      <c r="L23" s="5">
        <v>2</v>
      </c>
      <c r="M23" s="5">
        <f t="shared" si="1"/>
        <v>4.7260000000000559</v>
      </c>
      <c r="Q23" s="5">
        <v>7</v>
      </c>
      <c r="R23" s="5">
        <v>0.7</v>
      </c>
      <c r="S23" s="5">
        <f t="shared" si="2"/>
        <v>2.363000000000028</v>
      </c>
      <c r="T23" s="5">
        <v>4</v>
      </c>
      <c r="U23" s="5">
        <f t="shared" si="3"/>
        <v>9.4520000000001119</v>
      </c>
      <c r="Y23" s="5">
        <v>7</v>
      </c>
      <c r="Z23" s="5">
        <v>0.7</v>
      </c>
      <c r="AA23" s="5">
        <f t="shared" si="4"/>
        <v>2.363000000000028</v>
      </c>
      <c r="AB23" s="5">
        <v>3</v>
      </c>
      <c r="AC23" s="5">
        <f t="shared" si="5"/>
        <v>7.0890000000000839</v>
      </c>
    </row>
    <row r="24" spans="3:29" x14ac:dyDescent="0.35">
      <c r="D24" s="5">
        <v>8</v>
      </c>
      <c r="E24" s="5">
        <v>0.8</v>
      </c>
      <c r="F24" s="5">
        <f t="shared" si="0"/>
        <v>0.23199999999999932</v>
      </c>
      <c r="I24" s="5">
        <v>8</v>
      </c>
      <c r="J24" s="5">
        <v>0.8</v>
      </c>
      <c r="K24" s="5">
        <f t="shared" si="6"/>
        <v>0.23199999999999932</v>
      </c>
      <c r="L24" s="5">
        <v>1</v>
      </c>
      <c r="M24" s="5">
        <f t="shared" si="1"/>
        <v>0.23199999999999932</v>
      </c>
      <c r="Q24" s="5">
        <v>8</v>
      </c>
      <c r="R24" s="5">
        <v>0.8</v>
      </c>
      <c r="S24" s="5">
        <f t="shared" si="2"/>
        <v>0.23199999999999932</v>
      </c>
      <c r="T24" s="5">
        <v>1</v>
      </c>
      <c r="U24" s="5">
        <f t="shared" si="3"/>
        <v>0.23199999999999932</v>
      </c>
      <c r="Y24" s="5">
        <v>8</v>
      </c>
      <c r="Z24" s="5">
        <v>0.8</v>
      </c>
      <c r="AA24" s="5">
        <f t="shared" si="4"/>
        <v>0.23199999999999932</v>
      </c>
      <c r="AB24" s="5">
        <v>1</v>
      </c>
      <c r="AC24" s="5">
        <f t="shared" si="5"/>
        <v>0.23199999999999932</v>
      </c>
    </row>
    <row r="26" spans="3:29" x14ac:dyDescent="0.35">
      <c r="F26" s="1">
        <f>SUM(F16:F24)</f>
        <v>16.224000000000039</v>
      </c>
      <c r="J26" s="1" t="s">
        <v>9</v>
      </c>
      <c r="M26" s="1">
        <f>SUM(M16:M24)</f>
        <v>32.016000000000076</v>
      </c>
      <c r="R26" s="1" t="s">
        <v>9</v>
      </c>
      <c r="U26" s="1">
        <f>SUM(U16:U24)</f>
        <v>49.18400000000014</v>
      </c>
      <c r="Z26" s="1" t="s">
        <v>9</v>
      </c>
      <c r="AC26" s="1">
        <f>SUM(AC16:AC24)</f>
        <v>42.737000000000101</v>
      </c>
    </row>
    <row r="27" spans="3:29" x14ac:dyDescent="0.35">
      <c r="C27" s="1" t="s">
        <v>8</v>
      </c>
      <c r="D27" s="1">
        <f>0.8/8</f>
        <v>0.1</v>
      </c>
      <c r="F27" s="3">
        <f>0.1*F26</f>
        <v>1.6224000000000041</v>
      </c>
      <c r="J27" s="1" t="s">
        <v>8</v>
      </c>
      <c r="K27" s="1">
        <f>(0.8)/8</f>
        <v>0.1</v>
      </c>
      <c r="M27" s="3">
        <f>M26*K27/2</f>
        <v>1.600800000000004</v>
      </c>
      <c r="R27" s="1" t="s">
        <v>8</v>
      </c>
      <c r="S27" s="1">
        <f>(0.8)/8</f>
        <v>0.1</v>
      </c>
      <c r="U27" s="3">
        <f>U26*S27/3</f>
        <v>1.6394666666666715</v>
      </c>
      <c r="Z27" s="1" t="s">
        <v>8</v>
      </c>
      <c r="AA27" s="1">
        <f>(0.8)/8</f>
        <v>0.1</v>
      </c>
      <c r="AC27" s="3">
        <f>3*AC26*AA27/8</f>
        <v>1.6026375000000037</v>
      </c>
    </row>
    <row r="28" spans="3:29" x14ac:dyDescent="0.35">
      <c r="C28" s="1" t="s">
        <v>22</v>
      </c>
      <c r="D28" s="1">
        <f>ABS(F27-$T$5)/$T$5*100</f>
        <v>1.3738601823705749</v>
      </c>
      <c r="E28" s="1" t="s">
        <v>23</v>
      </c>
      <c r="J28" s="1" t="s">
        <v>22</v>
      </c>
      <c r="K28" s="1">
        <f>ABS(M27-$T$5)/$T$5*100</f>
        <v>2.6869300911851681</v>
      </c>
      <c r="L28" s="1" t="s">
        <v>23</v>
      </c>
      <c r="R28" s="1" t="s">
        <v>22</v>
      </c>
      <c r="S28" s="1">
        <f>ABS(U27-$T$5)/$T$5*100</f>
        <v>0.33637284701085135</v>
      </c>
      <c r="T28" s="1" t="s">
        <v>23</v>
      </c>
      <c r="Z28" s="1" t="s">
        <v>22</v>
      </c>
      <c r="AA28" s="1">
        <f>ABS(AC27-$T$5)/$T$5*100</f>
        <v>2.5752279635256112</v>
      </c>
      <c r="AB28" s="1" t="s">
        <v>23</v>
      </c>
    </row>
    <row r="32" spans="3:29" x14ac:dyDescent="0.35">
      <c r="I32" s="7" t="s">
        <v>0</v>
      </c>
      <c r="J32" s="7" t="s">
        <v>1</v>
      </c>
      <c r="K32" s="7" t="s">
        <v>2</v>
      </c>
      <c r="L32" s="7" t="s">
        <v>3</v>
      </c>
      <c r="M32" s="7" t="s">
        <v>4</v>
      </c>
      <c r="Q32" s="7" t="s">
        <v>0</v>
      </c>
      <c r="R32" s="7" t="s">
        <v>1</v>
      </c>
      <c r="S32" s="7" t="s">
        <v>2</v>
      </c>
      <c r="T32" s="7" t="s">
        <v>3</v>
      </c>
      <c r="U32" s="7" t="s">
        <v>4</v>
      </c>
      <c r="Y32" s="4" t="s">
        <v>0</v>
      </c>
      <c r="Z32" s="4" t="s">
        <v>1</v>
      </c>
      <c r="AA32" s="4" t="s">
        <v>2</v>
      </c>
      <c r="AB32" s="4" t="s">
        <v>3</v>
      </c>
      <c r="AC32" s="4" t="s">
        <v>4</v>
      </c>
    </row>
    <row r="33" spans="9:29" x14ac:dyDescent="0.35">
      <c r="I33" s="5">
        <v>0</v>
      </c>
      <c r="J33" s="5">
        <v>0</v>
      </c>
      <c r="K33" s="5">
        <f>0.2+25*J33-200*J33^2+675*J33^3-900*J33^4+400*J33^5</f>
        <v>0.2</v>
      </c>
      <c r="L33" s="5">
        <v>1</v>
      </c>
      <c r="M33" s="5">
        <f>K33*L33</f>
        <v>0.2</v>
      </c>
      <c r="Q33" s="5">
        <v>0</v>
      </c>
      <c r="R33" s="5">
        <v>0</v>
      </c>
      <c r="S33" s="5">
        <f>0.2+25*R33-200*R33^2+675*R33^3-900*R33^4+400*R33^5</f>
        <v>0.2</v>
      </c>
      <c r="T33" s="5">
        <v>1</v>
      </c>
      <c r="U33" s="5">
        <f>S33*T33</f>
        <v>0.2</v>
      </c>
      <c r="Y33" s="5">
        <v>0</v>
      </c>
      <c r="Z33" s="5">
        <v>0</v>
      </c>
      <c r="AA33" s="5">
        <f>0.2+25*Z33-200*Z33^2+675*Z33^3-900*Z33^4+400*Z33^5</f>
        <v>0.2</v>
      </c>
      <c r="AB33" s="5">
        <v>1</v>
      </c>
      <c r="AC33" s="5">
        <f>AA33*AB33</f>
        <v>0.2</v>
      </c>
    </row>
    <row r="34" spans="9:29" x14ac:dyDescent="0.35">
      <c r="I34" s="5">
        <v>1</v>
      </c>
      <c r="J34" s="5">
        <v>0.8</v>
      </c>
      <c r="K34" s="5">
        <f t="shared" ref="K34" si="7">0.2+25*J34-200*J34^2+675*J34^3-900*J34^4+400*J34^5</f>
        <v>0.23199999999999932</v>
      </c>
      <c r="L34" s="5">
        <v>1</v>
      </c>
      <c r="M34" s="5">
        <f t="shared" ref="M34" si="8">K34*L34</f>
        <v>0.23199999999999932</v>
      </c>
      <c r="Q34" s="5">
        <v>1</v>
      </c>
      <c r="R34" s="5">
        <v>0.4</v>
      </c>
      <c r="S34" s="5">
        <f>0.2+25*R34-200*R34^2+675*R34^3-900*R34^4+400*R34^5</f>
        <v>2.4559999999999951</v>
      </c>
      <c r="T34" s="5">
        <v>4</v>
      </c>
      <c r="U34" s="5">
        <f t="shared" ref="U34" si="9">S34*T34</f>
        <v>9.8239999999999803</v>
      </c>
      <c r="Y34" s="5">
        <v>1</v>
      </c>
      <c r="Z34" s="5">
        <v>0.2</v>
      </c>
      <c r="AA34" s="5">
        <f t="shared" ref="AA34:AA37" si="10">0.2+25*Z34-200*Z34^2+675*Z34^3-900*Z34^4+400*Z34^5</f>
        <v>1.2879999999999991</v>
      </c>
      <c r="AB34" s="5">
        <v>3</v>
      </c>
      <c r="AC34" s="5">
        <f t="shared" ref="AC34:AC37" si="11">AA34*AB34</f>
        <v>3.8639999999999972</v>
      </c>
    </row>
    <row r="35" spans="9:29" x14ac:dyDescent="0.35">
      <c r="Q35" s="5">
        <v>2</v>
      </c>
      <c r="R35" s="5">
        <v>0.8</v>
      </c>
      <c r="S35" s="5">
        <f>0.2+25*R35-200*R35^2+675*R35^3-900*R35^4+400*R35^5</f>
        <v>0.23199999999999932</v>
      </c>
      <c r="T35" s="5">
        <v>1</v>
      </c>
      <c r="U35" s="5">
        <f>S35*T35</f>
        <v>0.23199999999999932</v>
      </c>
      <c r="Y35" s="5">
        <v>2</v>
      </c>
      <c r="Z35" s="5">
        <v>0.4</v>
      </c>
      <c r="AA35" s="5">
        <f t="shared" si="10"/>
        <v>2.4559999999999951</v>
      </c>
      <c r="AB35" s="5">
        <v>3</v>
      </c>
      <c r="AC35" s="5">
        <f t="shared" si="11"/>
        <v>7.3679999999999852</v>
      </c>
    </row>
    <row r="36" spans="9:29" x14ac:dyDescent="0.35">
      <c r="J36" s="1" t="s">
        <v>10</v>
      </c>
      <c r="M36" s="1">
        <f>SUM(M33:M34)</f>
        <v>0.43199999999999933</v>
      </c>
      <c r="Y36" s="5">
        <v>3</v>
      </c>
      <c r="Z36" s="5">
        <v>0.6</v>
      </c>
      <c r="AA36" s="5">
        <f t="shared" si="10"/>
        <v>3.4640000000000128</v>
      </c>
      <c r="AB36" s="5">
        <v>2</v>
      </c>
      <c r="AC36" s="5">
        <f t="shared" si="11"/>
        <v>6.9280000000000257</v>
      </c>
    </row>
    <row r="37" spans="9:29" x14ac:dyDescent="0.35">
      <c r="J37" s="1" t="s">
        <v>8</v>
      </c>
      <c r="K37" s="1">
        <f>(0.8)/1</f>
        <v>0.8</v>
      </c>
      <c r="M37" s="6">
        <f>M36*K37/2</f>
        <v>0.17279999999999973</v>
      </c>
      <c r="Y37" s="5">
        <v>4</v>
      </c>
      <c r="Z37" s="5">
        <v>0.8</v>
      </c>
      <c r="AA37" s="5">
        <f t="shared" si="10"/>
        <v>0.23199999999999932</v>
      </c>
      <c r="AB37" s="5">
        <v>1</v>
      </c>
      <c r="AC37" s="5">
        <f t="shared" si="11"/>
        <v>0.23199999999999932</v>
      </c>
    </row>
    <row r="38" spans="9:29" x14ac:dyDescent="0.35">
      <c r="J38" s="1" t="s">
        <v>22</v>
      </c>
      <c r="K38" s="1">
        <f>ABS(M37-$T$5)/$T$5*100</f>
        <v>89.495440729483306</v>
      </c>
      <c r="L38" s="1" t="s">
        <v>23</v>
      </c>
      <c r="R38" s="1" t="s">
        <v>12</v>
      </c>
      <c r="U38" s="1">
        <f>SUM(U33:U34)</f>
        <v>10.02399999999998</v>
      </c>
    </row>
    <row r="39" spans="9:29" x14ac:dyDescent="0.35">
      <c r="R39" s="1" t="s">
        <v>8</v>
      </c>
      <c r="S39" s="1">
        <f>(0.8)/2</f>
        <v>0.4</v>
      </c>
      <c r="U39" s="6">
        <f>U38*S39/3</f>
        <v>1.3365333333333307</v>
      </c>
      <c r="Z39" s="1" t="s">
        <v>20</v>
      </c>
      <c r="AC39" s="1">
        <f>SUM(AC33:AC37)</f>
        <v>18.592000000000006</v>
      </c>
    </row>
    <row r="40" spans="9:29" x14ac:dyDescent="0.35">
      <c r="R40" s="1" t="s">
        <v>22</v>
      </c>
      <c r="S40" s="1">
        <f>ABS(U39-$T$5)/$T$5*100</f>
        <v>18.75177304964555</v>
      </c>
      <c r="T40" s="1" t="s">
        <v>23</v>
      </c>
      <c r="Z40" s="1" t="s">
        <v>8</v>
      </c>
      <c r="AA40" s="1">
        <f>(0.8)/4</f>
        <v>0.2</v>
      </c>
      <c r="AC40" s="3">
        <f>3*AC39*AA40/8</f>
        <v>1.3944000000000005</v>
      </c>
    </row>
    <row r="41" spans="9:29" x14ac:dyDescent="0.35">
      <c r="Z41" s="1" t="s">
        <v>22</v>
      </c>
      <c r="AA41" s="1">
        <f>ABS(AC40-$T$5)/$T$5*100</f>
        <v>15.234042553191458</v>
      </c>
      <c r="AB41" s="1" t="s">
        <v>23</v>
      </c>
    </row>
    <row r="57" spans="10:23" x14ac:dyDescent="0.35">
      <c r="J57" s="1" t="s">
        <v>8</v>
      </c>
      <c r="K57" s="1">
        <v>1</v>
      </c>
    </row>
    <row r="58" spans="10:23" x14ac:dyDescent="0.35">
      <c r="J58" s="1" t="s">
        <v>54</v>
      </c>
      <c r="K58" s="1">
        <v>0</v>
      </c>
    </row>
    <row r="59" spans="10:23" x14ac:dyDescent="0.35">
      <c r="J59" s="1" t="s">
        <v>49</v>
      </c>
      <c r="K59" s="1">
        <v>100</v>
      </c>
      <c r="M59" s="4" t="s">
        <v>0</v>
      </c>
      <c r="N59" s="4" t="s">
        <v>1</v>
      </c>
      <c r="O59" s="4" t="s">
        <v>2</v>
      </c>
      <c r="P59" s="4" t="s">
        <v>3</v>
      </c>
      <c r="Q59" s="4" t="s">
        <v>4</v>
      </c>
      <c r="S59" s="4" t="s">
        <v>0</v>
      </c>
      <c r="T59" s="4" t="s">
        <v>1</v>
      </c>
      <c r="U59" s="4" t="s">
        <v>2</v>
      </c>
      <c r="V59" s="4" t="s">
        <v>3</v>
      </c>
      <c r="W59" s="4" t="s">
        <v>4</v>
      </c>
    </row>
    <row r="60" spans="10:23" x14ac:dyDescent="0.35">
      <c r="J60" s="1" t="s">
        <v>75</v>
      </c>
      <c r="K60" s="1">
        <v>100</v>
      </c>
      <c r="M60" s="5">
        <v>0</v>
      </c>
      <c r="N60" s="5">
        <v>0</v>
      </c>
      <c r="O60" s="5">
        <f>N60*32/(N60+4)^3</f>
        <v>0</v>
      </c>
      <c r="P60" s="5">
        <v>1</v>
      </c>
      <c r="Q60" s="5">
        <f>O60*P60</f>
        <v>0</v>
      </c>
      <c r="S60" s="5">
        <v>0</v>
      </c>
      <c r="T60" s="5">
        <v>0</v>
      </c>
      <c r="U60" s="5">
        <f>T60^2*32/(T60+4)^3</f>
        <v>0</v>
      </c>
      <c r="V60" s="5">
        <v>1</v>
      </c>
      <c r="W60" s="5">
        <f>U60*V60</f>
        <v>0</v>
      </c>
    </row>
    <row r="61" spans="10:23" x14ac:dyDescent="0.35">
      <c r="M61" s="5">
        <v>1</v>
      </c>
      <c r="N61" s="5">
        <v>1</v>
      </c>
      <c r="O61" s="5">
        <f>N61*32/(N61+4)^3</f>
        <v>0.25600000000000001</v>
      </c>
      <c r="P61" s="5">
        <v>4</v>
      </c>
      <c r="Q61" s="5">
        <f t="shared" ref="Q61:Q124" si="12">O61*P61</f>
        <v>1.024</v>
      </c>
      <c r="S61" s="5">
        <v>1</v>
      </c>
      <c r="T61" s="5">
        <v>1</v>
      </c>
      <c r="U61" s="5">
        <f t="shared" ref="U61:U124" si="13">T61^2*32/(T61+4)^3</f>
        <v>0.25600000000000001</v>
      </c>
      <c r="V61" s="5">
        <v>4</v>
      </c>
      <c r="W61" s="5">
        <f t="shared" ref="W61:W124" si="14">U61*V61</f>
        <v>1.024</v>
      </c>
    </row>
    <row r="62" spans="10:23" x14ac:dyDescent="0.35">
      <c r="J62" s="1" t="s">
        <v>24</v>
      </c>
      <c r="K62" s="1">
        <f>SUM(Q60:Q160)*K57/3</f>
        <v>3.6935724221330855</v>
      </c>
      <c r="M62" s="5">
        <v>2</v>
      </c>
      <c r="N62" s="5">
        <v>2</v>
      </c>
      <c r="O62" s="5">
        <f t="shared" ref="O62:O125" si="15">N62*32/(N62+4)^3</f>
        <v>0.29629629629629628</v>
      </c>
      <c r="P62" s="5">
        <v>2</v>
      </c>
      <c r="Q62" s="5">
        <f t="shared" si="12"/>
        <v>0.59259259259259256</v>
      </c>
      <c r="S62" s="5">
        <v>2</v>
      </c>
      <c r="T62" s="5">
        <v>2</v>
      </c>
      <c r="U62" s="5">
        <f t="shared" si="13"/>
        <v>0.59259259259259256</v>
      </c>
      <c r="V62" s="5">
        <v>2</v>
      </c>
      <c r="W62" s="5">
        <f t="shared" si="14"/>
        <v>1.1851851851851851</v>
      </c>
    </row>
    <row r="63" spans="10:23" x14ac:dyDescent="0.35">
      <c r="J63" s="1" t="s">
        <v>25</v>
      </c>
      <c r="K63" s="1">
        <f>SUM(W60:W160)*K57/3</f>
        <v>58.705379601274586</v>
      </c>
      <c r="M63" s="5">
        <v>3</v>
      </c>
      <c r="N63" s="5">
        <v>3</v>
      </c>
      <c r="O63" s="5">
        <f t="shared" si="15"/>
        <v>0.27988338192419826</v>
      </c>
      <c r="P63" s="5">
        <v>4</v>
      </c>
      <c r="Q63" s="5">
        <f t="shared" si="12"/>
        <v>1.119533527696793</v>
      </c>
      <c r="S63" s="5">
        <v>3</v>
      </c>
      <c r="T63" s="5">
        <v>3</v>
      </c>
      <c r="U63" s="5">
        <f t="shared" si="13"/>
        <v>0.83965014577259478</v>
      </c>
      <c r="V63" s="5">
        <v>4</v>
      </c>
      <c r="W63" s="5">
        <f t="shared" si="14"/>
        <v>3.3586005830903791</v>
      </c>
    </row>
    <row r="64" spans="10:23" x14ac:dyDescent="0.35">
      <c r="J64" s="1" t="s">
        <v>26</v>
      </c>
      <c r="K64" s="1">
        <f>K63-K62^2</f>
        <v>45.062902363732519</v>
      </c>
      <c r="M64" s="5">
        <v>4</v>
      </c>
      <c r="N64" s="5">
        <v>4</v>
      </c>
      <c r="O64" s="5">
        <f t="shared" si="15"/>
        <v>0.25</v>
      </c>
      <c r="P64" s="5">
        <v>2</v>
      </c>
      <c r="Q64" s="5">
        <f t="shared" si="12"/>
        <v>0.5</v>
      </c>
      <c r="S64" s="5">
        <v>4</v>
      </c>
      <c r="T64" s="5">
        <v>4</v>
      </c>
      <c r="U64" s="5">
        <f t="shared" si="13"/>
        <v>1</v>
      </c>
      <c r="V64" s="5">
        <v>2</v>
      </c>
      <c r="W64" s="5">
        <f t="shared" si="14"/>
        <v>2</v>
      </c>
    </row>
    <row r="65" spans="13:23" x14ac:dyDescent="0.35">
      <c r="M65" s="5">
        <v>5</v>
      </c>
      <c r="N65" s="5">
        <v>5</v>
      </c>
      <c r="O65" s="5">
        <f t="shared" si="15"/>
        <v>0.21947873799725651</v>
      </c>
      <c r="P65" s="5">
        <v>4</v>
      </c>
      <c r="Q65" s="5">
        <f t="shared" si="12"/>
        <v>0.87791495198902603</v>
      </c>
      <c r="S65" s="5">
        <v>5</v>
      </c>
      <c r="T65" s="5">
        <v>5</v>
      </c>
      <c r="U65" s="5">
        <f t="shared" si="13"/>
        <v>1.0973936899862826</v>
      </c>
      <c r="V65" s="5">
        <v>4</v>
      </c>
      <c r="W65" s="5">
        <f t="shared" si="14"/>
        <v>4.3895747599451305</v>
      </c>
    </row>
    <row r="66" spans="13:23" x14ac:dyDescent="0.35">
      <c r="M66" s="5">
        <v>6</v>
      </c>
      <c r="N66" s="5">
        <v>6</v>
      </c>
      <c r="O66" s="5">
        <f t="shared" si="15"/>
        <v>0.192</v>
      </c>
      <c r="P66" s="5">
        <v>2</v>
      </c>
      <c r="Q66" s="5">
        <f t="shared" si="12"/>
        <v>0.38400000000000001</v>
      </c>
      <c r="S66" s="5">
        <v>6</v>
      </c>
      <c r="T66" s="5">
        <v>6</v>
      </c>
      <c r="U66" s="5">
        <f t="shared" si="13"/>
        <v>1.1519999999999999</v>
      </c>
      <c r="V66" s="5">
        <v>2</v>
      </c>
      <c r="W66" s="5">
        <f t="shared" si="14"/>
        <v>2.3039999999999998</v>
      </c>
    </row>
    <row r="67" spans="13:23" x14ac:dyDescent="0.35">
      <c r="M67" s="5">
        <v>7</v>
      </c>
      <c r="N67" s="5">
        <v>7</v>
      </c>
      <c r="O67" s="5">
        <f t="shared" si="15"/>
        <v>0.16829451540195342</v>
      </c>
      <c r="P67" s="5">
        <v>4</v>
      </c>
      <c r="Q67" s="5">
        <f t="shared" si="12"/>
        <v>0.67317806160781368</v>
      </c>
      <c r="S67" s="5">
        <v>7</v>
      </c>
      <c r="T67" s="5">
        <v>7</v>
      </c>
      <c r="U67" s="5">
        <f t="shared" si="13"/>
        <v>1.1780616078136739</v>
      </c>
      <c r="V67" s="5">
        <v>4</v>
      </c>
      <c r="W67" s="5">
        <f t="shared" si="14"/>
        <v>4.7122464312546954</v>
      </c>
    </row>
    <row r="68" spans="13:23" x14ac:dyDescent="0.35">
      <c r="M68" s="5">
        <v>8</v>
      </c>
      <c r="N68" s="5">
        <v>8</v>
      </c>
      <c r="O68" s="5">
        <f t="shared" si="15"/>
        <v>0.14814814814814814</v>
      </c>
      <c r="P68" s="5">
        <v>2</v>
      </c>
      <c r="Q68" s="5">
        <f t="shared" si="12"/>
        <v>0.29629629629629628</v>
      </c>
      <c r="S68" s="5">
        <v>8</v>
      </c>
      <c r="T68" s="5">
        <v>8</v>
      </c>
      <c r="U68" s="5">
        <f t="shared" si="13"/>
        <v>1.1851851851851851</v>
      </c>
      <c r="V68" s="5">
        <v>2</v>
      </c>
      <c r="W68" s="5">
        <f t="shared" si="14"/>
        <v>2.3703703703703702</v>
      </c>
    </row>
    <row r="69" spans="13:23" x14ac:dyDescent="0.35">
      <c r="M69" s="5">
        <v>9</v>
      </c>
      <c r="N69" s="5">
        <v>9</v>
      </c>
      <c r="O69" s="5">
        <f t="shared" si="15"/>
        <v>0.13108784706417842</v>
      </c>
      <c r="P69" s="5">
        <v>4</v>
      </c>
      <c r="Q69" s="5">
        <f t="shared" si="12"/>
        <v>0.52435138825671368</v>
      </c>
      <c r="S69" s="5">
        <v>9</v>
      </c>
      <c r="T69" s="5">
        <v>9</v>
      </c>
      <c r="U69" s="5">
        <f t="shared" si="13"/>
        <v>1.1797906235776059</v>
      </c>
      <c r="V69" s="5">
        <v>4</v>
      </c>
      <c r="W69" s="5">
        <f t="shared" si="14"/>
        <v>4.7191624943104236</v>
      </c>
    </row>
    <row r="70" spans="13:23" x14ac:dyDescent="0.35">
      <c r="M70" s="5">
        <v>10</v>
      </c>
      <c r="N70" s="5">
        <v>10</v>
      </c>
      <c r="O70" s="5">
        <f t="shared" si="15"/>
        <v>0.11661807580174927</v>
      </c>
      <c r="P70" s="5">
        <v>2</v>
      </c>
      <c r="Q70" s="5">
        <f t="shared" si="12"/>
        <v>0.23323615160349853</v>
      </c>
      <c r="S70" s="5">
        <v>10</v>
      </c>
      <c r="T70" s="5">
        <v>10</v>
      </c>
      <c r="U70" s="5">
        <f t="shared" si="13"/>
        <v>1.1661807580174928</v>
      </c>
      <c r="V70" s="5">
        <v>2</v>
      </c>
      <c r="W70" s="5">
        <f t="shared" si="14"/>
        <v>2.3323615160349855</v>
      </c>
    </row>
    <row r="71" spans="13:23" x14ac:dyDescent="0.35">
      <c r="M71" s="5">
        <v>11</v>
      </c>
      <c r="N71" s="5">
        <v>11</v>
      </c>
      <c r="O71" s="5">
        <f t="shared" si="15"/>
        <v>0.10429629629629629</v>
      </c>
      <c r="P71" s="5">
        <v>4</v>
      </c>
      <c r="Q71" s="5">
        <f t="shared" si="12"/>
        <v>0.41718518518518516</v>
      </c>
      <c r="S71" s="5">
        <v>11</v>
      </c>
      <c r="T71" s="5">
        <v>11</v>
      </c>
      <c r="U71" s="5">
        <f t="shared" si="13"/>
        <v>1.1472592592592592</v>
      </c>
      <c r="V71" s="5">
        <v>4</v>
      </c>
      <c r="W71" s="5">
        <f t="shared" si="14"/>
        <v>4.5890370370370368</v>
      </c>
    </row>
    <row r="72" spans="13:23" x14ac:dyDescent="0.35">
      <c r="M72" s="5">
        <v>12</v>
      </c>
      <c r="N72" s="5">
        <v>12</v>
      </c>
      <c r="O72" s="5">
        <f t="shared" si="15"/>
        <v>9.375E-2</v>
      </c>
      <c r="P72" s="5">
        <v>2</v>
      </c>
      <c r="Q72" s="5">
        <f t="shared" si="12"/>
        <v>0.1875</v>
      </c>
      <c r="S72" s="5">
        <v>12</v>
      </c>
      <c r="T72" s="5">
        <v>12</v>
      </c>
      <c r="U72" s="5">
        <f t="shared" si="13"/>
        <v>1.125</v>
      </c>
      <c r="V72" s="5">
        <v>2</v>
      </c>
      <c r="W72" s="5">
        <f t="shared" si="14"/>
        <v>2.25</v>
      </c>
    </row>
    <row r="73" spans="13:23" x14ac:dyDescent="0.35">
      <c r="M73" s="5">
        <v>13</v>
      </c>
      <c r="N73" s="5">
        <v>13</v>
      </c>
      <c r="O73" s="5">
        <f t="shared" si="15"/>
        <v>8.4673315693059234E-2</v>
      </c>
      <c r="P73" s="5">
        <v>4</v>
      </c>
      <c r="Q73" s="5">
        <f t="shared" si="12"/>
        <v>0.33869326277223694</v>
      </c>
      <c r="S73" s="5">
        <v>13</v>
      </c>
      <c r="T73" s="5">
        <v>13</v>
      </c>
      <c r="U73" s="5">
        <f t="shared" si="13"/>
        <v>1.10075310400977</v>
      </c>
      <c r="V73" s="5">
        <v>4</v>
      </c>
      <c r="W73" s="5">
        <f t="shared" si="14"/>
        <v>4.40301241603908</v>
      </c>
    </row>
    <row r="74" spans="13:23" x14ac:dyDescent="0.35">
      <c r="M74" s="5">
        <v>14</v>
      </c>
      <c r="N74" s="5">
        <v>14</v>
      </c>
      <c r="O74" s="5">
        <f t="shared" si="15"/>
        <v>7.6817558299039787E-2</v>
      </c>
      <c r="P74" s="5">
        <v>2</v>
      </c>
      <c r="Q74" s="5">
        <f t="shared" si="12"/>
        <v>0.15363511659807957</v>
      </c>
      <c r="S74" s="5">
        <v>14</v>
      </c>
      <c r="T74" s="5">
        <v>14</v>
      </c>
      <c r="U74" s="5">
        <f t="shared" si="13"/>
        <v>1.075445816186557</v>
      </c>
      <c r="V74" s="5">
        <v>2</v>
      </c>
      <c r="W74" s="5">
        <f t="shared" si="14"/>
        <v>2.150891632373114</v>
      </c>
    </row>
    <row r="75" spans="13:23" x14ac:dyDescent="0.35">
      <c r="M75" s="5">
        <v>15</v>
      </c>
      <c r="N75" s="5">
        <v>15</v>
      </c>
      <c r="O75" s="5">
        <f t="shared" si="15"/>
        <v>6.9981046799825045E-2</v>
      </c>
      <c r="P75" s="5">
        <v>4</v>
      </c>
      <c r="Q75" s="5">
        <f t="shared" si="12"/>
        <v>0.27992418719930018</v>
      </c>
      <c r="S75" s="5">
        <v>15</v>
      </c>
      <c r="T75" s="5">
        <v>15</v>
      </c>
      <c r="U75" s="5">
        <f t="shared" si="13"/>
        <v>1.0497157019973757</v>
      </c>
      <c r="V75" s="5">
        <v>4</v>
      </c>
      <c r="W75" s="5">
        <f t="shared" si="14"/>
        <v>4.198862807989503</v>
      </c>
    </row>
    <row r="76" spans="13:23" x14ac:dyDescent="0.35">
      <c r="M76" s="5">
        <v>16</v>
      </c>
      <c r="N76" s="5">
        <v>16</v>
      </c>
      <c r="O76" s="5">
        <f t="shared" si="15"/>
        <v>6.4000000000000001E-2</v>
      </c>
      <c r="P76" s="5">
        <v>2</v>
      </c>
      <c r="Q76" s="5">
        <f t="shared" si="12"/>
        <v>0.128</v>
      </c>
      <c r="S76" s="5">
        <v>16</v>
      </c>
      <c r="T76" s="5">
        <v>16</v>
      </c>
      <c r="U76" s="5">
        <f t="shared" si="13"/>
        <v>1.024</v>
      </c>
      <c r="V76" s="5">
        <v>2</v>
      </c>
      <c r="W76" s="5">
        <f t="shared" si="14"/>
        <v>2.048</v>
      </c>
    </row>
    <row r="77" spans="13:23" x14ac:dyDescent="0.35">
      <c r="M77" s="5">
        <v>17</v>
      </c>
      <c r="N77" s="5">
        <v>17</v>
      </c>
      <c r="O77" s="5">
        <f t="shared" si="15"/>
        <v>5.8740956700140373E-2</v>
      </c>
      <c r="P77" s="5">
        <v>4</v>
      </c>
      <c r="Q77" s="5">
        <f t="shared" si="12"/>
        <v>0.23496382680056149</v>
      </c>
      <c r="S77" s="5">
        <v>17</v>
      </c>
      <c r="T77" s="5">
        <v>17</v>
      </c>
      <c r="U77" s="5">
        <f t="shared" si="13"/>
        <v>0.99859626390238632</v>
      </c>
      <c r="V77" s="5">
        <v>4</v>
      </c>
      <c r="W77" s="5">
        <f t="shared" si="14"/>
        <v>3.9943850556095453</v>
      </c>
    </row>
    <row r="78" spans="13:23" x14ac:dyDescent="0.35">
      <c r="M78" s="5">
        <v>18</v>
      </c>
      <c r="N78" s="5">
        <v>18</v>
      </c>
      <c r="O78" s="5">
        <f t="shared" si="15"/>
        <v>5.4094665664913597E-2</v>
      </c>
      <c r="P78" s="5">
        <v>2</v>
      </c>
      <c r="Q78" s="5">
        <f t="shared" si="12"/>
        <v>0.10818933132982719</v>
      </c>
      <c r="S78" s="5">
        <v>18</v>
      </c>
      <c r="T78" s="5">
        <v>18</v>
      </c>
      <c r="U78" s="5">
        <f t="shared" si="13"/>
        <v>0.97370398196844477</v>
      </c>
      <c r="V78" s="5">
        <v>2</v>
      </c>
      <c r="W78" s="5">
        <f t="shared" si="14"/>
        <v>1.9474079639368895</v>
      </c>
    </row>
    <row r="79" spans="13:23" x14ac:dyDescent="0.35">
      <c r="M79" s="5">
        <v>19</v>
      </c>
      <c r="N79" s="5">
        <v>19</v>
      </c>
      <c r="O79" s="5">
        <f t="shared" si="15"/>
        <v>4.9971233664831104E-2</v>
      </c>
      <c r="P79" s="5">
        <v>4</v>
      </c>
      <c r="Q79" s="5">
        <f t="shared" si="12"/>
        <v>0.19988493465932441</v>
      </c>
      <c r="S79" s="5">
        <v>19</v>
      </c>
      <c r="T79" s="5">
        <v>19</v>
      </c>
      <c r="U79" s="5">
        <f t="shared" si="13"/>
        <v>0.94945343963179096</v>
      </c>
      <c r="V79" s="5">
        <v>4</v>
      </c>
      <c r="W79" s="5">
        <f t="shared" si="14"/>
        <v>3.7978137585271639</v>
      </c>
    </row>
    <row r="80" spans="13:23" x14ac:dyDescent="0.35">
      <c r="M80" s="5">
        <v>20</v>
      </c>
      <c r="N80" s="5">
        <v>20</v>
      </c>
      <c r="O80" s="5">
        <f t="shared" si="15"/>
        <v>4.6296296296296294E-2</v>
      </c>
      <c r="P80" s="5">
        <v>2</v>
      </c>
      <c r="Q80" s="5">
        <f t="shared" si="12"/>
        <v>9.2592592592592587E-2</v>
      </c>
      <c r="S80" s="5">
        <v>20</v>
      </c>
      <c r="T80" s="5">
        <v>20</v>
      </c>
      <c r="U80" s="5">
        <f t="shared" si="13"/>
        <v>0.92592592592592593</v>
      </c>
      <c r="V80" s="5">
        <v>2</v>
      </c>
      <c r="W80" s="5">
        <f t="shared" si="14"/>
        <v>1.8518518518518519</v>
      </c>
    </row>
    <row r="81" spans="13:23" x14ac:dyDescent="0.35">
      <c r="M81" s="5">
        <v>21</v>
      </c>
      <c r="N81" s="5">
        <v>21</v>
      </c>
      <c r="O81" s="5">
        <f t="shared" si="15"/>
        <v>4.3007999999999998E-2</v>
      </c>
      <c r="P81" s="5">
        <v>4</v>
      </c>
      <c r="Q81" s="5">
        <f t="shared" si="12"/>
        <v>0.17203199999999999</v>
      </c>
      <c r="S81" s="5">
        <v>21</v>
      </c>
      <c r="T81" s="5">
        <v>21</v>
      </c>
      <c r="U81" s="5">
        <f t="shared" si="13"/>
        <v>0.90316799999999997</v>
      </c>
      <c r="V81" s="5">
        <v>4</v>
      </c>
      <c r="W81" s="5">
        <f t="shared" si="14"/>
        <v>3.6126719999999999</v>
      </c>
    </row>
    <row r="82" spans="13:23" x14ac:dyDescent="0.35">
      <c r="M82" s="5">
        <v>22</v>
      </c>
      <c r="N82" s="5">
        <v>22</v>
      </c>
      <c r="O82" s="5">
        <f t="shared" si="15"/>
        <v>4.0054619936276743E-2</v>
      </c>
      <c r="P82" s="5">
        <v>2</v>
      </c>
      <c r="Q82" s="5">
        <f t="shared" si="12"/>
        <v>8.0109239872553487E-2</v>
      </c>
      <c r="S82" s="5">
        <v>22</v>
      </c>
      <c r="T82" s="5">
        <v>22</v>
      </c>
      <c r="U82" s="5">
        <f t="shared" si="13"/>
        <v>0.88120163859808831</v>
      </c>
      <c r="V82" s="5">
        <v>2</v>
      </c>
      <c r="W82" s="5">
        <f t="shared" si="14"/>
        <v>1.7624032771961766</v>
      </c>
    </row>
    <row r="83" spans="13:23" x14ac:dyDescent="0.35">
      <c r="M83" s="5">
        <v>23</v>
      </c>
      <c r="N83" s="5">
        <v>23</v>
      </c>
      <c r="O83" s="5">
        <f t="shared" si="15"/>
        <v>3.7392673881014075E-2</v>
      </c>
      <c r="P83" s="5">
        <v>4</v>
      </c>
      <c r="Q83" s="5">
        <f t="shared" si="12"/>
        <v>0.1495706955240563</v>
      </c>
      <c r="S83" s="5">
        <v>23</v>
      </c>
      <c r="T83" s="5">
        <v>23</v>
      </c>
      <c r="U83" s="5">
        <f t="shared" si="13"/>
        <v>0.86003149926332367</v>
      </c>
      <c r="V83" s="5">
        <v>4</v>
      </c>
      <c r="W83" s="5">
        <f t="shared" si="14"/>
        <v>3.4401259970532947</v>
      </c>
    </row>
    <row r="84" spans="13:23" x14ac:dyDescent="0.35">
      <c r="M84" s="5">
        <v>24</v>
      </c>
      <c r="N84" s="5">
        <v>24</v>
      </c>
      <c r="O84" s="5">
        <f t="shared" si="15"/>
        <v>3.4985422740524783E-2</v>
      </c>
      <c r="P84" s="5">
        <v>2</v>
      </c>
      <c r="Q84" s="5">
        <f t="shared" si="12"/>
        <v>6.9970845481049565E-2</v>
      </c>
      <c r="S84" s="5">
        <v>24</v>
      </c>
      <c r="T84" s="5">
        <v>24</v>
      </c>
      <c r="U84" s="5">
        <f t="shared" si="13"/>
        <v>0.83965014577259478</v>
      </c>
      <c r="V84" s="5">
        <v>2</v>
      </c>
      <c r="W84" s="5">
        <f t="shared" si="14"/>
        <v>1.6793002915451896</v>
      </c>
    </row>
    <row r="85" spans="13:23" x14ac:dyDescent="0.35">
      <c r="M85" s="5">
        <v>25</v>
      </c>
      <c r="N85" s="5">
        <v>25</v>
      </c>
      <c r="O85" s="5">
        <f t="shared" si="15"/>
        <v>3.280167288531715E-2</v>
      </c>
      <c r="P85" s="5">
        <v>4</v>
      </c>
      <c r="Q85" s="5">
        <f t="shared" si="12"/>
        <v>0.1312066915412686</v>
      </c>
      <c r="S85" s="5">
        <v>25</v>
      </c>
      <c r="T85" s="5">
        <v>25</v>
      </c>
      <c r="U85" s="5">
        <f t="shared" si="13"/>
        <v>0.82004182213292875</v>
      </c>
      <c r="V85" s="5">
        <v>4</v>
      </c>
      <c r="W85" s="5">
        <f t="shared" si="14"/>
        <v>3.280167288531715</v>
      </c>
    </row>
    <row r="86" spans="13:23" x14ac:dyDescent="0.35">
      <c r="M86" s="5">
        <v>26</v>
      </c>
      <c r="N86" s="5">
        <v>26</v>
      </c>
      <c r="O86" s="5">
        <f t="shared" si="15"/>
        <v>3.0814814814814816E-2</v>
      </c>
      <c r="P86" s="5">
        <v>2</v>
      </c>
      <c r="Q86" s="5">
        <f t="shared" si="12"/>
        <v>6.1629629629629631E-2</v>
      </c>
      <c r="S86" s="5">
        <v>26</v>
      </c>
      <c r="T86" s="5">
        <v>26</v>
      </c>
      <c r="U86" s="5">
        <f t="shared" si="13"/>
        <v>0.80118518518518522</v>
      </c>
      <c r="V86" s="5">
        <v>2</v>
      </c>
      <c r="W86" s="5">
        <f t="shared" si="14"/>
        <v>1.6023703703703704</v>
      </c>
    </row>
    <row r="87" spans="13:23" x14ac:dyDescent="0.35">
      <c r="M87" s="5">
        <v>27</v>
      </c>
      <c r="N87" s="5">
        <v>27</v>
      </c>
      <c r="O87" s="5">
        <f t="shared" si="15"/>
        <v>2.9002047598267935E-2</v>
      </c>
      <c r="P87" s="5">
        <v>4</v>
      </c>
      <c r="Q87" s="5">
        <f t="shared" si="12"/>
        <v>0.11600819039307174</v>
      </c>
      <c r="S87" s="5">
        <v>27</v>
      </c>
      <c r="T87" s="5">
        <v>27</v>
      </c>
      <c r="U87" s="5">
        <f t="shared" si="13"/>
        <v>0.78305528515323419</v>
      </c>
      <c r="V87" s="5">
        <v>4</v>
      </c>
      <c r="W87" s="5">
        <f t="shared" si="14"/>
        <v>3.1322211406129368</v>
      </c>
    </row>
    <row r="88" spans="13:23" x14ac:dyDescent="0.35">
      <c r="M88" s="5">
        <v>28</v>
      </c>
      <c r="N88" s="5">
        <v>28</v>
      </c>
      <c r="O88" s="5">
        <f t="shared" si="15"/>
        <v>2.734375E-2</v>
      </c>
      <c r="P88" s="5">
        <v>2</v>
      </c>
      <c r="Q88" s="5">
        <f t="shared" si="12"/>
        <v>5.46875E-2</v>
      </c>
      <c r="S88" s="5">
        <v>28</v>
      </c>
      <c r="T88" s="5">
        <v>28</v>
      </c>
      <c r="U88" s="5">
        <f t="shared" si="13"/>
        <v>0.765625</v>
      </c>
      <c r="V88" s="5">
        <v>2</v>
      </c>
      <c r="W88" s="5">
        <f t="shared" si="14"/>
        <v>1.53125</v>
      </c>
    </row>
    <row r="89" spans="13:23" x14ac:dyDescent="0.35">
      <c r="M89" s="5">
        <v>29</v>
      </c>
      <c r="N89" s="5">
        <v>29</v>
      </c>
      <c r="O89" s="5">
        <f t="shared" si="15"/>
        <v>2.5822967971728301E-2</v>
      </c>
      <c r="P89" s="5">
        <v>4</v>
      </c>
      <c r="Q89" s="5">
        <f t="shared" si="12"/>
        <v>0.1032918718869132</v>
      </c>
      <c r="S89" s="5">
        <v>29</v>
      </c>
      <c r="T89" s="5">
        <v>29</v>
      </c>
      <c r="U89" s="5">
        <f t="shared" si="13"/>
        <v>0.74886607118012072</v>
      </c>
      <c r="V89" s="5">
        <v>4</v>
      </c>
      <c r="W89" s="5">
        <f t="shared" si="14"/>
        <v>2.9954642847204829</v>
      </c>
    </row>
    <row r="90" spans="13:23" x14ac:dyDescent="0.35">
      <c r="M90" s="5">
        <v>30</v>
      </c>
      <c r="N90" s="5">
        <v>30</v>
      </c>
      <c r="O90" s="5">
        <f t="shared" si="15"/>
        <v>2.4424994911459393E-2</v>
      </c>
      <c r="P90" s="5">
        <v>2</v>
      </c>
      <c r="Q90" s="5">
        <f t="shared" si="12"/>
        <v>4.8849989822918785E-2</v>
      </c>
      <c r="S90" s="5">
        <v>30</v>
      </c>
      <c r="T90" s="5">
        <v>30</v>
      </c>
      <c r="U90" s="5">
        <f t="shared" si="13"/>
        <v>0.73274984734378179</v>
      </c>
      <c r="V90" s="5">
        <v>2</v>
      </c>
      <c r="W90" s="5">
        <f t="shared" si="14"/>
        <v>1.4654996946875636</v>
      </c>
    </row>
    <row r="91" spans="13:23" x14ac:dyDescent="0.35">
      <c r="M91" s="5">
        <v>31</v>
      </c>
      <c r="N91" s="5">
        <v>31</v>
      </c>
      <c r="O91" s="5">
        <f t="shared" si="15"/>
        <v>2.3137026239067056E-2</v>
      </c>
      <c r="P91" s="5">
        <v>4</v>
      </c>
      <c r="Q91" s="5">
        <f t="shared" si="12"/>
        <v>9.2548104956268223E-2</v>
      </c>
      <c r="S91" s="5">
        <v>31</v>
      </c>
      <c r="T91" s="5">
        <v>31</v>
      </c>
      <c r="U91" s="5">
        <f t="shared" si="13"/>
        <v>0.71724781341107868</v>
      </c>
      <c r="V91" s="5">
        <v>4</v>
      </c>
      <c r="W91" s="5">
        <f t="shared" si="14"/>
        <v>2.8689912536443147</v>
      </c>
    </row>
    <row r="92" spans="13:23" x14ac:dyDescent="0.35">
      <c r="M92" s="5">
        <v>32</v>
      </c>
      <c r="N92" s="5">
        <v>32</v>
      </c>
      <c r="O92" s="5">
        <f t="shared" si="15"/>
        <v>2.194787379972565E-2</v>
      </c>
      <c r="P92" s="5">
        <v>2</v>
      </c>
      <c r="Q92" s="5">
        <f t="shared" si="12"/>
        <v>4.38957475994513E-2</v>
      </c>
      <c r="S92" s="5">
        <v>32</v>
      </c>
      <c r="T92" s="5">
        <v>32</v>
      </c>
      <c r="U92" s="5">
        <f t="shared" si="13"/>
        <v>0.7023319615912208</v>
      </c>
      <c r="V92" s="5">
        <v>2</v>
      </c>
      <c r="W92" s="5">
        <f t="shared" si="14"/>
        <v>1.4046639231824416</v>
      </c>
    </row>
    <row r="93" spans="13:23" x14ac:dyDescent="0.35">
      <c r="M93" s="5">
        <v>33</v>
      </c>
      <c r="N93" s="5">
        <v>33</v>
      </c>
      <c r="O93" s="5">
        <f t="shared" si="15"/>
        <v>2.0847728663652695E-2</v>
      </c>
      <c r="P93" s="5">
        <v>4</v>
      </c>
      <c r="Q93" s="5">
        <f t="shared" si="12"/>
        <v>8.3390914654610779E-2</v>
      </c>
      <c r="S93" s="5">
        <v>33</v>
      </c>
      <c r="T93" s="5">
        <v>33</v>
      </c>
      <c r="U93" s="5">
        <f t="shared" si="13"/>
        <v>0.68797504590053893</v>
      </c>
      <c r="V93" s="5">
        <v>4</v>
      </c>
      <c r="W93" s="5">
        <f t="shared" si="14"/>
        <v>2.7519001836021557</v>
      </c>
    </row>
    <row r="94" spans="13:23" x14ac:dyDescent="0.35">
      <c r="M94" s="5">
        <v>34</v>
      </c>
      <c r="N94" s="5">
        <v>34</v>
      </c>
      <c r="O94" s="5">
        <f t="shared" si="15"/>
        <v>1.982796325995043E-2</v>
      </c>
      <c r="P94" s="5">
        <v>2</v>
      </c>
      <c r="Q94" s="5">
        <f t="shared" si="12"/>
        <v>3.965592651990086E-2</v>
      </c>
      <c r="S94" s="5">
        <v>34</v>
      </c>
      <c r="T94" s="5">
        <v>34</v>
      </c>
      <c r="U94" s="5">
        <f t="shared" si="13"/>
        <v>0.67415075083831466</v>
      </c>
      <c r="V94" s="5">
        <v>2</v>
      </c>
      <c r="W94" s="5">
        <f t="shared" si="14"/>
        <v>1.3483015016766293</v>
      </c>
    </row>
    <row r="95" spans="13:23" x14ac:dyDescent="0.35">
      <c r="M95" s="5">
        <v>35</v>
      </c>
      <c r="N95" s="5">
        <v>35</v>
      </c>
      <c r="O95" s="5">
        <f t="shared" si="15"/>
        <v>1.8880965626527756E-2</v>
      </c>
      <c r="P95" s="5">
        <v>4</v>
      </c>
      <c r="Q95" s="5">
        <f t="shared" si="12"/>
        <v>7.5523862506111025E-2</v>
      </c>
      <c r="S95" s="5">
        <v>35</v>
      </c>
      <c r="T95" s="5">
        <v>35</v>
      </c>
      <c r="U95" s="5">
        <f t="shared" si="13"/>
        <v>0.66083379692847144</v>
      </c>
      <c r="V95" s="5">
        <v>4</v>
      </c>
      <c r="W95" s="5">
        <f t="shared" si="14"/>
        <v>2.6433351877138858</v>
      </c>
    </row>
    <row r="96" spans="13:23" x14ac:dyDescent="0.35">
      <c r="M96" s="5">
        <v>36</v>
      </c>
      <c r="N96" s="5">
        <v>36</v>
      </c>
      <c r="O96" s="5">
        <f t="shared" si="15"/>
        <v>1.7999999999999999E-2</v>
      </c>
      <c r="P96" s="5">
        <v>2</v>
      </c>
      <c r="Q96" s="5">
        <f t="shared" si="12"/>
        <v>3.5999999999999997E-2</v>
      </c>
      <c r="S96" s="5">
        <v>36</v>
      </c>
      <c r="T96" s="5">
        <v>36</v>
      </c>
      <c r="U96" s="5">
        <f t="shared" si="13"/>
        <v>0.64800000000000002</v>
      </c>
      <c r="V96" s="5">
        <v>2</v>
      </c>
      <c r="W96" s="5">
        <f t="shared" si="14"/>
        <v>1.296</v>
      </c>
    </row>
    <row r="97" spans="13:23" x14ac:dyDescent="0.35">
      <c r="M97" s="5">
        <v>37</v>
      </c>
      <c r="N97" s="5">
        <v>37</v>
      </c>
      <c r="O97" s="5">
        <f t="shared" si="15"/>
        <v>1.7179089102015353E-2</v>
      </c>
      <c r="P97" s="5">
        <v>4</v>
      </c>
      <c r="Q97" s="5">
        <f t="shared" si="12"/>
        <v>6.871635640806141E-2</v>
      </c>
      <c r="S97" s="5">
        <v>37</v>
      </c>
      <c r="T97" s="5">
        <v>37</v>
      </c>
      <c r="U97" s="5">
        <f t="shared" si="13"/>
        <v>0.63562629677456794</v>
      </c>
      <c r="V97" s="5">
        <v>4</v>
      </c>
      <c r="W97" s="5">
        <f t="shared" si="14"/>
        <v>2.5425051870982718</v>
      </c>
    </row>
    <row r="98" spans="13:23" x14ac:dyDescent="0.35">
      <c r="M98" s="5">
        <v>38</v>
      </c>
      <c r="N98" s="5">
        <v>38</v>
      </c>
      <c r="O98" s="5">
        <f t="shared" si="15"/>
        <v>1.6412914372098044E-2</v>
      </c>
      <c r="P98" s="5">
        <v>2</v>
      </c>
      <c r="Q98" s="5">
        <f t="shared" si="12"/>
        <v>3.2825828744196088E-2</v>
      </c>
      <c r="S98" s="5">
        <v>38</v>
      </c>
      <c r="T98" s="5">
        <v>38</v>
      </c>
      <c r="U98" s="5">
        <f t="shared" si="13"/>
        <v>0.62369074613972575</v>
      </c>
      <c r="V98" s="5">
        <v>2</v>
      </c>
      <c r="W98" s="5">
        <f t="shared" si="14"/>
        <v>1.2473814922794515</v>
      </c>
    </row>
    <row r="99" spans="13:23" x14ac:dyDescent="0.35">
      <c r="M99" s="5">
        <v>39</v>
      </c>
      <c r="N99" s="5">
        <v>39</v>
      </c>
      <c r="O99" s="5">
        <f t="shared" si="15"/>
        <v>1.5696731105437258E-2</v>
      </c>
      <c r="P99" s="5">
        <v>4</v>
      </c>
      <c r="Q99" s="5">
        <f t="shared" si="12"/>
        <v>6.2786924421749032E-2</v>
      </c>
      <c r="S99" s="5">
        <v>39</v>
      </c>
      <c r="T99" s="5">
        <v>39</v>
      </c>
      <c r="U99" s="5">
        <f t="shared" si="13"/>
        <v>0.61217251311205301</v>
      </c>
      <c r="V99" s="5">
        <v>4</v>
      </c>
      <c r="W99" s="5">
        <f t="shared" si="14"/>
        <v>2.448690052448212</v>
      </c>
    </row>
    <row r="100" spans="13:23" x14ac:dyDescent="0.35">
      <c r="M100" s="5">
        <v>40</v>
      </c>
      <c r="N100" s="5">
        <v>40</v>
      </c>
      <c r="O100" s="5">
        <f t="shared" si="15"/>
        <v>1.5026296018031555E-2</v>
      </c>
      <c r="P100" s="5">
        <v>2</v>
      </c>
      <c r="Q100" s="5">
        <f t="shared" si="12"/>
        <v>3.005259203606311E-2</v>
      </c>
      <c r="S100" s="5">
        <v>40</v>
      </c>
      <c r="T100" s="5">
        <v>40</v>
      </c>
      <c r="U100" s="5">
        <f t="shared" si="13"/>
        <v>0.60105184072126216</v>
      </c>
      <c r="V100" s="5">
        <v>2</v>
      </c>
      <c r="W100" s="5">
        <f t="shared" si="14"/>
        <v>1.2021036814425243</v>
      </c>
    </row>
    <row r="101" spans="13:23" x14ac:dyDescent="0.35">
      <c r="M101" s="5">
        <v>41</v>
      </c>
      <c r="N101" s="5">
        <v>41</v>
      </c>
      <c r="O101" s="5">
        <f t="shared" si="15"/>
        <v>1.4397805212620027E-2</v>
      </c>
      <c r="P101" s="5">
        <v>4</v>
      </c>
      <c r="Q101" s="5">
        <f t="shared" si="12"/>
        <v>5.7591220850480108E-2</v>
      </c>
      <c r="S101" s="5">
        <v>41</v>
      </c>
      <c r="T101" s="5">
        <v>41</v>
      </c>
      <c r="U101" s="5">
        <f t="shared" si="13"/>
        <v>0.59031001371742109</v>
      </c>
      <c r="V101" s="5">
        <v>4</v>
      </c>
      <c r="W101" s="5">
        <f t="shared" si="14"/>
        <v>2.3612400548696844</v>
      </c>
    </row>
    <row r="102" spans="13:23" x14ac:dyDescent="0.35">
      <c r="M102" s="5">
        <v>42</v>
      </c>
      <c r="N102" s="5">
        <v>42</v>
      </c>
      <c r="O102" s="5">
        <f t="shared" si="15"/>
        <v>1.3807840881071752E-2</v>
      </c>
      <c r="P102" s="5">
        <v>2</v>
      </c>
      <c r="Q102" s="5">
        <f t="shared" si="12"/>
        <v>2.7615681762143504E-2</v>
      </c>
      <c r="S102" s="5">
        <v>42</v>
      </c>
      <c r="T102" s="5">
        <v>42</v>
      </c>
      <c r="U102" s="5">
        <f t="shared" si="13"/>
        <v>0.5799293170050136</v>
      </c>
      <c r="V102" s="5">
        <v>2</v>
      </c>
      <c r="W102" s="5">
        <f t="shared" si="14"/>
        <v>1.1598586340100272</v>
      </c>
    </row>
    <row r="103" spans="13:23" x14ac:dyDescent="0.35">
      <c r="M103" s="5">
        <v>43</v>
      </c>
      <c r="N103" s="5">
        <v>43</v>
      </c>
      <c r="O103" s="5">
        <f t="shared" si="15"/>
        <v>1.3253325371064216E-2</v>
      </c>
      <c r="P103" s="5">
        <v>4</v>
      </c>
      <c r="Q103" s="5">
        <f t="shared" si="12"/>
        <v>5.3013301484256863E-2</v>
      </c>
      <c r="S103" s="5">
        <v>43</v>
      </c>
      <c r="T103" s="5">
        <v>43</v>
      </c>
      <c r="U103" s="5">
        <f t="shared" si="13"/>
        <v>0.56989299095576129</v>
      </c>
      <c r="V103" s="5">
        <v>4</v>
      </c>
      <c r="W103" s="5">
        <f t="shared" si="14"/>
        <v>2.2795719638230452</v>
      </c>
    </row>
    <row r="104" spans="13:23" x14ac:dyDescent="0.35">
      <c r="M104" s="5">
        <v>44</v>
      </c>
      <c r="N104" s="5">
        <v>44</v>
      </c>
      <c r="O104" s="5">
        <f t="shared" si="15"/>
        <v>1.2731481481481481E-2</v>
      </c>
      <c r="P104" s="5">
        <v>2</v>
      </c>
      <c r="Q104" s="5">
        <f t="shared" si="12"/>
        <v>2.5462962962962962E-2</v>
      </c>
      <c r="S104" s="5">
        <v>44</v>
      </c>
      <c r="T104" s="5">
        <v>44</v>
      </c>
      <c r="U104" s="5">
        <f t="shared" si="13"/>
        <v>0.56018518518518523</v>
      </c>
      <c r="V104" s="5">
        <v>2</v>
      </c>
      <c r="W104" s="5">
        <f t="shared" si="14"/>
        <v>1.1203703703703705</v>
      </c>
    </row>
    <row r="105" spans="13:23" x14ac:dyDescent="0.35">
      <c r="M105" s="5">
        <v>45</v>
      </c>
      <c r="N105" s="5">
        <v>45</v>
      </c>
      <c r="O105" s="5">
        <f t="shared" si="15"/>
        <v>1.2239798043332285E-2</v>
      </c>
      <c r="P105" s="5">
        <v>4</v>
      </c>
      <c r="Q105" s="5">
        <f t="shared" si="12"/>
        <v>4.8959192173329141E-2</v>
      </c>
      <c r="S105" s="5">
        <v>45</v>
      </c>
      <c r="T105" s="5">
        <v>45</v>
      </c>
      <c r="U105" s="5">
        <f t="shared" si="13"/>
        <v>0.55079091194995278</v>
      </c>
      <c r="V105" s="5">
        <v>4</v>
      </c>
      <c r="W105" s="5">
        <f t="shared" si="14"/>
        <v>2.2031636477998111</v>
      </c>
    </row>
    <row r="106" spans="13:23" x14ac:dyDescent="0.35">
      <c r="M106" s="5">
        <v>46</v>
      </c>
      <c r="N106" s="5">
        <v>46</v>
      </c>
      <c r="O106" s="5">
        <f t="shared" si="15"/>
        <v>1.1776E-2</v>
      </c>
      <c r="P106" s="5">
        <v>2</v>
      </c>
      <c r="Q106" s="5">
        <f t="shared" si="12"/>
        <v>2.3552E-2</v>
      </c>
      <c r="S106" s="5">
        <v>46</v>
      </c>
      <c r="T106" s="5">
        <v>46</v>
      </c>
      <c r="U106" s="5">
        <f t="shared" si="13"/>
        <v>0.54169599999999996</v>
      </c>
      <c r="V106" s="5">
        <v>2</v>
      </c>
      <c r="W106" s="5">
        <f t="shared" si="14"/>
        <v>1.0833919999999999</v>
      </c>
    </row>
    <row r="107" spans="13:23" x14ac:dyDescent="0.35">
      <c r="M107" s="5">
        <v>47</v>
      </c>
      <c r="N107" s="5">
        <v>47</v>
      </c>
      <c r="O107" s="5">
        <f t="shared" si="15"/>
        <v>1.133802232927004E-2</v>
      </c>
      <c r="P107" s="5">
        <v>4</v>
      </c>
      <c r="Q107" s="5">
        <f t="shared" si="12"/>
        <v>4.5352089317080159E-2</v>
      </c>
      <c r="S107" s="5">
        <v>47</v>
      </c>
      <c r="T107" s="5">
        <v>47</v>
      </c>
      <c r="U107" s="5">
        <f t="shared" si="13"/>
        <v>0.53288704947569188</v>
      </c>
      <c r="V107" s="5">
        <v>4</v>
      </c>
      <c r="W107" s="5">
        <f t="shared" si="14"/>
        <v>2.1315481979027675</v>
      </c>
    </row>
    <row r="108" spans="13:23" x14ac:dyDescent="0.35">
      <c r="M108" s="5">
        <v>48</v>
      </c>
      <c r="N108" s="5">
        <v>48</v>
      </c>
      <c r="O108" s="5">
        <f t="shared" si="15"/>
        <v>1.0923987255348202E-2</v>
      </c>
      <c r="P108" s="5">
        <v>2</v>
      </c>
      <c r="Q108" s="5">
        <f t="shared" si="12"/>
        <v>2.1847974510696404E-2</v>
      </c>
      <c r="S108" s="5">
        <v>48</v>
      </c>
      <c r="T108" s="5">
        <v>48</v>
      </c>
      <c r="U108" s="5">
        <f t="shared" si="13"/>
        <v>0.52435138825671368</v>
      </c>
      <c r="V108" s="5">
        <v>2</v>
      </c>
      <c r="W108" s="5">
        <f t="shared" si="14"/>
        <v>1.0487027765134274</v>
      </c>
    </row>
    <row r="109" spans="13:23" x14ac:dyDescent="0.35">
      <c r="M109" s="5">
        <v>49</v>
      </c>
      <c r="N109" s="5">
        <v>49</v>
      </c>
      <c r="O109" s="5">
        <f t="shared" si="15"/>
        <v>1.0532184286357195E-2</v>
      </c>
      <c r="P109" s="5">
        <v>4</v>
      </c>
      <c r="Q109" s="5">
        <f t="shared" si="12"/>
        <v>4.212873714542878E-2</v>
      </c>
      <c r="S109" s="5">
        <v>49</v>
      </c>
      <c r="T109" s="5">
        <v>49</v>
      </c>
      <c r="U109" s="5">
        <f t="shared" si="13"/>
        <v>0.51607703003150251</v>
      </c>
      <c r="V109" s="5">
        <v>4</v>
      </c>
      <c r="W109" s="5">
        <f t="shared" si="14"/>
        <v>2.0643081201260101</v>
      </c>
    </row>
    <row r="110" spans="13:23" x14ac:dyDescent="0.35">
      <c r="M110" s="5">
        <v>50</v>
      </c>
      <c r="N110" s="5">
        <v>50</v>
      </c>
      <c r="O110" s="5">
        <f t="shared" si="15"/>
        <v>1.0161052685058172E-2</v>
      </c>
      <c r="P110" s="5">
        <v>2</v>
      </c>
      <c r="Q110" s="5">
        <f t="shared" si="12"/>
        <v>2.0322105370116344E-2</v>
      </c>
      <c r="S110" s="5">
        <v>50</v>
      </c>
      <c r="T110" s="5">
        <v>50</v>
      </c>
      <c r="U110" s="5">
        <f t="shared" si="13"/>
        <v>0.50805263425290859</v>
      </c>
      <c r="V110" s="5">
        <v>2</v>
      </c>
      <c r="W110" s="5">
        <f t="shared" si="14"/>
        <v>1.0161052685058172</v>
      </c>
    </row>
    <row r="111" spans="13:23" x14ac:dyDescent="0.35">
      <c r="M111" s="5">
        <v>51</v>
      </c>
      <c r="N111" s="5">
        <v>51</v>
      </c>
      <c r="O111" s="5">
        <f t="shared" si="15"/>
        <v>9.8091660405709991E-3</v>
      </c>
      <c r="P111" s="5">
        <v>4</v>
      </c>
      <c r="Q111" s="5">
        <f t="shared" si="12"/>
        <v>3.9236664162283996E-2</v>
      </c>
      <c r="S111" s="5">
        <v>51</v>
      </c>
      <c r="T111" s="5">
        <v>51</v>
      </c>
      <c r="U111" s="5">
        <f t="shared" si="13"/>
        <v>0.50026746806912092</v>
      </c>
      <c r="V111" s="5">
        <v>4</v>
      </c>
      <c r="W111" s="5">
        <f t="shared" si="14"/>
        <v>2.0010698722764837</v>
      </c>
    </row>
    <row r="112" spans="13:23" x14ac:dyDescent="0.35">
      <c r="M112" s="5">
        <v>52</v>
      </c>
      <c r="N112" s="5">
        <v>52</v>
      </c>
      <c r="O112" s="5">
        <f t="shared" si="15"/>
        <v>9.4752186588921289E-3</v>
      </c>
      <c r="P112" s="5">
        <v>2</v>
      </c>
      <c r="Q112" s="5">
        <f t="shared" si="12"/>
        <v>1.8950437317784258E-2</v>
      </c>
      <c r="S112" s="5">
        <v>52</v>
      </c>
      <c r="T112" s="5">
        <v>52</v>
      </c>
      <c r="U112" s="5">
        <f t="shared" si="13"/>
        <v>0.49271137026239065</v>
      </c>
      <c r="V112" s="5">
        <v>2</v>
      </c>
      <c r="W112" s="5">
        <f t="shared" si="14"/>
        <v>0.98542274052478129</v>
      </c>
    </row>
    <row r="113" spans="13:23" x14ac:dyDescent="0.35">
      <c r="M113" s="5">
        <v>53</v>
      </c>
      <c r="N113" s="5">
        <v>53</v>
      </c>
      <c r="O113" s="5">
        <f t="shared" si="15"/>
        <v>9.1580135318289572E-3</v>
      </c>
      <c r="P113" s="5">
        <v>4</v>
      </c>
      <c r="Q113" s="5">
        <f t="shared" si="12"/>
        <v>3.6632054127315829E-2</v>
      </c>
      <c r="S113" s="5">
        <v>53</v>
      </c>
      <c r="T113" s="5">
        <v>53</v>
      </c>
      <c r="U113" s="5">
        <f t="shared" si="13"/>
        <v>0.4853747171869347</v>
      </c>
      <c r="V113" s="5">
        <v>4</v>
      </c>
      <c r="W113" s="5">
        <f t="shared" si="14"/>
        <v>1.9414988687477388</v>
      </c>
    </row>
    <row r="114" spans="13:23" x14ac:dyDescent="0.35">
      <c r="M114" s="5">
        <v>54</v>
      </c>
      <c r="N114" s="5">
        <v>54</v>
      </c>
      <c r="O114" s="5">
        <f t="shared" si="15"/>
        <v>8.8564516790356311E-3</v>
      </c>
      <c r="P114" s="5">
        <v>2</v>
      </c>
      <c r="Q114" s="5">
        <f t="shared" si="12"/>
        <v>1.7712903358071262E-2</v>
      </c>
      <c r="S114" s="5">
        <v>54</v>
      </c>
      <c r="T114" s="5">
        <v>54</v>
      </c>
      <c r="U114" s="5">
        <f t="shared" si="13"/>
        <v>0.47824839066792407</v>
      </c>
      <c r="V114" s="5">
        <v>2</v>
      </c>
      <c r="W114" s="5">
        <f t="shared" si="14"/>
        <v>0.95649678133584815</v>
      </c>
    </row>
    <row r="115" spans="13:23" x14ac:dyDescent="0.35">
      <c r="M115" s="5">
        <v>55</v>
      </c>
      <c r="N115" s="5">
        <v>55</v>
      </c>
      <c r="O115" s="5">
        <f t="shared" si="15"/>
        <v>8.5695226873244105E-3</v>
      </c>
      <c r="P115" s="5">
        <v>4</v>
      </c>
      <c r="Q115" s="5">
        <f t="shared" si="12"/>
        <v>3.4278090749297642E-2</v>
      </c>
      <c r="S115" s="5">
        <v>55</v>
      </c>
      <c r="T115" s="5">
        <v>55</v>
      </c>
      <c r="U115" s="5">
        <f t="shared" si="13"/>
        <v>0.47132374780284253</v>
      </c>
      <c r="V115" s="5">
        <v>4</v>
      </c>
      <c r="W115" s="5">
        <f t="shared" si="14"/>
        <v>1.8852949912113701</v>
      </c>
    </row>
    <row r="116" spans="13:23" x14ac:dyDescent="0.35">
      <c r="M116" s="5">
        <v>56</v>
      </c>
      <c r="N116" s="5">
        <v>56</v>
      </c>
      <c r="O116" s="5">
        <f t="shared" si="15"/>
        <v>8.2962962962962964E-3</v>
      </c>
      <c r="P116" s="5">
        <v>2</v>
      </c>
      <c r="Q116" s="5">
        <f t="shared" si="12"/>
        <v>1.6592592592592593E-2</v>
      </c>
      <c r="S116" s="5">
        <v>56</v>
      </c>
      <c r="T116" s="5">
        <v>56</v>
      </c>
      <c r="U116" s="5">
        <f t="shared" si="13"/>
        <v>0.46459259259259261</v>
      </c>
      <c r="V116" s="5">
        <v>2</v>
      </c>
      <c r="W116" s="5">
        <f t="shared" si="14"/>
        <v>0.92918518518518523</v>
      </c>
    </row>
    <row r="117" spans="13:23" x14ac:dyDescent="0.35">
      <c r="M117" s="5">
        <v>57</v>
      </c>
      <c r="N117" s="5">
        <v>57</v>
      </c>
      <c r="O117" s="5">
        <f t="shared" si="15"/>
        <v>8.0359149003661097E-3</v>
      </c>
      <c r="P117" s="5">
        <v>4</v>
      </c>
      <c r="Q117" s="5">
        <f t="shared" si="12"/>
        <v>3.2143659601464439E-2</v>
      </c>
      <c r="S117" s="5">
        <v>57</v>
      </c>
      <c r="T117" s="5">
        <v>57</v>
      </c>
      <c r="U117" s="5">
        <f t="shared" si="13"/>
        <v>0.45804714932086826</v>
      </c>
      <c r="V117" s="5">
        <v>4</v>
      </c>
      <c r="W117" s="5">
        <f t="shared" si="14"/>
        <v>1.8321885972834731</v>
      </c>
    </row>
    <row r="118" spans="13:23" x14ac:dyDescent="0.35">
      <c r="M118" s="5">
        <v>58</v>
      </c>
      <c r="N118" s="5">
        <v>58</v>
      </c>
      <c r="O118" s="5">
        <f t="shared" si="15"/>
        <v>7.7875868550904637E-3</v>
      </c>
      <c r="P118" s="5">
        <v>2</v>
      </c>
      <c r="Q118" s="5">
        <f t="shared" si="12"/>
        <v>1.5575173710180927E-2</v>
      </c>
      <c r="S118" s="5">
        <v>58</v>
      </c>
      <c r="T118" s="5">
        <v>58</v>
      </c>
      <c r="U118" s="5">
        <f t="shared" si="13"/>
        <v>0.45168003759524689</v>
      </c>
      <c r="V118" s="5">
        <v>2</v>
      </c>
      <c r="W118" s="5">
        <f t="shared" si="14"/>
        <v>0.90336007519049377</v>
      </c>
    </row>
    <row r="119" spans="13:23" x14ac:dyDescent="0.35">
      <c r="M119" s="5">
        <v>59</v>
      </c>
      <c r="N119" s="5">
        <v>59</v>
      </c>
      <c r="O119" s="5">
        <f t="shared" si="15"/>
        <v>7.5505804908677166E-3</v>
      </c>
      <c r="P119" s="5">
        <v>4</v>
      </c>
      <c r="Q119" s="5">
        <f t="shared" si="12"/>
        <v>3.0202321963470866E-2</v>
      </c>
      <c r="S119" s="5">
        <v>59</v>
      </c>
      <c r="T119" s="5">
        <v>59</v>
      </c>
      <c r="U119" s="5">
        <f t="shared" si="13"/>
        <v>0.44548424896119532</v>
      </c>
      <c r="V119" s="5">
        <v>4</v>
      </c>
      <c r="W119" s="5">
        <f t="shared" si="14"/>
        <v>1.7819369958447813</v>
      </c>
    </row>
    <row r="120" spans="13:23" x14ac:dyDescent="0.35">
      <c r="M120" s="5">
        <v>60</v>
      </c>
      <c r="N120" s="5">
        <v>60</v>
      </c>
      <c r="O120" s="5">
        <f t="shared" si="15"/>
        <v>7.32421875E-3</v>
      </c>
      <c r="P120" s="5">
        <v>2</v>
      </c>
      <c r="Q120" s="5">
        <f t="shared" si="12"/>
        <v>1.46484375E-2</v>
      </c>
      <c r="S120" s="5">
        <v>60</v>
      </c>
      <c r="T120" s="5">
        <v>60</v>
      </c>
      <c r="U120" s="5">
        <f t="shared" si="13"/>
        <v>0.439453125</v>
      </c>
      <c r="V120" s="5">
        <v>2</v>
      </c>
      <c r="W120" s="5">
        <f t="shared" si="14"/>
        <v>0.87890625</v>
      </c>
    </row>
    <row r="121" spans="13:23" x14ac:dyDescent="0.35">
      <c r="M121" s="5">
        <v>61</v>
      </c>
      <c r="N121" s="5">
        <v>61</v>
      </c>
      <c r="O121" s="5">
        <f t="shared" si="15"/>
        <v>7.1078743741465637E-3</v>
      </c>
      <c r="P121" s="5">
        <v>4</v>
      </c>
      <c r="Q121" s="5">
        <f t="shared" si="12"/>
        <v>2.8431497496586255E-2</v>
      </c>
      <c r="S121" s="5">
        <v>61</v>
      </c>
      <c r="T121" s="5">
        <v>61</v>
      </c>
      <c r="U121" s="5">
        <f t="shared" si="13"/>
        <v>0.43358033682294039</v>
      </c>
      <c r="V121" s="5">
        <v>4</v>
      </c>
      <c r="W121" s="5">
        <f t="shared" si="14"/>
        <v>1.7343213472917616</v>
      </c>
    </row>
    <row r="122" spans="13:23" x14ac:dyDescent="0.35">
      <c r="M122" s="5">
        <v>62</v>
      </c>
      <c r="N122" s="5">
        <v>62</v>
      </c>
      <c r="O122" s="5">
        <f t="shared" si="15"/>
        <v>6.9009655786515288E-3</v>
      </c>
      <c r="P122" s="5">
        <v>2</v>
      </c>
      <c r="Q122" s="5">
        <f t="shared" si="12"/>
        <v>1.3801931157303058E-2</v>
      </c>
      <c r="S122" s="5">
        <v>62</v>
      </c>
      <c r="T122" s="5">
        <v>62</v>
      </c>
      <c r="U122" s="5">
        <f t="shared" si="13"/>
        <v>0.4278598658763948</v>
      </c>
      <c r="V122" s="5">
        <v>2</v>
      </c>
      <c r="W122" s="5">
        <f t="shared" si="14"/>
        <v>0.85571973175278959</v>
      </c>
    </row>
    <row r="123" spans="13:23" x14ac:dyDescent="0.35">
      <c r="M123" s="5">
        <v>63</v>
      </c>
      <c r="N123" s="5">
        <v>63</v>
      </c>
      <c r="O123" s="5">
        <f t="shared" si="15"/>
        <v>6.7029521583439455E-3</v>
      </c>
      <c r="P123" s="5">
        <v>4</v>
      </c>
      <c r="Q123" s="5">
        <f t="shared" si="12"/>
        <v>2.6811808633375782E-2</v>
      </c>
      <c r="S123" s="5">
        <v>63</v>
      </c>
      <c r="T123" s="5">
        <v>63</v>
      </c>
      <c r="U123" s="5">
        <f t="shared" si="13"/>
        <v>0.42228598597566858</v>
      </c>
      <c r="V123" s="5">
        <v>4</v>
      </c>
      <c r="W123" s="5">
        <f t="shared" si="14"/>
        <v>1.6891439439026743</v>
      </c>
    </row>
    <row r="124" spans="13:23" x14ac:dyDescent="0.35">
      <c r="M124" s="5">
        <v>64</v>
      </c>
      <c r="N124" s="5">
        <v>64</v>
      </c>
      <c r="O124" s="5">
        <f t="shared" si="15"/>
        <v>6.5133319763891716E-3</v>
      </c>
      <c r="P124" s="5">
        <v>2</v>
      </c>
      <c r="Q124" s="5">
        <f t="shared" si="12"/>
        <v>1.3026663952778343E-2</v>
      </c>
      <c r="S124" s="5">
        <v>64</v>
      </c>
      <c r="T124" s="5">
        <v>64</v>
      </c>
      <c r="U124" s="5">
        <f t="shared" si="13"/>
        <v>0.41685324648890698</v>
      </c>
      <c r="V124" s="5">
        <v>2</v>
      </c>
      <c r="W124" s="5">
        <f t="shared" si="14"/>
        <v>0.83370649297781396</v>
      </c>
    </row>
    <row r="125" spans="13:23" x14ac:dyDescent="0.35">
      <c r="M125" s="5">
        <v>65</v>
      </c>
      <c r="N125" s="5">
        <v>65</v>
      </c>
      <c r="O125" s="5">
        <f t="shared" si="15"/>
        <v>6.3316377937895161E-3</v>
      </c>
      <c r="P125" s="5">
        <v>4</v>
      </c>
      <c r="Q125" s="5">
        <f t="shared" ref="Q125:Q160" si="16">O125*P125</f>
        <v>2.5326551175158064E-2</v>
      </c>
      <c r="S125" s="5">
        <v>65</v>
      </c>
      <c r="T125" s="5">
        <v>65</v>
      </c>
      <c r="U125" s="5">
        <f t="shared" ref="U125:U160" si="17">T125^2*32/(T125+4)^3</f>
        <v>0.41155645659631851</v>
      </c>
      <c r="V125" s="5">
        <v>4</v>
      </c>
      <c r="W125" s="5">
        <f t="shared" ref="W125:W160" si="18">U125*V125</f>
        <v>1.646225826385274</v>
      </c>
    </row>
    <row r="126" spans="13:23" x14ac:dyDescent="0.35">
      <c r="M126" s="5">
        <v>66</v>
      </c>
      <c r="N126" s="5">
        <v>66</v>
      </c>
      <c r="O126" s="5">
        <f t="shared" ref="O126:O160" si="19">N126*32/(N126+4)^3</f>
        <v>6.1574344023323617E-3</v>
      </c>
      <c r="P126" s="5">
        <v>2</v>
      </c>
      <c r="Q126" s="5">
        <f t="shared" si="16"/>
        <v>1.2314868804664723E-2</v>
      </c>
      <c r="S126" s="5">
        <v>66</v>
      </c>
      <c r="T126" s="5">
        <v>66</v>
      </c>
      <c r="U126" s="5">
        <f t="shared" si="17"/>
        <v>0.40639067055393585</v>
      </c>
      <c r="V126" s="5">
        <v>2</v>
      </c>
      <c r="W126" s="5">
        <f t="shared" si="18"/>
        <v>0.8127813411078717</v>
      </c>
    </row>
    <row r="127" spans="13:23" x14ac:dyDescent="0.35">
      <c r="M127" s="5">
        <v>67</v>
      </c>
      <c r="N127" s="5">
        <v>67</v>
      </c>
      <c r="O127" s="5">
        <f t="shared" si="19"/>
        <v>5.9903160282863618E-3</v>
      </c>
      <c r="P127" s="5">
        <v>4</v>
      </c>
      <c r="Q127" s="5">
        <f t="shared" si="16"/>
        <v>2.3961264113145447E-2</v>
      </c>
      <c r="S127" s="5">
        <v>67</v>
      </c>
      <c r="T127" s="5">
        <v>67</v>
      </c>
      <c r="U127" s="5">
        <f t="shared" si="17"/>
        <v>0.40135117389518621</v>
      </c>
      <c r="V127" s="5">
        <v>4</v>
      </c>
      <c r="W127" s="5">
        <f t="shared" si="18"/>
        <v>1.6054046955807448</v>
      </c>
    </row>
    <row r="128" spans="13:23" x14ac:dyDescent="0.35">
      <c r="M128" s="5">
        <v>68</v>
      </c>
      <c r="N128" s="5">
        <v>68</v>
      </c>
      <c r="O128" s="5">
        <f t="shared" si="19"/>
        <v>5.8299039780521263E-3</v>
      </c>
      <c r="P128" s="5">
        <v>2</v>
      </c>
      <c r="Q128" s="5">
        <f t="shared" si="16"/>
        <v>1.1659807956104253E-2</v>
      </c>
      <c r="S128" s="5">
        <v>68</v>
      </c>
      <c r="T128" s="5">
        <v>68</v>
      </c>
      <c r="U128" s="5">
        <f t="shared" si="17"/>
        <v>0.39643347050754457</v>
      </c>
      <c r="V128" s="5">
        <v>2</v>
      </c>
      <c r="W128" s="5">
        <f t="shared" si="18"/>
        <v>0.79286694101508914</v>
      </c>
    </row>
    <row r="129" spans="13:23" x14ac:dyDescent="0.35">
      <c r="M129" s="5">
        <v>69</v>
      </c>
      <c r="N129" s="5">
        <v>69</v>
      </c>
      <c r="O129" s="5">
        <f t="shared" si="19"/>
        <v>5.6758445003688785E-3</v>
      </c>
      <c r="P129" s="5">
        <v>4</v>
      </c>
      <c r="Q129" s="5">
        <f t="shared" si="16"/>
        <v>2.2703378001475514E-2</v>
      </c>
      <c r="S129" s="5">
        <v>69</v>
      </c>
      <c r="T129" s="5">
        <v>69</v>
      </c>
      <c r="U129" s="5">
        <f t="shared" si="17"/>
        <v>0.3916332705254526</v>
      </c>
      <c r="V129" s="5">
        <v>4</v>
      </c>
      <c r="W129" s="5">
        <f t="shared" si="18"/>
        <v>1.5665330821018104</v>
      </c>
    </row>
    <row r="130" spans="13:23" x14ac:dyDescent="0.35">
      <c r="M130" s="5">
        <v>70</v>
      </c>
      <c r="N130" s="5">
        <v>70</v>
      </c>
      <c r="O130" s="5">
        <f t="shared" si="19"/>
        <v>5.5278068426351844E-3</v>
      </c>
      <c r="P130" s="5">
        <v>2</v>
      </c>
      <c r="Q130" s="5">
        <f t="shared" si="16"/>
        <v>1.1055613685270369E-2</v>
      </c>
      <c r="S130" s="5">
        <v>70</v>
      </c>
      <c r="T130" s="5">
        <v>70</v>
      </c>
      <c r="U130" s="5">
        <f t="shared" si="17"/>
        <v>0.38694647898446294</v>
      </c>
      <c r="V130" s="5">
        <v>2</v>
      </c>
      <c r="W130" s="5">
        <f t="shared" si="18"/>
        <v>0.77389295796892588</v>
      </c>
    </row>
    <row r="131" spans="13:23" x14ac:dyDescent="0.35">
      <c r="M131" s="5">
        <v>71</v>
      </c>
      <c r="N131" s="5">
        <v>71</v>
      </c>
      <c r="O131" s="5">
        <f t="shared" si="19"/>
        <v>5.3854814814814815E-3</v>
      </c>
      <c r="P131" s="5">
        <v>4</v>
      </c>
      <c r="Q131" s="5">
        <f t="shared" si="16"/>
        <v>2.1541925925925926E-2</v>
      </c>
      <c r="S131" s="5">
        <v>71</v>
      </c>
      <c r="T131" s="5">
        <v>71</v>
      </c>
      <c r="U131" s="5">
        <f t="shared" si="17"/>
        <v>0.3823691851851852</v>
      </c>
      <c r="V131" s="5">
        <v>4</v>
      </c>
      <c r="W131" s="5">
        <f t="shared" si="18"/>
        <v>1.5294767407407408</v>
      </c>
    </row>
    <row r="132" spans="13:23" x14ac:dyDescent="0.35">
      <c r="M132" s="5">
        <v>72</v>
      </c>
      <c r="N132" s="5">
        <v>72</v>
      </c>
      <c r="O132" s="5">
        <f t="shared" si="19"/>
        <v>5.2485785099868785E-3</v>
      </c>
      <c r="P132" s="5">
        <v>2</v>
      </c>
      <c r="Q132" s="5">
        <f t="shared" si="16"/>
        <v>1.0497157019973757E-2</v>
      </c>
      <c r="S132" s="5">
        <v>72</v>
      </c>
      <c r="T132" s="5">
        <v>72</v>
      </c>
      <c r="U132" s="5">
        <f t="shared" si="17"/>
        <v>0.37789765271905523</v>
      </c>
      <c r="V132" s="5">
        <v>2</v>
      </c>
      <c r="W132" s="5">
        <f t="shared" si="18"/>
        <v>0.75579530543811047</v>
      </c>
    </row>
    <row r="133" spans="13:23" x14ac:dyDescent="0.35">
      <c r="M133" s="5">
        <v>73</v>
      </c>
      <c r="N133" s="5">
        <v>73</v>
      </c>
      <c r="O133" s="5">
        <f t="shared" si="19"/>
        <v>5.1168261659069554E-3</v>
      </c>
      <c r="P133" s="5">
        <v>4</v>
      </c>
      <c r="Q133" s="5">
        <f t="shared" si="16"/>
        <v>2.0467304663627821E-2</v>
      </c>
      <c r="S133" s="5">
        <v>73</v>
      </c>
      <c r="T133" s="5">
        <v>73</v>
      </c>
      <c r="U133" s="5">
        <f t="shared" si="17"/>
        <v>0.37352831011120774</v>
      </c>
      <c r="V133" s="5">
        <v>4</v>
      </c>
      <c r="W133" s="5">
        <f t="shared" si="18"/>
        <v>1.494113240444831</v>
      </c>
    </row>
    <row r="134" spans="13:23" x14ac:dyDescent="0.35">
      <c r="M134" s="5">
        <v>74</v>
      </c>
      <c r="N134" s="5">
        <v>74</v>
      </c>
      <c r="O134" s="5">
        <f t="shared" si="19"/>
        <v>4.9899694870109068E-3</v>
      </c>
      <c r="P134" s="5">
        <v>2</v>
      </c>
      <c r="Q134" s="5">
        <f t="shared" si="16"/>
        <v>9.9799389740218136E-3</v>
      </c>
      <c r="S134" s="5">
        <v>74</v>
      </c>
      <c r="T134" s="5">
        <v>74</v>
      </c>
      <c r="U134" s="5">
        <f t="shared" si="17"/>
        <v>0.36925774203880712</v>
      </c>
      <c r="V134" s="5">
        <v>2</v>
      </c>
      <c r="W134" s="5">
        <f t="shared" si="18"/>
        <v>0.73851548407761425</v>
      </c>
    </row>
    <row r="135" spans="13:23" x14ac:dyDescent="0.35">
      <c r="M135" s="5">
        <v>75</v>
      </c>
      <c r="N135" s="5">
        <v>75</v>
      </c>
      <c r="O135" s="5">
        <f t="shared" si="19"/>
        <v>4.8677690811477388E-3</v>
      </c>
      <c r="P135" s="5">
        <v>4</v>
      </c>
      <c r="Q135" s="5">
        <f t="shared" si="16"/>
        <v>1.9471076324590955E-2</v>
      </c>
      <c r="S135" s="5">
        <v>75</v>
      </c>
      <c r="T135" s="5">
        <v>75</v>
      </c>
      <c r="U135" s="5">
        <f t="shared" si="17"/>
        <v>0.36508268108608039</v>
      </c>
      <c r="V135" s="5">
        <v>4</v>
      </c>
      <c r="W135" s="5">
        <f t="shared" si="18"/>
        <v>1.4603307243443215</v>
      </c>
    </row>
    <row r="136" spans="13:23" x14ac:dyDescent="0.35">
      <c r="M136" s="5">
        <v>76</v>
      </c>
      <c r="N136" s="5">
        <v>76</v>
      </c>
      <c r="O136" s="5">
        <f t="shared" si="19"/>
        <v>4.7499999999999999E-3</v>
      </c>
      <c r="P136" s="5">
        <v>2</v>
      </c>
      <c r="Q136" s="5">
        <f t="shared" si="16"/>
        <v>9.4999999999999998E-3</v>
      </c>
      <c r="S136" s="5">
        <v>76</v>
      </c>
      <c r="T136" s="5">
        <v>76</v>
      </c>
      <c r="U136" s="5">
        <f t="shared" si="17"/>
        <v>0.36099999999999999</v>
      </c>
      <c r="V136" s="5">
        <v>2</v>
      </c>
      <c r="W136" s="5">
        <f t="shared" si="18"/>
        <v>0.72199999999999998</v>
      </c>
    </row>
    <row r="137" spans="13:23" x14ac:dyDescent="0.35">
      <c r="M137" s="5">
        <v>77</v>
      </c>
      <c r="N137" s="5">
        <v>77</v>
      </c>
      <c r="O137" s="5">
        <f t="shared" si="19"/>
        <v>4.6364507066635804E-3</v>
      </c>
      <c r="P137" s="5">
        <v>4</v>
      </c>
      <c r="Q137" s="5">
        <f t="shared" si="16"/>
        <v>1.8545802826654322E-2</v>
      </c>
      <c r="S137" s="5">
        <v>77</v>
      </c>
      <c r="T137" s="5">
        <v>77</v>
      </c>
      <c r="U137" s="5">
        <f t="shared" si="17"/>
        <v>0.35700670441309573</v>
      </c>
      <c r="V137" s="5">
        <v>4</v>
      </c>
      <c r="W137" s="5">
        <f t="shared" si="18"/>
        <v>1.4280268176523829</v>
      </c>
    </row>
    <row r="138" spans="13:23" x14ac:dyDescent="0.35">
      <c r="M138" s="5">
        <v>78</v>
      </c>
      <c r="N138" s="5">
        <v>78</v>
      </c>
      <c r="O138" s="5">
        <f t="shared" si="19"/>
        <v>4.5269221282337752E-3</v>
      </c>
      <c r="P138" s="5">
        <v>2</v>
      </c>
      <c r="Q138" s="5">
        <f t="shared" si="16"/>
        <v>9.0538442564675504E-3</v>
      </c>
      <c r="S138" s="5">
        <v>78</v>
      </c>
      <c r="T138" s="5">
        <v>78</v>
      </c>
      <c r="U138" s="5">
        <f t="shared" si="17"/>
        <v>0.35309992600223444</v>
      </c>
      <c r="V138" s="5">
        <v>2</v>
      </c>
      <c r="W138" s="5">
        <f t="shared" si="18"/>
        <v>0.70619985200446889</v>
      </c>
    </row>
    <row r="139" spans="13:23" x14ac:dyDescent="0.35">
      <c r="M139" s="5">
        <v>79</v>
      </c>
      <c r="N139" s="5">
        <v>79</v>
      </c>
      <c r="O139" s="5">
        <f t="shared" si="19"/>
        <v>4.4212267854987957E-3</v>
      </c>
      <c r="P139" s="5">
        <v>4</v>
      </c>
      <c r="Q139" s="5">
        <f t="shared" si="16"/>
        <v>1.7684907141995183E-2</v>
      </c>
      <c r="S139" s="5">
        <v>79</v>
      </c>
      <c r="T139" s="5">
        <v>79</v>
      </c>
      <c r="U139" s="5">
        <f t="shared" si="17"/>
        <v>0.34927691605440486</v>
      </c>
      <c r="V139" s="5">
        <v>4</v>
      </c>
      <c r="W139" s="5">
        <f t="shared" si="18"/>
        <v>1.3971076642176194</v>
      </c>
    </row>
    <row r="140" spans="13:23" x14ac:dyDescent="0.35">
      <c r="M140" s="5">
        <v>80</v>
      </c>
      <c r="N140" s="5">
        <v>80</v>
      </c>
      <c r="O140" s="5">
        <f t="shared" si="19"/>
        <v>4.3191879926573803E-3</v>
      </c>
      <c r="P140" s="5">
        <v>2</v>
      </c>
      <c r="Q140" s="5">
        <f t="shared" si="16"/>
        <v>8.6383759853147606E-3</v>
      </c>
      <c r="S140" s="5">
        <v>80</v>
      </c>
      <c r="T140" s="5">
        <v>80</v>
      </c>
      <c r="U140" s="5">
        <f t="shared" si="17"/>
        <v>0.34553503941259045</v>
      </c>
      <c r="V140" s="5">
        <v>2</v>
      </c>
      <c r="W140" s="5">
        <f t="shared" si="18"/>
        <v>0.6910700788251809</v>
      </c>
    </row>
    <row r="141" spans="13:23" x14ac:dyDescent="0.35">
      <c r="M141" s="5">
        <v>81</v>
      </c>
      <c r="N141" s="5">
        <v>81</v>
      </c>
      <c r="O141" s="5">
        <f t="shared" si="19"/>
        <v>4.2206391207001833E-3</v>
      </c>
      <c r="P141" s="5">
        <v>4</v>
      </c>
      <c r="Q141" s="5">
        <f t="shared" si="16"/>
        <v>1.6882556482800733E-2</v>
      </c>
      <c r="S141" s="5">
        <v>81</v>
      </c>
      <c r="T141" s="5">
        <v>81</v>
      </c>
      <c r="U141" s="5">
        <f t="shared" si="17"/>
        <v>0.34187176877671482</v>
      </c>
      <c r="V141" s="5">
        <v>4</v>
      </c>
      <c r="W141" s="5">
        <f t="shared" si="18"/>
        <v>1.3674870751068593</v>
      </c>
    </row>
    <row r="142" spans="13:23" x14ac:dyDescent="0.35">
      <c r="M142" s="5">
        <v>82</v>
      </c>
      <c r="N142" s="5">
        <v>82</v>
      </c>
      <c r="O142" s="5">
        <f t="shared" si="19"/>
        <v>4.1254229187367153E-3</v>
      </c>
      <c r="P142" s="5">
        <v>2</v>
      </c>
      <c r="Q142" s="5">
        <f t="shared" si="16"/>
        <v>8.2508458374734306E-3</v>
      </c>
      <c r="S142" s="5">
        <v>82</v>
      </c>
      <c r="T142" s="5">
        <v>82</v>
      </c>
      <c r="U142" s="5">
        <f t="shared" si="17"/>
        <v>0.33828467933641065</v>
      </c>
      <c r="V142" s="5">
        <v>2</v>
      </c>
      <c r="W142" s="5">
        <f t="shared" si="18"/>
        <v>0.67656935867282131</v>
      </c>
    </row>
    <row r="143" spans="13:23" x14ac:dyDescent="0.35">
      <c r="M143" s="5">
        <v>83</v>
      </c>
      <c r="N143" s="5">
        <v>83</v>
      </c>
      <c r="O143" s="5">
        <f t="shared" si="19"/>
        <v>4.0333908881204795E-3</v>
      </c>
      <c r="P143" s="5">
        <v>4</v>
      </c>
      <c r="Q143" s="5">
        <f t="shared" si="16"/>
        <v>1.6133563552481918E-2</v>
      </c>
      <c r="S143" s="5">
        <v>83</v>
      </c>
      <c r="T143" s="5">
        <v>83</v>
      </c>
      <c r="U143" s="5">
        <f t="shared" si="17"/>
        <v>0.33477144371399981</v>
      </c>
      <c r="V143" s="5">
        <v>4</v>
      </c>
      <c r="W143" s="5">
        <f t="shared" si="18"/>
        <v>1.3390857748559992</v>
      </c>
    </row>
    <row r="144" spans="13:23" x14ac:dyDescent="0.35">
      <c r="M144" s="5">
        <v>84</v>
      </c>
      <c r="N144" s="5">
        <v>84</v>
      </c>
      <c r="O144" s="5">
        <f t="shared" si="19"/>
        <v>3.9444027047332835E-3</v>
      </c>
      <c r="P144" s="5">
        <v>2</v>
      </c>
      <c r="Q144" s="5">
        <f t="shared" si="16"/>
        <v>7.888805409466567E-3</v>
      </c>
      <c r="S144" s="5">
        <v>84</v>
      </c>
      <c r="T144" s="5">
        <v>84</v>
      </c>
      <c r="U144" s="5">
        <f t="shared" si="17"/>
        <v>0.33132982719759579</v>
      </c>
      <c r="V144" s="5">
        <v>2</v>
      </c>
      <c r="W144" s="5">
        <f t="shared" si="18"/>
        <v>0.66265965439519159</v>
      </c>
    </row>
    <row r="145" spans="13:23" x14ac:dyDescent="0.35">
      <c r="M145" s="5">
        <v>85</v>
      </c>
      <c r="N145" s="5">
        <v>85</v>
      </c>
      <c r="O145" s="5">
        <f t="shared" si="19"/>
        <v>3.8583256852428973E-3</v>
      </c>
      <c r="P145" s="5">
        <v>4</v>
      </c>
      <c r="Q145" s="5">
        <f t="shared" si="16"/>
        <v>1.5433302740971589E-2</v>
      </c>
      <c r="S145" s="5">
        <v>85</v>
      </c>
      <c r="T145" s="5">
        <v>85</v>
      </c>
      <c r="U145" s="5">
        <f t="shared" si="17"/>
        <v>0.32795768324564628</v>
      </c>
      <c r="V145" s="5">
        <v>4</v>
      </c>
      <c r="W145" s="5">
        <f t="shared" si="18"/>
        <v>1.3118307329825851</v>
      </c>
    </row>
    <row r="146" spans="13:23" x14ac:dyDescent="0.35">
      <c r="M146" s="5">
        <v>86</v>
      </c>
      <c r="N146" s="5">
        <v>86</v>
      </c>
      <c r="O146" s="5">
        <f t="shared" si="19"/>
        <v>3.7750342935528119E-3</v>
      </c>
      <c r="P146" s="5">
        <v>2</v>
      </c>
      <c r="Q146" s="5">
        <f t="shared" si="16"/>
        <v>7.5500685871056237E-3</v>
      </c>
      <c r="S146" s="5">
        <v>86</v>
      </c>
      <c r="T146" s="5">
        <v>86</v>
      </c>
      <c r="U146" s="5">
        <f t="shared" si="17"/>
        <v>0.32465294924554183</v>
      </c>
      <c r="V146" s="5">
        <v>2</v>
      </c>
      <c r="W146" s="5">
        <f t="shared" si="18"/>
        <v>0.64930589849108367</v>
      </c>
    </row>
    <row r="147" spans="13:23" x14ac:dyDescent="0.35">
      <c r="M147" s="5">
        <v>87</v>
      </c>
      <c r="N147" s="5">
        <v>87</v>
      </c>
      <c r="O147" s="5">
        <f t="shared" si="19"/>
        <v>3.6944096840244647E-3</v>
      </c>
      <c r="P147" s="5">
        <v>4</v>
      </c>
      <c r="Q147" s="5">
        <f t="shared" si="16"/>
        <v>1.4777638736097859E-2</v>
      </c>
      <c r="S147" s="5">
        <v>87</v>
      </c>
      <c r="T147" s="5">
        <v>87</v>
      </c>
      <c r="U147" s="5">
        <f t="shared" si="17"/>
        <v>0.32141364251012844</v>
      </c>
      <c r="V147" s="5">
        <v>4</v>
      </c>
      <c r="W147" s="5">
        <f t="shared" si="18"/>
        <v>1.2856545700405138</v>
      </c>
    </row>
    <row r="148" spans="13:23" x14ac:dyDescent="0.35">
      <c r="M148" s="5">
        <v>88</v>
      </c>
      <c r="N148" s="5">
        <v>88</v>
      </c>
      <c r="O148" s="5">
        <f t="shared" si="19"/>
        <v>3.6163392783759348E-3</v>
      </c>
      <c r="P148" s="5">
        <v>2</v>
      </c>
      <c r="Q148" s="5">
        <f t="shared" si="16"/>
        <v>7.2326785567518696E-3</v>
      </c>
      <c r="S148" s="5">
        <v>88</v>
      </c>
      <c r="T148" s="5">
        <v>88</v>
      </c>
      <c r="U148" s="5">
        <f t="shared" si="17"/>
        <v>0.31823785649708225</v>
      </c>
      <c r="V148" s="5">
        <v>2</v>
      </c>
      <c r="W148" s="5">
        <f t="shared" si="18"/>
        <v>0.6364757129941645</v>
      </c>
    </row>
    <row r="149" spans="13:23" x14ac:dyDescent="0.35">
      <c r="M149" s="5">
        <v>89</v>
      </c>
      <c r="N149" s="5">
        <v>89</v>
      </c>
      <c r="O149" s="5">
        <f t="shared" si="19"/>
        <v>3.5407163734510918E-3</v>
      </c>
      <c r="P149" s="5">
        <v>4</v>
      </c>
      <c r="Q149" s="5">
        <f t="shared" si="16"/>
        <v>1.4162865493804367E-2</v>
      </c>
      <c r="S149" s="5">
        <v>89</v>
      </c>
      <c r="T149" s="5">
        <v>89</v>
      </c>
      <c r="U149" s="5">
        <f t="shared" si="17"/>
        <v>0.3151237572371472</v>
      </c>
      <c r="V149" s="5">
        <v>4</v>
      </c>
      <c r="W149" s="5">
        <f t="shared" si="18"/>
        <v>1.2604950289485888</v>
      </c>
    </row>
    <row r="150" spans="13:23" x14ac:dyDescent="0.35">
      <c r="M150" s="5">
        <v>90</v>
      </c>
      <c r="N150" s="5">
        <v>90</v>
      </c>
      <c r="O150" s="5">
        <f t="shared" si="19"/>
        <v>3.4674397773133119E-3</v>
      </c>
      <c r="P150" s="5">
        <v>2</v>
      </c>
      <c r="Q150" s="5">
        <f t="shared" si="16"/>
        <v>6.9348795546266238E-3</v>
      </c>
      <c r="S150" s="5">
        <v>90</v>
      </c>
      <c r="T150" s="5">
        <v>90</v>
      </c>
      <c r="U150" s="5">
        <f t="shared" si="17"/>
        <v>0.31206957995819806</v>
      </c>
      <c r="V150" s="5">
        <v>2</v>
      </c>
      <c r="W150" s="5">
        <f t="shared" si="18"/>
        <v>0.62413915991639612</v>
      </c>
    </row>
    <row r="151" spans="13:23" x14ac:dyDescent="0.35">
      <c r="M151" s="5">
        <v>91</v>
      </c>
      <c r="N151" s="5">
        <v>91</v>
      </c>
      <c r="O151" s="5">
        <f t="shared" si="19"/>
        <v>3.3964134713515091E-3</v>
      </c>
      <c r="P151" s="5">
        <v>4</v>
      </c>
      <c r="Q151" s="5">
        <f t="shared" si="16"/>
        <v>1.3585653885406036E-2</v>
      </c>
      <c r="S151" s="5">
        <v>91</v>
      </c>
      <c r="T151" s="5">
        <v>91</v>
      </c>
      <c r="U151" s="5">
        <f t="shared" si="17"/>
        <v>0.30907362589298731</v>
      </c>
      <c r="V151" s="5">
        <v>4</v>
      </c>
      <c r="W151" s="5">
        <f t="shared" si="18"/>
        <v>1.2362945035719493</v>
      </c>
    </row>
    <row r="152" spans="13:23" x14ac:dyDescent="0.35">
      <c r="M152" s="5">
        <v>92</v>
      </c>
      <c r="N152" s="5">
        <v>92</v>
      </c>
      <c r="O152" s="5">
        <f t="shared" si="19"/>
        <v>3.3275462962962963E-3</v>
      </c>
      <c r="P152" s="5">
        <v>2</v>
      </c>
      <c r="Q152" s="5">
        <f t="shared" si="16"/>
        <v>6.6550925925925927E-3</v>
      </c>
      <c r="S152" s="5">
        <v>92</v>
      </c>
      <c r="T152" s="5">
        <v>92</v>
      </c>
      <c r="U152" s="5">
        <f t="shared" si="17"/>
        <v>0.30613425925925924</v>
      </c>
      <c r="V152" s="5">
        <v>2</v>
      </c>
      <c r="W152" s="5">
        <f t="shared" si="18"/>
        <v>0.61226851851851849</v>
      </c>
    </row>
    <row r="153" spans="13:23" x14ac:dyDescent="0.35">
      <c r="M153" s="5">
        <v>93</v>
      </c>
      <c r="N153" s="5">
        <v>93</v>
      </c>
      <c r="O153" s="5">
        <f t="shared" si="19"/>
        <v>3.2607516602331833E-3</v>
      </c>
      <c r="P153" s="5">
        <v>4</v>
      </c>
      <c r="Q153" s="5">
        <f t="shared" si="16"/>
        <v>1.3043006640932733E-2</v>
      </c>
      <c r="S153" s="5">
        <v>93</v>
      </c>
      <c r="T153" s="5">
        <v>93</v>
      </c>
      <c r="U153" s="5">
        <f t="shared" si="17"/>
        <v>0.30324990440168603</v>
      </c>
      <c r="V153" s="5">
        <v>4</v>
      </c>
      <c r="W153" s="5">
        <f t="shared" si="18"/>
        <v>1.2129996176067441</v>
      </c>
    </row>
    <row r="154" spans="13:23" x14ac:dyDescent="0.35">
      <c r="M154" s="5">
        <v>94</v>
      </c>
      <c r="N154" s="5">
        <v>94</v>
      </c>
      <c r="O154" s="5">
        <f t="shared" si="19"/>
        <v>3.1959472668700965E-3</v>
      </c>
      <c r="P154" s="5">
        <v>2</v>
      </c>
      <c r="Q154" s="5">
        <f t="shared" si="16"/>
        <v>6.3918945337401931E-3</v>
      </c>
      <c r="S154" s="5">
        <v>94</v>
      </c>
      <c r="T154" s="5">
        <v>94</v>
      </c>
      <c r="U154" s="5">
        <f t="shared" si="17"/>
        <v>0.30041904308578909</v>
      </c>
      <c r="V154" s="5">
        <v>2</v>
      </c>
      <c r="W154" s="5">
        <f t="shared" si="18"/>
        <v>0.60083808617157819</v>
      </c>
    </row>
    <row r="155" spans="13:23" x14ac:dyDescent="0.35">
      <c r="M155" s="5">
        <v>95</v>
      </c>
      <c r="N155" s="5">
        <v>95</v>
      </c>
      <c r="O155" s="5">
        <f t="shared" si="19"/>
        <v>3.1330548624702282E-3</v>
      </c>
      <c r="P155" s="5">
        <v>4</v>
      </c>
      <c r="Q155" s="5">
        <f t="shared" si="16"/>
        <v>1.2532219449880913E-2</v>
      </c>
      <c r="S155" s="5">
        <v>95</v>
      </c>
      <c r="T155" s="5">
        <v>95</v>
      </c>
      <c r="U155" s="5">
        <f t="shared" si="17"/>
        <v>0.29764021193467166</v>
      </c>
      <c r="V155" s="5">
        <v>4</v>
      </c>
      <c r="W155" s="5">
        <f t="shared" si="18"/>
        <v>1.1905608477386866</v>
      </c>
    </row>
    <row r="156" spans="13:23" x14ac:dyDescent="0.35">
      <c r="M156" s="5">
        <v>96</v>
      </c>
      <c r="N156" s="5">
        <v>96</v>
      </c>
      <c r="O156" s="5">
        <f t="shared" si="19"/>
        <v>3.0720000000000001E-3</v>
      </c>
      <c r="P156" s="5">
        <v>2</v>
      </c>
      <c r="Q156" s="5">
        <f t="shared" si="16"/>
        <v>6.1440000000000002E-3</v>
      </c>
      <c r="S156" s="5">
        <v>96</v>
      </c>
      <c r="T156" s="5">
        <v>96</v>
      </c>
      <c r="U156" s="5">
        <f t="shared" si="17"/>
        <v>0.29491200000000001</v>
      </c>
      <c r="V156" s="5">
        <v>2</v>
      </c>
      <c r="W156" s="5">
        <f t="shared" si="18"/>
        <v>0.58982400000000001</v>
      </c>
    </row>
    <row r="157" spans="13:23" x14ac:dyDescent="0.35">
      <c r="M157" s="5">
        <v>97</v>
      </c>
      <c r="N157" s="5">
        <v>97</v>
      </c>
      <c r="O157" s="5">
        <f t="shared" si="19"/>
        <v>3.0127118191674083E-3</v>
      </c>
      <c r="P157" s="5">
        <v>4</v>
      </c>
      <c r="Q157" s="5">
        <f t="shared" si="16"/>
        <v>1.2050847276669633E-2</v>
      </c>
      <c r="S157" s="5">
        <v>97</v>
      </c>
      <c r="T157" s="5">
        <v>97</v>
      </c>
      <c r="U157" s="5">
        <f t="shared" si="17"/>
        <v>0.29223304645923859</v>
      </c>
      <c r="V157" s="5">
        <v>4</v>
      </c>
      <c r="W157" s="5">
        <f t="shared" si="18"/>
        <v>1.1689321858369544</v>
      </c>
    </row>
    <row r="158" spans="13:23" x14ac:dyDescent="0.35">
      <c r="M158" s="5">
        <v>98</v>
      </c>
      <c r="N158" s="5">
        <v>98</v>
      </c>
      <c r="O158" s="5">
        <f t="shared" si="19"/>
        <v>2.9551228411395314E-3</v>
      </c>
      <c r="P158" s="5">
        <v>2</v>
      </c>
      <c r="Q158" s="5">
        <f t="shared" si="16"/>
        <v>5.9102456822790628E-3</v>
      </c>
      <c r="S158" s="5">
        <v>98</v>
      </c>
      <c r="T158" s="5">
        <v>98</v>
      </c>
      <c r="U158" s="5">
        <f t="shared" si="17"/>
        <v>0.28960203843167409</v>
      </c>
      <c r="V158" s="5">
        <v>2</v>
      </c>
      <c r="W158" s="5">
        <f t="shared" si="18"/>
        <v>0.57920407686334818</v>
      </c>
    </row>
    <row r="159" spans="13:23" x14ac:dyDescent="0.35">
      <c r="M159" s="5">
        <v>99</v>
      </c>
      <c r="N159" s="5">
        <v>99</v>
      </c>
      <c r="O159" s="5">
        <f t="shared" si="19"/>
        <v>2.8991687768308095E-3</v>
      </c>
      <c r="P159" s="5">
        <v>4</v>
      </c>
      <c r="Q159" s="5">
        <f t="shared" si="16"/>
        <v>1.1596675107323238E-2</v>
      </c>
      <c r="S159" s="5">
        <v>99</v>
      </c>
      <c r="T159" s="5">
        <v>99</v>
      </c>
      <c r="U159" s="5">
        <f t="shared" si="17"/>
        <v>0.28701770890625017</v>
      </c>
      <c r="V159" s="5">
        <v>4</v>
      </c>
      <c r="W159" s="5">
        <f t="shared" si="18"/>
        <v>1.1480708356250007</v>
      </c>
    </row>
    <row r="160" spans="13:23" x14ac:dyDescent="0.35">
      <c r="M160" s="5">
        <v>100</v>
      </c>
      <c r="N160" s="5">
        <v>100</v>
      </c>
      <c r="O160" s="5">
        <f t="shared" si="19"/>
        <v>2.8447883477469276E-3</v>
      </c>
      <c r="P160" s="5">
        <v>1</v>
      </c>
      <c r="Q160" s="5">
        <f t="shared" si="16"/>
        <v>2.8447883477469276E-3</v>
      </c>
      <c r="S160" s="5">
        <v>100</v>
      </c>
      <c r="T160" s="5">
        <v>100</v>
      </c>
      <c r="U160" s="5">
        <f t="shared" si="17"/>
        <v>0.28447883477469277</v>
      </c>
      <c r="V160" s="5">
        <v>1</v>
      </c>
      <c r="W160" s="5">
        <f t="shared" si="18"/>
        <v>0.28447883477469277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6243B-B152-4F4B-B811-6EF814066F00}">
  <dimension ref="D1:N28"/>
  <sheetViews>
    <sheetView zoomScale="85" zoomScaleNormal="85" workbookViewId="0">
      <selection activeCell="J28" sqref="J28"/>
    </sheetView>
  </sheetViews>
  <sheetFormatPr defaultRowHeight="14.5" x14ac:dyDescent="0.35"/>
  <cols>
    <col min="1" max="3" width="8.7265625" style="1"/>
    <col min="4" max="4" width="9.54296875" style="1" customWidth="1"/>
    <col min="5" max="16384" width="8.7265625" style="1"/>
  </cols>
  <sheetData>
    <row r="1" spans="5:10" x14ac:dyDescent="0.35">
      <c r="E1" s="29"/>
    </row>
    <row r="14" spans="5:10" x14ac:dyDescent="0.35">
      <c r="I14" s="1" t="s">
        <v>14</v>
      </c>
      <c r="J14" s="1">
        <f>(5-1)/4</f>
        <v>1</v>
      </c>
    </row>
    <row r="15" spans="5:10" x14ac:dyDescent="0.35">
      <c r="I15" s="1" t="s">
        <v>8</v>
      </c>
      <c r="J15" s="1">
        <f>(2-0)/4</f>
        <v>0.5</v>
      </c>
    </row>
    <row r="19" spans="4:14" x14ac:dyDescent="0.35">
      <c r="D19" s="4" t="s">
        <v>15</v>
      </c>
      <c r="E19" s="4" t="s">
        <v>16</v>
      </c>
      <c r="F19" s="4" t="s">
        <v>17</v>
      </c>
      <c r="G19" s="4" t="s">
        <v>3</v>
      </c>
      <c r="H19" s="4" t="s">
        <v>18</v>
      </c>
      <c r="J19" s="4" t="s">
        <v>15</v>
      </c>
      <c r="K19" s="4" t="s">
        <v>1</v>
      </c>
      <c r="L19" s="4" t="s">
        <v>17</v>
      </c>
      <c r="M19" s="4" t="s">
        <v>3</v>
      </c>
      <c r="N19" s="4" t="s">
        <v>18</v>
      </c>
    </row>
    <row r="20" spans="4:14" x14ac:dyDescent="0.35">
      <c r="D20" s="5">
        <v>0</v>
      </c>
      <c r="E20" s="5">
        <v>1</v>
      </c>
      <c r="F20" s="5">
        <f>E20^3</f>
        <v>1</v>
      </c>
      <c r="G20" s="5">
        <v>1</v>
      </c>
      <c r="H20" s="5">
        <f>F20*G20</f>
        <v>1</v>
      </c>
      <c r="J20" s="5">
        <v>0</v>
      </c>
      <c r="K20" s="5">
        <v>0</v>
      </c>
      <c r="L20" s="5">
        <f>$H$26*K20^2</f>
        <v>0</v>
      </c>
      <c r="M20" s="5">
        <v>1</v>
      </c>
      <c r="N20" s="5">
        <f>L20*M20</f>
        <v>0</v>
      </c>
    </row>
    <row r="21" spans="4:14" x14ac:dyDescent="0.35">
      <c r="D21" s="5">
        <v>1</v>
      </c>
      <c r="E21" s="5">
        <v>2</v>
      </c>
      <c r="F21" s="5">
        <f t="shared" ref="F21:F24" si="0">E21^3</f>
        <v>8</v>
      </c>
      <c r="G21" s="5">
        <v>4</v>
      </c>
      <c r="H21" s="5">
        <f>F21*G21</f>
        <v>32</v>
      </c>
      <c r="J21" s="5">
        <v>1</v>
      </c>
      <c r="K21" s="5">
        <v>0.5</v>
      </c>
      <c r="L21" s="5">
        <f t="shared" ref="L21:L23" si="1">$H$26*K21^2</f>
        <v>117</v>
      </c>
      <c r="M21" s="5">
        <v>4</v>
      </c>
      <c r="N21" s="5">
        <f>L21*M21</f>
        <v>468</v>
      </c>
    </row>
    <row r="22" spans="4:14" x14ac:dyDescent="0.35">
      <c r="D22" s="5">
        <v>2</v>
      </c>
      <c r="E22" s="5">
        <v>3</v>
      </c>
      <c r="F22" s="5">
        <f t="shared" si="0"/>
        <v>27</v>
      </c>
      <c r="G22" s="5">
        <v>2</v>
      </c>
      <c r="H22" s="5">
        <f>F22*G22</f>
        <v>54</v>
      </c>
      <c r="J22" s="5">
        <v>2</v>
      </c>
      <c r="K22" s="5">
        <v>1</v>
      </c>
      <c r="L22" s="5">
        <f>$H$26*K22^2</f>
        <v>468</v>
      </c>
      <c r="M22" s="5">
        <v>2</v>
      </c>
      <c r="N22" s="5">
        <f t="shared" ref="N22:N23" si="2">L22*M22</f>
        <v>936</v>
      </c>
    </row>
    <row r="23" spans="4:14" x14ac:dyDescent="0.35">
      <c r="D23" s="5">
        <v>3</v>
      </c>
      <c r="E23" s="5">
        <v>4</v>
      </c>
      <c r="F23" s="5">
        <f t="shared" si="0"/>
        <v>64</v>
      </c>
      <c r="G23" s="5">
        <v>4</v>
      </c>
      <c r="H23" s="5">
        <f t="shared" ref="H23" si="3">F23*G23</f>
        <v>256</v>
      </c>
      <c r="J23" s="5">
        <v>3</v>
      </c>
      <c r="K23" s="5">
        <v>1.5</v>
      </c>
      <c r="L23" s="5">
        <f t="shared" si="1"/>
        <v>1053</v>
      </c>
      <c r="M23" s="5">
        <v>4</v>
      </c>
      <c r="N23" s="5">
        <f t="shared" si="2"/>
        <v>4212</v>
      </c>
    </row>
    <row r="24" spans="4:14" x14ac:dyDescent="0.35">
      <c r="D24" s="5">
        <v>4</v>
      </c>
      <c r="E24" s="5">
        <v>5</v>
      </c>
      <c r="F24" s="5">
        <f t="shared" si="0"/>
        <v>125</v>
      </c>
      <c r="G24" s="5">
        <v>1</v>
      </c>
      <c r="H24" s="5">
        <f>F24*G24</f>
        <v>125</v>
      </c>
      <c r="J24" s="5">
        <v>4</v>
      </c>
      <c r="K24" s="5">
        <v>2</v>
      </c>
      <c r="L24" s="5">
        <f>$H$26*K24^2</f>
        <v>1872</v>
      </c>
      <c r="M24" s="5">
        <v>1</v>
      </c>
      <c r="N24" s="5">
        <f>L24*M24</f>
        <v>1872</v>
      </c>
    </row>
    <row r="26" spans="4:14" x14ac:dyDescent="0.35">
      <c r="H26" s="3">
        <f>SUM(H20:H24)</f>
        <v>468</v>
      </c>
      <c r="N26" s="3">
        <f>SUM(N20:N24)</f>
        <v>7488</v>
      </c>
    </row>
    <row r="28" spans="4:14" x14ac:dyDescent="0.35">
      <c r="I28" s="1" t="s">
        <v>19</v>
      </c>
      <c r="J28" s="8">
        <f>N26*J15*J14/(3*3)</f>
        <v>416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2509-F4FA-477C-9ADC-F511A3AC2AE4}">
  <dimension ref="A1:AC52"/>
  <sheetViews>
    <sheetView topLeftCell="A3" zoomScale="85" zoomScaleNormal="85" workbookViewId="0">
      <selection activeCell="AA19" sqref="AA19"/>
    </sheetView>
  </sheetViews>
  <sheetFormatPr defaultRowHeight="14.5" x14ac:dyDescent="0.35"/>
  <cols>
    <col min="1" max="6" width="8.7265625" style="1"/>
    <col min="7" max="7" width="10.36328125" style="1" customWidth="1"/>
    <col min="8" max="16384" width="8.7265625" style="1"/>
  </cols>
  <sheetData>
    <row r="1" spans="1:29" x14ac:dyDescent="0.35">
      <c r="A1" s="1" t="s">
        <v>27</v>
      </c>
    </row>
    <row r="2" spans="1:29" x14ac:dyDescent="0.35">
      <c r="B2" s="10" t="s">
        <v>28</v>
      </c>
      <c r="C2" s="9">
        <v>1</v>
      </c>
      <c r="D2" s="9">
        <v>2</v>
      </c>
      <c r="E2" s="9">
        <v>3</v>
      </c>
      <c r="F2" s="9">
        <v>4</v>
      </c>
    </row>
    <row r="3" spans="1:29" x14ac:dyDescent="0.35">
      <c r="B3" s="10" t="s">
        <v>29</v>
      </c>
      <c r="C3" s="9">
        <v>2</v>
      </c>
      <c r="D3" s="9">
        <v>4</v>
      </c>
      <c r="E3" s="9">
        <v>8</v>
      </c>
      <c r="F3" s="9">
        <v>16</v>
      </c>
    </row>
    <row r="4" spans="1:29" ht="85.5" x14ac:dyDescent="0.35">
      <c r="P4" s="13"/>
    </row>
    <row r="5" spans="1:29" x14ac:dyDescent="0.35">
      <c r="P5" s="14"/>
    </row>
    <row r="6" spans="1:29" x14ac:dyDescent="0.35">
      <c r="B6" s="1" t="s">
        <v>30</v>
      </c>
      <c r="P6"/>
    </row>
    <row r="7" spans="1:29" ht="18.5" customHeight="1" x14ac:dyDescent="0.35">
      <c r="P7" s="13"/>
    </row>
    <row r="8" spans="1:29" x14ac:dyDescent="0.35">
      <c r="B8" s="1" t="s">
        <v>28</v>
      </c>
      <c r="C8" s="1" t="s">
        <v>29</v>
      </c>
      <c r="D8" s="1" t="s">
        <v>31</v>
      </c>
      <c r="E8" s="1" t="s">
        <v>32</v>
      </c>
      <c r="F8" s="1" t="s">
        <v>33</v>
      </c>
      <c r="R8" s="1" t="s">
        <v>39</v>
      </c>
      <c r="S8" s="1" t="s">
        <v>40</v>
      </c>
      <c r="T8" s="11" t="s">
        <v>31</v>
      </c>
      <c r="U8" s="11" t="s">
        <v>32</v>
      </c>
      <c r="V8" s="11" t="s">
        <v>33</v>
      </c>
      <c r="W8" s="11" t="s">
        <v>41</v>
      </c>
      <c r="X8" s="11" t="s">
        <v>42</v>
      </c>
      <c r="Y8" s="11" t="s">
        <v>43</v>
      </c>
      <c r="Z8" s="11" t="s">
        <v>44</v>
      </c>
      <c r="AA8" s="11" t="s">
        <v>45</v>
      </c>
      <c r="AC8" s="11" t="s">
        <v>46</v>
      </c>
    </row>
    <row r="9" spans="1:29" x14ac:dyDescent="0.35">
      <c r="B9" s="1" cm="1">
        <f t="array" ref="B9:C12">TRANSPOSE(C2:F3)</f>
        <v>1</v>
      </c>
      <c r="C9" s="9">
        <v>2</v>
      </c>
      <c r="D9" s="9">
        <f>(C10-C9)</f>
        <v>2</v>
      </c>
      <c r="E9" s="9">
        <f>(D10-D9)</f>
        <v>2</v>
      </c>
      <c r="F9" s="9">
        <f>(E10-E9)</f>
        <v>2</v>
      </c>
      <c r="R9" s="1">
        <v>0</v>
      </c>
      <c r="S9" s="1">
        <v>0</v>
      </c>
      <c r="T9" s="1">
        <f>S10-S9</f>
        <v>0.7</v>
      </c>
      <c r="U9" s="1">
        <f t="shared" ref="U9:AA10" si="0">T10-T9</f>
        <v>0.40000000000000013</v>
      </c>
      <c r="V9" s="1">
        <f t="shared" si="0"/>
        <v>9.9999999999999645E-2</v>
      </c>
      <c r="W9" s="1">
        <f t="shared" si="0"/>
        <v>-0.49999999999999956</v>
      </c>
      <c r="X9" s="1">
        <f t="shared" si="0"/>
        <v>0.30000000000000004</v>
      </c>
      <c r="Y9" s="1">
        <f t="shared" si="0"/>
        <v>0.79999999999999827</v>
      </c>
      <c r="Z9" s="1">
        <f t="shared" si="0"/>
        <v>-3.199999999999994</v>
      </c>
      <c r="AA9" s="1">
        <f t="shared" si="0"/>
        <v>7.3999999999999861</v>
      </c>
      <c r="AC9" s="12">
        <f>T9</f>
        <v>0.7</v>
      </c>
    </row>
    <row r="10" spans="1:29" x14ac:dyDescent="0.35">
      <c r="B10" s="1">
        <v>2</v>
      </c>
      <c r="C10" s="1">
        <v>4</v>
      </c>
      <c r="D10" s="1">
        <f>(C11-C10)</f>
        <v>4</v>
      </c>
      <c r="E10" s="1">
        <f>(D11-D10)</f>
        <v>4</v>
      </c>
      <c r="R10" s="1">
        <v>2</v>
      </c>
      <c r="S10" s="1">
        <v>0.7</v>
      </c>
      <c r="T10" s="1">
        <f t="shared" ref="T10:Y15" si="1">S11-S10</f>
        <v>1.1000000000000001</v>
      </c>
      <c r="U10" s="1">
        <f t="shared" si="1"/>
        <v>0.49999999999999978</v>
      </c>
      <c r="V10" s="1">
        <f t="shared" si="1"/>
        <v>-0.39999999999999991</v>
      </c>
      <c r="W10" s="1">
        <f t="shared" si="1"/>
        <v>-0.19999999999999951</v>
      </c>
      <c r="X10" s="1">
        <f t="shared" si="1"/>
        <v>1.0999999999999983</v>
      </c>
      <c r="Y10" s="1">
        <f t="shared" si="1"/>
        <v>-2.3999999999999959</v>
      </c>
      <c r="Z10" s="1">
        <f t="shared" si="0"/>
        <v>4.1999999999999922</v>
      </c>
      <c r="AC10" s="12">
        <f>(2*S20-1)/FACT(2)*U9</f>
        <v>1.8000000000000007</v>
      </c>
    </row>
    <row r="11" spans="1:29" x14ac:dyDescent="0.35">
      <c r="B11" s="1">
        <v>3</v>
      </c>
      <c r="C11" s="1">
        <v>8</v>
      </c>
      <c r="D11" s="1">
        <f>(C12-C11)</f>
        <v>8</v>
      </c>
      <c r="R11" s="1">
        <v>4</v>
      </c>
      <c r="S11" s="1">
        <v>1.8</v>
      </c>
      <c r="T11" s="1">
        <f t="shared" si="1"/>
        <v>1.5999999999999999</v>
      </c>
      <c r="U11" s="1">
        <f t="shared" si="1"/>
        <v>9.9999999999999867E-2</v>
      </c>
      <c r="V11" s="1">
        <f t="shared" si="1"/>
        <v>-0.59999999999999942</v>
      </c>
      <c r="W11" s="1">
        <f t="shared" si="1"/>
        <v>0.8999999999999988</v>
      </c>
      <c r="X11" s="1">
        <f t="shared" si="1"/>
        <v>-1.2999999999999978</v>
      </c>
      <c r="Y11" s="1">
        <f t="shared" si="1"/>
        <v>1.7999999999999965</v>
      </c>
      <c r="AC11" s="12">
        <f>(3*S20^2-6*S20+2)/FACT(3)*V9</f>
        <v>0.78333333333333055</v>
      </c>
    </row>
    <row r="12" spans="1:29" x14ac:dyDescent="0.35">
      <c r="B12" s="1">
        <v>4</v>
      </c>
      <c r="C12" s="1">
        <v>16</v>
      </c>
      <c r="R12" s="1">
        <v>6</v>
      </c>
      <c r="S12" s="1">
        <v>3.4</v>
      </c>
      <c r="T12" s="1">
        <f t="shared" si="1"/>
        <v>1.6999999999999997</v>
      </c>
      <c r="U12" s="1">
        <f t="shared" si="1"/>
        <v>-0.49999999999999956</v>
      </c>
      <c r="V12" s="1">
        <f t="shared" si="1"/>
        <v>0.29999999999999938</v>
      </c>
      <c r="W12" s="1">
        <f t="shared" si="1"/>
        <v>-0.39999999999999902</v>
      </c>
      <c r="X12" s="1">
        <f t="shared" si="1"/>
        <v>0.49999999999999867</v>
      </c>
      <c r="AC12" s="12">
        <f>(4*S20^3-18*S20^2+22*S20-6)/FACT(4)*W9</f>
        <v>-3.2083333333333308</v>
      </c>
    </row>
    <row r="13" spans="1:29" x14ac:dyDescent="0.35">
      <c r="R13" s="1">
        <v>8</v>
      </c>
      <c r="S13" s="1">
        <v>5.0999999999999996</v>
      </c>
      <c r="T13" s="1">
        <f t="shared" si="1"/>
        <v>1.2000000000000002</v>
      </c>
      <c r="U13" s="1">
        <f t="shared" si="1"/>
        <v>-0.20000000000000018</v>
      </c>
      <c r="V13" s="1">
        <f t="shared" si="1"/>
        <v>-9.9999999999999645E-2</v>
      </c>
      <c r="W13" s="1">
        <f t="shared" si="1"/>
        <v>9.9999999999999645E-2</v>
      </c>
      <c r="AC13" s="12">
        <f>(5*S20^4-40*S20^3+105*S20^2-100*S20+24)/FACT(5)*X9</f>
        <v>0.68500000000000005</v>
      </c>
    </row>
    <row r="14" spans="1:29" x14ac:dyDescent="0.35">
      <c r="B14" s="1" t="s">
        <v>8</v>
      </c>
      <c r="C14" s="1">
        <v>1</v>
      </c>
      <c r="R14" s="1">
        <v>10</v>
      </c>
      <c r="S14" s="1">
        <v>6.3</v>
      </c>
      <c r="T14" s="1">
        <f t="shared" si="1"/>
        <v>1</v>
      </c>
      <c r="U14" s="1">
        <f t="shared" si="1"/>
        <v>-0.29999999999999982</v>
      </c>
      <c r="V14" s="1">
        <f t="shared" si="1"/>
        <v>0</v>
      </c>
      <c r="AC14" s="12">
        <f>(6*S20^5-75*S20^4+340*S20^3-675*S20^2+548*S20-120)/FACT(6)*Y9</f>
        <v>0.13333333333333303</v>
      </c>
    </row>
    <row r="15" spans="1:29" x14ac:dyDescent="0.35">
      <c r="B15" s="1" t="s">
        <v>34</v>
      </c>
      <c r="R15" s="1">
        <v>12</v>
      </c>
      <c r="S15" s="1">
        <v>7.3</v>
      </c>
      <c r="T15" s="1">
        <f t="shared" si="1"/>
        <v>0.70000000000000018</v>
      </c>
      <c r="U15" s="1">
        <f t="shared" si="1"/>
        <v>-0.29999999999999982</v>
      </c>
      <c r="AC15" s="1">
        <f>(7*S20^6-126*S20^5+875*S20^4-2940*S20^3+4872*S20^2-3528*S20+720)/FACT(7)*Z9</f>
        <v>7.6190476190476045E-2</v>
      </c>
    </row>
    <row r="16" spans="1:29" x14ac:dyDescent="0.35">
      <c r="B16" s="1" t="s">
        <v>35</v>
      </c>
      <c r="C16" s="1">
        <f>(3-1)/1</f>
        <v>2</v>
      </c>
      <c r="R16" s="1">
        <v>14</v>
      </c>
      <c r="S16" s="1">
        <v>8</v>
      </c>
      <c r="T16" s="1">
        <f>S17-S16</f>
        <v>0.40000000000000036</v>
      </c>
      <c r="AC16" s="1">
        <f>(8*S20^7-196*S20^6+1932*S20^5-9800*S20^4+27076*S20^3-39396*S20^2+26136*S20-5040)/FACT(8)*AA9</f>
        <v>4.4047619047618961E-2</v>
      </c>
    </row>
    <row r="17" spans="2:29" x14ac:dyDescent="0.35">
      <c r="R17" s="1">
        <v>16</v>
      </c>
      <c r="S17" s="1">
        <v>8.4</v>
      </c>
    </row>
    <row r="18" spans="2:29" x14ac:dyDescent="0.35">
      <c r="B18" s="1" t="s">
        <v>36</v>
      </c>
      <c r="C18" s="1">
        <f>1/1*(D9+(2*C16-1)/2*E9+(3*C16^2-6*C16+2)/(3*2)*F9)</f>
        <v>5.666666666666667</v>
      </c>
    </row>
    <row r="19" spans="2:29" x14ac:dyDescent="0.35">
      <c r="R19" s="1" t="s">
        <v>8</v>
      </c>
      <c r="S19" s="1">
        <v>2</v>
      </c>
      <c r="AC19" s="1">
        <f>SUM(AC9:AC16)/S19</f>
        <v>0.50678571428571439</v>
      </c>
    </row>
    <row r="20" spans="2:29" x14ac:dyDescent="0.35">
      <c r="R20" s="1" t="s">
        <v>35</v>
      </c>
      <c r="S20" s="1">
        <f>(10-0)/2</f>
        <v>5</v>
      </c>
    </row>
    <row r="23" spans="2:29" x14ac:dyDescent="0.35">
      <c r="B23" s="1" t="s">
        <v>37</v>
      </c>
    </row>
    <row r="25" spans="2:29" x14ac:dyDescent="0.35">
      <c r="B25" s="1" t="s">
        <v>28</v>
      </c>
      <c r="C25" s="1" t="s">
        <v>29</v>
      </c>
      <c r="D25" s="1" t="s">
        <v>31</v>
      </c>
      <c r="E25" s="1" t="s">
        <v>32</v>
      </c>
      <c r="F25" s="1" t="s">
        <v>33</v>
      </c>
    </row>
    <row r="26" spans="2:29" x14ac:dyDescent="0.35">
      <c r="B26" s="1">
        <v>1</v>
      </c>
      <c r="C26" s="1">
        <v>2</v>
      </c>
      <c r="D26" s="1">
        <v>2</v>
      </c>
      <c r="E26" s="1">
        <v>2</v>
      </c>
      <c r="F26" s="9">
        <v>2</v>
      </c>
    </row>
    <row r="27" spans="2:29" x14ac:dyDescent="0.35">
      <c r="B27" s="1">
        <v>2</v>
      </c>
      <c r="C27" s="1">
        <v>4</v>
      </c>
      <c r="D27" s="1">
        <v>4</v>
      </c>
      <c r="E27" s="9">
        <v>4</v>
      </c>
    </row>
    <row r="28" spans="2:29" x14ac:dyDescent="0.35">
      <c r="B28" s="1">
        <v>3</v>
      </c>
      <c r="C28" s="1">
        <v>8</v>
      </c>
      <c r="D28" s="9">
        <v>8</v>
      </c>
    </row>
    <row r="29" spans="2:29" x14ac:dyDescent="0.35">
      <c r="B29" s="1">
        <v>4</v>
      </c>
      <c r="C29" s="9">
        <v>16</v>
      </c>
    </row>
    <row r="31" spans="2:29" x14ac:dyDescent="0.35">
      <c r="B31" s="1" t="s">
        <v>8</v>
      </c>
      <c r="C31" s="1">
        <v>1</v>
      </c>
    </row>
    <row r="32" spans="2:29" x14ac:dyDescent="0.35">
      <c r="B32" s="1" t="s">
        <v>35</v>
      </c>
      <c r="C32" s="1">
        <f>(3-4)/1</f>
        <v>-1</v>
      </c>
    </row>
    <row r="34" spans="2:7" x14ac:dyDescent="0.35">
      <c r="B34" s="1" t="s">
        <v>36</v>
      </c>
      <c r="C34" s="1">
        <f>1/C31*(D28+(2*C32+1)/2*E27+(3*C32^2+6*C32+2)/(3*2)*F26)</f>
        <v>5.666666666666667</v>
      </c>
    </row>
    <row r="41" spans="2:7" x14ac:dyDescent="0.35">
      <c r="B41" s="1" t="s">
        <v>38</v>
      </c>
    </row>
    <row r="43" spans="2:7" x14ac:dyDescent="0.35">
      <c r="B43" s="1" t="s">
        <v>0</v>
      </c>
      <c r="C43" s="1" t="s">
        <v>28</v>
      </c>
      <c r="D43" s="1" t="s">
        <v>29</v>
      </c>
      <c r="E43" s="1" t="s">
        <v>31</v>
      </c>
      <c r="F43" s="1" t="s">
        <v>32</v>
      </c>
      <c r="G43" s="1" t="s">
        <v>33</v>
      </c>
    </row>
    <row r="44" spans="2:7" x14ac:dyDescent="0.35">
      <c r="B44" s="1">
        <v>-2</v>
      </c>
      <c r="C44" s="1">
        <v>1</v>
      </c>
      <c r="D44" s="1">
        <v>2</v>
      </c>
      <c r="E44" s="1">
        <v>2</v>
      </c>
      <c r="F44" s="1">
        <v>2</v>
      </c>
      <c r="G44" s="1">
        <v>2</v>
      </c>
    </row>
    <row r="45" spans="2:7" x14ac:dyDescent="0.35">
      <c r="B45" s="1">
        <v>-1</v>
      </c>
      <c r="C45" s="1">
        <v>2</v>
      </c>
      <c r="D45" s="1">
        <v>4</v>
      </c>
      <c r="E45" s="1">
        <v>4</v>
      </c>
      <c r="F45" s="1">
        <v>4</v>
      </c>
    </row>
    <row r="46" spans="2:7" x14ac:dyDescent="0.35">
      <c r="B46" s="1">
        <v>0</v>
      </c>
      <c r="C46" s="1">
        <v>3</v>
      </c>
      <c r="D46" s="1">
        <v>8</v>
      </c>
      <c r="E46" s="1">
        <v>8</v>
      </c>
    </row>
    <row r="47" spans="2:7" x14ac:dyDescent="0.35">
      <c r="B47" s="1">
        <v>1</v>
      </c>
      <c r="C47" s="1">
        <v>4</v>
      </c>
      <c r="D47" s="1">
        <v>16</v>
      </c>
    </row>
    <row r="49" spans="2:3" x14ac:dyDescent="0.35">
      <c r="B49" s="1" t="s">
        <v>8</v>
      </c>
      <c r="C49" s="1">
        <v>1</v>
      </c>
    </row>
    <row r="50" spans="2:3" x14ac:dyDescent="0.35">
      <c r="B50" s="1" t="s">
        <v>35</v>
      </c>
      <c r="C50" s="1">
        <f>(3-3)/C49</f>
        <v>0</v>
      </c>
    </row>
    <row r="52" spans="2:3" x14ac:dyDescent="0.35">
      <c r="B52" s="1" t="s">
        <v>36</v>
      </c>
      <c r="C52" s="1">
        <f>1/C49*((E45+E46)/2+C50*F45+(3*C50^2-1)/FACT(3)*(G44)/2)</f>
        <v>5.833333333333333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A45F5-0D05-4099-9DFA-1B6B5E663002}">
  <dimension ref="B3:P56"/>
  <sheetViews>
    <sheetView zoomScale="70" zoomScaleNormal="70" workbookViewId="0">
      <selection activeCell="M55" sqref="M55"/>
    </sheetView>
  </sheetViews>
  <sheetFormatPr defaultRowHeight="14" x14ac:dyDescent="0.3"/>
  <cols>
    <col min="1" max="1" width="3.26953125" style="15" customWidth="1"/>
    <col min="2" max="2" width="22.36328125" style="15" customWidth="1"/>
    <col min="3" max="8" width="8.7265625" style="15"/>
    <col min="9" max="9" width="8.7265625" style="15" customWidth="1"/>
    <col min="10" max="16384" width="8.7265625" style="15"/>
  </cols>
  <sheetData>
    <row r="3" spans="3:12" x14ac:dyDescent="0.3">
      <c r="C3" s="17" t="s">
        <v>28</v>
      </c>
      <c r="D3" s="18">
        <v>0.1</v>
      </c>
      <c r="E3" s="18">
        <v>0.2</v>
      </c>
      <c r="F3" s="18">
        <v>0.4</v>
      </c>
      <c r="G3" s="18">
        <v>0.6</v>
      </c>
      <c r="H3" s="18">
        <v>0.9</v>
      </c>
      <c r="I3" s="18">
        <v>1.3</v>
      </c>
      <c r="J3" s="18">
        <v>1.5</v>
      </c>
      <c r="K3" s="18">
        <v>1.7</v>
      </c>
      <c r="L3" s="18">
        <v>1.8</v>
      </c>
    </row>
    <row r="4" spans="3:12" x14ac:dyDescent="0.3">
      <c r="C4" s="17" t="s">
        <v>29</v>
      </c>
      <c r="D4" s="18">
        <v>0.75</v>
      </c>
      <c r="E4" s="18">
        <v>1.25</v>
      </c>
      <c r="F4" s="18">
        <v>1.45</v>
      </c>
      <c r="G4" s="18">
        <v>1.25</v>
      </c>
      <c r="H4" s="18">
        <v>0.85</v>
      </c>
      <c r="I4" s="18">
        <v>0.55000000000000004</v>
      </c>
      <c r="J4" s="18">
        <v>0.35</v>
      </c>
      <c r="K4" s="18">
        <v>0.28000000000000003</v>
      </c>
      <c r="L4" s="18">
        <v>0.18</v>
      </c>
    </row>
    <row r="7" spans="3:12" x14ac:dyDescent="0.3">
      <c r="C7" s="15" t="str" cm="1">
        <f t="array" ref="C7:D16">TRANSPOSE(C3:L4)</f>
        <v>x</v>
      </c>
      <c r="D7" s="15" t="str">
        <v>y</v>
      </c>
      <c r="F7" s="15" t="s">
        <v>47</v>
      </c>
    </row>
    <row r="8" spans="3:12" x14ac:dyDescent="0.3">
      <c r="C8" s="15">
        <v>0.1</v>
      </c>
      <c r="D8" s="15">
        <v>0.75</v>
      </c>
      <c r="F8" s="15">
        <f>LN(D8)</f>
        <v>-0.2876820724517809</v>
      </c>
      <c r="H8" s="15">
        <v>1</v>
      </c>
      <c r="I8" s="15">
        <f>C8</f>
        <v>0.1</v>
      </c>
    </row>
    <row r="9" spans="3:12" x14ac:dyDescent="0.3">
      <c r="C9" s="15">
        <v>0.2</v>
      </c>
      <c r="D9" s="15">
        <v>1.25</v>
      </c>
      <c r="F9" s="15">
        <f t="shared" ref="F9:F16" si="0">LN(D9)</f>
        <v>0.22314355131420976</v>
      </c>
      <c r="H9" s="15">
        <v>1</v>
      </c>
      <c r="I9" s="15">
        <f>C9</f>
        <v>0.2</v>
      </c>
    </row>
    <row r="10" spans="3:12" x14ac:dyDescent="0.3">
      <c r="C10" s="15">
        <v>0.4</v>
      </c>
      <c r="D10" s="15">
        <v>1.45</v>
      </c>
      <c r="F10" s="15">
        <f t="shared" si="0"/>
        <v>0.37156355643248301</v>
      </c>
      <c r="H10" s="15">
        <v>1</v>
      </c>
      <c r="I10" s="15">
        <f t="shared" ref="I10:I16" si="1">C10</f>
        <v>0.4</v>
      </c>
    </row>
    <row r="11" spans="3:12" x14ac:dyDescent="0.3">
      <c r="C11" s="15">
        <v>0.6</v>
      </c>
      <c r="D11" s="15">
        <v>1.25</v>
      </c>
      <c r="F11" s="15">
        <f t="shared" si="0"/>
        <v>0.22314355131420976</v>
      </c>
      <c r="H11" s="15">
        <v>1</v>
      </c>
      <c r="I11" s="15">
        <f t="shared" si="1"/>
        <v>0.6</v>
      </c>
    </row>
    <row r="12" spans="3:12" x14ac:dyDescent="0.3">
      <c r="C12" s="15">
        <v>0.9</v>
      </c>
      <c r="D12" s="15">
        <v>0.85</v>
      </c>
      <c r="F12" s="15">
        <f t="shared" si="0"/>
        <v>-0.16251892949777494</v>
      </c>
      <c r="H12" s="15">
        <v>1</v>
      </c>
      <c r="I12" s="15">
        <f t="shared" si="1"/>
        <v>0.9</v>
      </c>
    </row>
    <row r="13" spans="3:12" x14ac:dyDescent="0.3">
      <c r="C13" s="15">
        <v>1.3</v>
      </c>
      <c r="D13" s="15">
        <v>0.55000000000000004</v>
      </c>
      <c r="F13" s="15">
        <f t="shared" si="0"/>
        <v>-0.59783700075562041</v>
      </c>
      <c r="H13" s="15">
        <v>1</v>
      </c>
      <c r="I13" s="15">
        <f t="shared" si="1"/>
        <v>1.3</v>
      </c>
    </row>
    <row r="14" spans="3:12" x14ac:dyDescent="0.3">
      <c r="C14" s="15">
        <v>1.5</v>
      </c>
      <c r="D14" s="15">
        <v>0.35</v>
      </c>
      <c r="F14" s="15">
        <f t="shared" si="0"/>
        <v>-1.0498221244986778</v>
      </c>
      <c r="H14" s="15">
        <v>1</v>
      </c>
      <c r="I14" s="15">
        <f t="shared" si="1"/>
        <v>1.5</v>
      </c>
    </row>
    <row r="15" spans="3:12" x14ac:dyDescent="0.3">
      <c r="C15" s="15">
        <v>1.7</v>
      </c>
      <c r="D15" s="15">
        <v>0.28000000000000003</v>
      </c>
      <c r="F15" s="15">
        <f t="shared" si="0"/>
        <v>-1.2729656758128873</v>
      </c>
      <c r="H15" s="15">
        <v>1</v>
      </c>
      <c r="I15" s="15">
        <f t="shared" si="1"/>
        <v>1.7</v>
      </c>
    </row>
    <row r="16" spans="3:12" x14ac:dyDescent="0.3">
      <c r="C16" s="15">
        <v>1.8</v>
      </c>
      <c r="D16" s="15">
        <v>0.18</v>
      </c>
      <c r="F16" s="15">
        <f t="shared" si="0"/>
        <v>-1.7147984280919266</v>
      </c>
      <c r="H16" s="15">
        <v>1</v>
      </c>
      <c r="I16" s="15">
        <f t="shared" si="1"/>
        <v>1.8</v>
      </c>
    </row>
    <row r="19" spans="2:16" x14ac:dyDescent="0.3">
      <c r="B19" s="19" t="s">
        <v>50</v>
      </c>
      <c r="C19" s="20" cm="1">
        <f t="array" ref="C19:K20">TRANSPOSE(H8:I16)</f>
        <v>1</v>
      </c>
      <c r="D19" s="20">
        <v>1</v>
      </c>
      <c r="E19" s="20">
        <v>1</v>
      </c>
      <c r="F19" s="20">
        <v>1</v>
      </c>
      <c r="G19" s="20">
        <v>1</v>
      </c>
      <c r="H19" s="20">
        <v>1</v>
      </c>
      <c r="I19" s="20">
        <v>1</v>
      </c>
      <c r="J19" s="20">
        <v>1</v>
      </c>
      <c r="K19" s="20">
        <v>1</v>
      </c>
      <c r="L19" s="20" cm="1">
        <f t="array" ref="L19:M27">H8:I16</f>
        <v>1</v>
      </c>
      <c r="M19" s="20">
        <v>0.1</v>
      </c>
    </row>
    <row r="20" spans="2:16" x14ac:dyDescent="0.3">
      <c r="C20" s="20">
        <v>0.1</v>
      </c>
      <c r="D20" s="20">
        <v>0.2</v>
      </c>
      <c r="E20" s="20">
        <v>0.4</v>
      </c>
      <c r="F20" s="20">
        <v>0.6</v>
      </c>
      <c r="G20" s="20">
        <v>0.9</v>
      </c>
      <c r="H20" s="20">
        <v>1.3</v>
      </c>
      <c r="I20" s="20">
        <v>1.5</v>
      </c>
      <c r="J20" s="20">
        <v>1.7</v>
      </c>
      <c r="K20" s="20">
        <v>1.8</v>
      </c>
      <c r="L20" s="20">
        <v>1</v>
      </c>
      <c r="M20" s="20">
        <v>0.2</v>
      </c>
    </row>
    <row r="21" spans="2:16" x14ac:dyDescent="0.3">
      <c r="L21" s="20">
        <v>1</v>
      </c>
      <c r="M21" s="20">
        <v>0.4</v>
      </c>
    </row>
    <row r="22" spans="2:16" x14ac:dyDescent="0.3">
      <c r="L22" s="20">
        <v>1</v>
      </c>
      <c r="M22" s="20">
        <v>0.6</v>
      </c>
    </row>
    <row r="23" spans="2:16" x14ac:dyDescent="0.3">
      <c r="L23" s="20">
        <v>1</v>
      </c>
      <c r="M23" s="20">
        <v>0.9</v>
      </c>
    </row>
    <row r="24" spans="2:16" x14ac:dyDescent="0.3">
      <c r="L24" s="20">
        <v>1</v>
      </c>
      <c r="M24" s="20">
        <v>1.3</v>
      </c>
    </row>
    <row r="25" spans="2:16" x14ac:dyDescent="0.3">
      <c r="L25" s="20">
        <v>1</v>
      </c>
      <c r="M25" s="20">
        <v>1.5</v>
      </c>
    </row>
    <row r="26" spans="2:16" x14ac:dyDescent="0.3">
      <c r="L26" s="20">
        <v>1</v>
      </c>
      <c r="M26" s="20">
        <v>1.7</v>
      </c>
    </row>
    <row r="27" spans="2:16" x14ac:dyDescent="0.3">
      <c r="L27" s="20">
        <v>1</v>
      </c>
      <c r="M27" s="20">
        <v>1.8</v>
      </c>
    </row>
    <row r="29" spans="2:16" x14ac:dyDescent="0.3">
      <c r="B29" s="16" t="s">
        <v>51</v>
      </c>
      <c r="C29" s="15" cm="1">
        <f t="array" ref="C29:D30">MMULT(C19:K20,L19:M27)</f>
        <v>9</v>
      </c>
      <c r="D29" s="15">
        <v>8.5</v>
      </c>
    </row>
    <row r="30" spans="2:16" x14ac:dyDescent="0.3">
      <c r="C30" s="15">
        <v>8.5</v>
      </c>
      <c r="D30" s="15">
        <v>11.450000000000001</v>
      </c>
    </row>
    <row r="32" spans="2:16" x14ac:dyDescent="0.3">
      <c r="B32" s="19" t="s">
        <v>52</v>
      </c>
      <c r="C32" s="20" cm="1">
        <f t="array" ref="C32:D33">MINVERSE(C29:D30)</f>
        <v>0.37175324675324661</v>
      </c>
      <c r="D32" s="20">
        <v>-0.27597402597402582</v>
      </c>
      <c r="F32" s="20" cm="1">
        <f t="array" ref="F32:N33">C19:K20</f>
        <v>1</v>
      </c>
      <c r="G32" s="20">
        <v>1</v>
      </c>
      <c r="H32" s="20">
        <v>1</v>
      </c>
      <c r="I32" s="20">
        <v>1</v>
      </c>
      <c r="J32" s="20">
        <v>1</v>
      </c>
      <c r="K32" s="20">
        <v>1</v>
      </c>
      <c r="L32" s="20">
        <v>1</v>
      </c>
      <c r="M32" s="20">
        <v>1</v>
      </c>
      <c r="N32" s="20">
        <v>1</v>
      </c>
      <c r="P32" s="20" cm="1">
        <f t="array" ref="P32:P40">F8:F16</f>
        <v>-0.2876820724517809</v>
      </c>
    </row>
    <row r="33" spans="2:16" x14ac:dyDescent="0.3">
      <c r="C33" s="20">
        <v>-0.27597402597402582</v>
      </c>
      <c r="D33" s="20">
        <v>0.29220779220779203</v>
      </c>
      <c r="F33" s="20">
        <v>0.1</v>
      </c>
      <c r="G33" s="20">
        <v>0.2</v>
      </c>
      <c r="H33" s="20">
        <v>0.4</v>
      </c>
      <c r="I33" s="20">
        <v>0.6</v>
      </c>
      <c r="J33" s="20">
        <v>0.9</v>
      </c>
      <c r="K33" s="20">
        <v>1.3</v>
      </c>
      <c r="L33" s="20">
        <v>1.5</v>
      </c>
      <c r="M33" s="20">
        <v>1.7</v>
      </c>
      <c r="N33" s="20">
        <v>1.8</v>
      </c>
      <c r="P33" s="20">
        <v>0.22314355131420976</v>
      </c>
    </row>
    <row r="34" spans="2:16" x14ac:dyDescent="0.3">
      <c r="P34" s="20">
        <v>0.37156355643248301</v>
      </c>
    </row>
    <row r="35" spans="2:16" x14ac:dyDescent="0.3">
      <c r="P35" s="20">
        <v>0.22314355131420976</v>
      </c>
    </row>
    <row r="36" spans="2:16" x14ac:dyDescent="0.3">
      <c r="P36" s="20">
        <v>-0.16251892949777494</v>
      </c>
    </row>
    <row r="37" spans="2:16" x14ac:dyDescent="0.3">
      <c r="P37" s="20">
        <v>-0.59783700075562041</v>
      </c>
    </row>
    <row r="38" spans="2:16" x14ac:dyDescent="0.3">
      <c r="P38" s="20">
        <v>-1.0498221244986778</v>
      </c>
    </row>
    <row r="39" spans="2:16" x14ac:dyDescent="0.3">
      <c r="P39" s="20">
        <v>-1.2729656758128873</v>
      </c>
    </row>
    <row r="40" spans="2:16" x14ac:dyDescent="0.3">
      <c r="P40" s="20">
        <v>-1.7147984280919266</v>
      </c>
    </row>
    <row r="42" spans="2:16" x14ac:dyDescent="0.3">
      <c r="B42" s="19" t="s">
        <v>53</v>
      </c>
      <c r="C42" s="20" cm="1">
        <f t="array" ref="C42:K43">MMULT(C32:D33,F32:N33)</f>
        <v>0.34415584415584405</v>
      </c>
      <c r="D42" s="20">
        <v>0.31655844155844143</v>
      </c>
      <c r="E42" s="20">
        <v>0.2613636363636363</v>
      </c>
      <c r="F42" s="20">
        <v>0.20616883116883114</v>
      </c>
      <c r="G42" s="20">
        <v>0.12337662337662336</v>
      </c>
      <c r="H42" s="20">
        <v>1.2987012987013047E-2</v>
      </c>
      <c r="I42" s="20">
        <v>-4.2207792207792139E-2</v>
      </c>
      <c r="J42" s="20">
        <v>-9.7402597402597269E-2</v>
      </c>
      <c r="K42" s="20">
        <v>-0.12499999999999989</v>
      </c>
      <c r="M42" s="20">
        <f t="shared" ref="M42:M50" si="2">P32</f>
        <v>-0.2876820724517809</v>
      </c>
    </row>
    <row r="43" spans="2:16" x14ac:dyDescent="0.3">
      <c r="C43" s="20">
        <v>-0.24675324675324661</v>
      </c>
      <c r="D43" s="20">
        <v>-0.21753246753246741</v>
      </c>
      <c r="E43" s="20">
        <v>-0.15909090909090901</v>
      </c>
      <c r="F43" s="20">
        <v>-0.1006493506493506</v>
      </c>
      <c r="G43" s="20">
        <v>-1.2987012987012991E-2</v>
      </c>
      <c r="H43" s="20">
        <v>0.10389610389610382</v>
      </c>
      <c r="I43" s="20">
        <v>0.16233766233766223</v>
      </c>
      <c r="J43" s="20">
        <v>0.22077922077922063</v>
      </c>
      <c r="K43" s="20">
        <v>0.24999999999999983</v>
      </c>
      <c r="M43" s="20">
        <f t="shared" si="2"/>
        <v>0.22314355131420976</v>
      </c>
    </row>
    <row r="44" spans="2:16" x14ac:dyDescent="0.3">
      <c r="M44" s="20">
        <f t="shared" si="2"/>
        <v>0.37156355643248301</v>
      </c>
    </row>
    <row r="45" spans="2:16" x14ac:dyDescent="0.3">
      <c r="M45" s="20">
        <f t="shared" si="2"/>
        <v>0.22314355131420976</v>
      </c>
    </row>
    <row r="46" spans="2:16" x14ac:dyDescent="0.3">
      <c r="M46" s="20">
        <f t="shared" si="2"/>
        <v>-0.16251892949777494</v>
      </c>
    </row>
    <row r="47" spans="2:16" x14ac:dyDescent="0.3">
      <c r="M47" s="20">
        <f t="shared" si="2"/>
        <v>-0.59783700075562041</v>
      </c>
    </row>
    <row r="48" spans="2:16" x14ac:dyDescent="0.3">
      <c r="M48" s="20">
        <f t="shared" si="2"/>
        <v>-1.0498221244986778</v>
      </c>
    </row>
    <row r="49" spans="2:13" x14ac:dyDescent="0.3">
      <c r="M49" s="20">
        <f t="shared" si="2"/>
        <v>-1.2729656758128873</v>
      </c>
    </row>
    <row r="50" spans="2:13" x14ac:dyDescent="0.3">
      <c r="M50" s="20">
        <f t="shared" si="2"/>
        <v>-1.7147984280919266</v>
      </c>
    </row>
    <row r="52" spans="2:13" x14ac:dyDescent="0.3">
      <c r="B52" s="19" t="s">
        <v>48</v>
      </c>
      <c r="C52" s="15" cm="1">
        <f t="array" ref="C52:C53">MMULT(C42:K43,M42:M50)</f>
        <v>0.46958444293826102</v>
      </c>
    </row>
    <row r="53" spans="2:13" x14ac:dyDescent="0.3">
      <c r="B53" s="19" t="s">
        <v>49</v>
      </c>
      <c r="C53" s="15">
        <v>-0.99929806570495461</v>
      </c>
    </row>
    <row r="55" spans="2:13" x14ac:dyDescent="0.3">
      <c r="B55" s="19" t="s">
        <v>54</v>
      </c>
      <c r="C55" s="18">
        <f>EXP(C52)</f>
        <v>1.5993294424621289</v>
      </c>
    </row>
    <row r="56" spans="2:13" x14ac:dyDescent="0.3">
      <c r="B56" s="19" t="s">
        <v>49</v>
      </c>
      <c r="C56" s="18">
        <f>C53</f>
        <v>-0.99929806570495461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FAE16-7860-495C-A869-8C46739840FF}">
  <dimension ref="B9:AS55"/>
  <sheetViews>
    <sheetView topLeftCell="A7" zoomScale="72" zoomScaleNormal="55" workbookViewId="0">
      <selection activeCell="S26" sqref="S26:T28"/>
    </sheetView>
  </sheetViews>
  <sheetFormatPr defaultRowHeight="14" x14ac:dyDescent="0.3"/>
  <cols>
    <col min="1" max="8" width="8.7265625" style="15"/>
    <col min="9" max="10" width="10.1796875" style="15" customWidth="1"/>
    <col min="11" max="11" width="8.7265625" style="15"/>
    <col min="12" max="12" width="12.6328125" style="15" bestFit="1" customWidth="1"/>
    <col min="13" max="22" width="8.7265625" style="15"/>
    <col min="23" max="23" width="8.7265625" style="28"/>
    <col min="24" max="32" width="8.7265625" style="15"/>
    <col min="33" max="33" width="11.54296875" style="15" customWidth="1"/>
    <col min="34" max="34" width="8.7265625" style="15"/>
    <col min="35" max="35" width="11.90625" style="15" customWidth="1"/>
    <col min="36" max="36" width="8.7265625" style="15"/>
    <col min="37" max="37" width="13.36328125" style="15" customWidth="1"/>
    <col min="38" max="16384" width="8.7265625" style="15"/>
  </cols>
  <sheetData>
    <row r="9" spans="31:31" x14ac:dyDescent="0.3">
      <c r="AE9" s="15" t="s">
        <v>74</v>
      </c>
    </row>
    <row r="18" spans="2:45" x14ac:dyDescent="0.3">
      <c r="C18" s="26" t="s">
        <v>28</v>
      </c>
      <c r="D18" s="26" t="s">
        <v>29</v>
      </c>
      <c r="E18" s="26" t="s">
        <v>2</v>
      </c>
      <c r="G18" s="23" t="s">
        <v>55</v>
      </c>
      <c r="H18" s="27">
        <v>1</v>
      </c>
      <c r="AB18" s="26" t="s">
        <v>28</v>
      </c>
      <c r="AC18" s="26" t="s">
        <v>29</v>
      </c>
      <c r="AD18" s="26" t="s">
        <v>2</v>
      </c>
      <c r="AF18" s="23" t="s">
        <v>55</v>
      </c>
      <c r="AG18" s="27">
        <v>0.5</v>
      </c>
    </row>
    <row r="19" spans="2:45" x14ac:dyDescent="0.3">
      <c r="C19" s="27">
        <v>0.25</v>
      </c>
      <c r="D19" s="27">
        <v>0.28000000000000003</v>
      </c>
      <c r="E19" s="27">
        <f>$H$18*(1-EXP(-1*$H$19*C19))</f>
        <v>0.22119921692859512</v>
      </c>
      <c r="G19" s="23" t="s">
        <v>56</v>
      </c>
      <c r="H19" s="27">
        <v>1</v>
      </c>
      <c r="AB19" s="27">
        <v>0.15</v>
      </c>
      <c r="AC19" s="27">
        <v>0.93</v>
      </c>
      <c r="AD19" s="27">
        <f>1/($AG$18+AB19^$AG$19)</f>
        <v>1.1270166537925832</v>
      </c>
      <c r="AF19" s="23" t="s">
        <v>56</v>
      </c>
      <c r="AG19" s="27">
        <v>0.5</v>
      </c>
    </row>
    <row r="20" spans="2:45" x14ac:dyDescent="0.3">
      <c r="C20" s="27">
        <v>0.75</v>
      </c>
      <c r="D20" s="27">
        <v>0.56999999999999995</v>
      </c>
      <c r="E20" s="27">
        <f t="shared" ref="E20:E23" si="0">$H$18*(1-EXP(-1*$H$19*C20))</f>
        <v>0.52763344725898531</v>
      </c>
      <c r="AB20" s="27">
        <v>0.25</v>
      </c>
      <c r="AC20" s="27">
        <v>0.85</v>
      </c>
      <c r="AD20" s="27">
        <f t="shared" ref="AD20:AD23" si="1">1/($AG$18+AB20^$AG$19)</f>
        <v>1</v>
      </c>
    </row>
    <row r="21" spans="2:45" x14ac:dyDescent="0.3">
      <c r="C21" s="27">
        <v>1.25</v>
      </c>
      <c r="D21" s="27">
        <v>0.68</v>
      </c>
      <c r="E21" s="27">
        <f t="shared" si="0"/>
        <v>0.71349520313980985</v>
      </c>
      <c r="AB21" s="27">
        <v>0.35</v>
      </c>
      <c r="AC21" s="27">
        <v>0.68</v>
      </c>
      <c r="AD21" s="27">
        <f t="shared" si="1"/>
        <v>0.91607978309961591</v>
      </c>
    </row>
    <row r="22" spans="2:45" x14ac:dyDescent="0.3">
      <c r="C22" s="27">
        <v>1.75</v>
      </c>
      <c r="D22" s="27">
        <v>0.74</v>
      </c>
      <c r="E22" s="27">
        <f t="shared" si="0"/>
        <v>0.82622605654955483</v>
      </c>
      <c r="AB22" s="27">
        <v>0.45</v>
      </c>
      <c r="AC22" s="27">
        <v>0.74</v>
      </c>
      <c r="AD22" s="27">
        <f t="shared" si="1"/>
        <v>0.85410196624968449</v>
      </c>
    </row>
    <row r="23" spans="2:45" x14ac:dyDescent="0.3">
      <c r="C23" s="27">
        <v>2.25</v>
      </c>
      <c r="D23" s="27">
        <v>0.79</v>
      </c>
      <c r="E23" s="27">
        <f t="shared" si="0"/>
        <v>0.89460077543813565</v>
      </c>
      <c r="AB23" s="27">
        <v>0.55000000000000004</v>
      </c>
      <c r="AC23" s="27">
        <v>0.59</v>
      </c>
      <c r="AD23" s="27">
        <f t="shared" si="1"/>
        <v>0.8053994956985544</v>
      </c>
    </row>
    <row r="26" spans="2:45" x14ac:dyDescent="0.3">
      <c r="B26" s="21" t="s">
        <v>57</v>
      </c>
      <c r="D26" s="40" t="s">
        <v>58</v>
      </c>
      <c r="E26" s="40"/>
      <c r="G26" s="23" t="s">
        <v>59</v>
      </c>
      <c r="I26" s="40" t="s">
        <v>60</v>
      </c>
      <c r="J26" s="40"/>
      <c r="L26" s="23" t="s">
        <v>61</v>
      </c>
      <c r="N26" s="23" t="s">
        <v>62</v>
      </c>
      <c r="P26" s="23" t="s">
        <v>63</v>
      </c>
      <c r="Q26" s="23">
        <f>N27+H18</f>
        <v>0.728522640015418</v>
      </c>
      <c r="S26" s="23" t="s">
        <v>22</v>
      </c>
      <c r="T26" s="23" t="s">
        <v>65</v>
      </c>
      <c r="AA26" s="21" t="s">
        <v>57</v>
      </c>
      <c r="AC26" s="40" t="s">
        <v>58</v>
      </c>
      <c r="AD26" s="40"/>
      <c r="AF26" s="23" t="s">
        <v>59</v>
      </c>
      <c r="AH26" s="40" t="s">
        <v>60</v>
      </c>
      <c r="AI26" s="40"/>
      <c r="AK26" s="23" t="s">
        <v>61</v>
      </c>
      <c r="AM26" s="23" t="s">
        <v>62</v>
      </c>
      <c r="AO26" s="23" t="s">
        <v>63</v>
      </c>
      <c r="AP26" s="23">
        <f>AM27+AG18</f>
        <v>1.0057218897089566</v>
      </c>
      <c r="AR26" s="23" t="s">
        <v>22</v>
      </c>
      <c r="AS26" s="23" t="s">
        <v>65</v>
      </c>
    </row>
    <row r="27" spans="2:45" x14ac:dyDescent="0.3">
      <c r="D27" s="22">
        <f>1-EXP(-1*$H$19*C19)</f>
        <v>0.22119921692859512</v>
      </c>
      <c r="E27" s="22">
        <f>$H$18*C19*EXP(-1*$H$19*C19)</f>
        <v>0.19470019576785122</v>
      </c>
      <c r="G27" s="22">
        <f>D19-E19</f>
        <v>5.8800783071404905E-2</v>
      </c>
      <c r="I27" s="22" cm="1">
        <f t="array" ref="I27:J28">MINVERSE(MMULT(TRANSPOSE(D27:E31),D27:E31))</f>
        <v>3.640678144656424</v>
      </c>
      <c r="J27" s="22">
        <v>-7.8446637685168739</v>
      </c>
      <c r="L27" s="22" cm="1">
        <f t="array" ref="L27:L28">MMULT(TRANSPOSE(D27:E31),G27:G31)</f>
        <v>-0.15335611882018768</v>
      </c>
      <c r="N27" s="22" cm="1">
        <f t="array" ref="N27:N28">MMULT(I27:J28,L27:L28)</f>
        <v>-0.271477359984582</v>
      </c>
      <c r="P27" s="23" t="s">
        <v>64</v>
      </c>
      <c r="Q27" s="23">
        <f>N28+H19</f>
        <v>1.5019308677020637</v>
      </c>
      <c r="S27" s="22">
        <f>ABS((Q26-H18)/Q26)</f>
        <v>0.37264093807549564</v>
      </c>
      <c r="T27" s="22" t="str">
        <f>IF(S27&lt;0.05,"stop","lanjut")</f>
        <v>lanjut</v>
      </c>
      <c r="AC27" s="22">
        <f>-1/($AG$18+AB19^$AG$19)^2</f>
        <v>-1.2701665379258311</v>
      </c>
      <c r="AD27" s="22">
        <f>-(AB19^$AG$19*LN(AB19)/($AG$18+AB19^$AG$19)^2)</f>
        <v>0.93325665559291937</v>
      </c>
      <c r="AF27" s="22">
        <f>AC19-AD19</f>
        <v>-0.19701665379258315</v>
      </c>
      <c r="AH27" s="22" cm="1">
        <f t="array" ref="AH27:AI28">MINVERSE(MMULT(TRANSPOSE(AC27:AD31),AC27:AD31))</f>
        <v>11.178820593649519</v>
      </c>
      <c r="AI27" s="22">
        <v>16.767142051219395</v>
      </c>
      <c r="AK27" s="22" cm="1">
        <f t="array" ref="AK27:AK28">MMULT(TRANSPOSE(AC27:AD31),AF27:AF31)</f>
        <v>0.82132172467503273</v>
      </c>
      <c r="AM27" s="22" cm="1">
        <f t="array" ref="AM27:AM28">MMULT(AH27:AI28,AK27:AK28)</f>
        <v>0.5057218897089566</v>
      </c>
      <c r="AO27" s="23" t="s">
        <v>64</v>
      </c>
      <c r="AP27" s="23">
        <f>AM28+AG19</f>
        <v>0.98012344521880124</v>
      </c>
      <c r="AR27" s="22">
        <f>ABS((AP26-AG18)/AP26)</f>
        <v>0.50284466797804928</v>
      </c>
      <c r="AS27" s="22" t="str">
        <f>IF(AR27&lt;0.05,"stop","lanjut")</f>
        <v>lanjut</v>
      </c>
    </row>
    <row r="28" spans="2:45" x14ac:dyDescent="0.3">
      <c r="D28" s="22">
        <f t="shared" ref="D28:D31" si="2">1-EXP(-1*$H$19*C20)</f>
        <v>0.52763344725898531</v>
      </c>
      <c r="E28" s="22">
        <f t="shared" ref="E28:E31" si="3">$H$18*C20*EXP(-1*$H$19*C20)</f>
        <v>0.35427491455576099</v>
      </c>
      <c r="G28" s="22">
        <f t="shared" ref="G28:G31" si="4">D20-E20</f>
        <v>4.236655274101464E-2</v>
      </c>
      <c r="I28" s="22">
        <v>-7.8446637685168747</v>
      </c>
      <c r="J28" s="22">
        <v>19.173787167684946</v>
      </c>
      <c r="L28" s="22">
        <v>-3.6565354311882771E-2</v>
      </c>
      <c r="N28" s="22">
        <v>0.50193086770206385</v>
      </c>
      <c r="S28" s="22">
        <f>ABS((Q27-H19)/Q27)</f>
        <v>0.33419039350993029</v>
      </c>
      <c r="T28" s="22" t="str">
        <f>IF(S28&lt;0.05,"stop","lanjut")</f>
        <v>lanjut</v>
      </c>
      <c r="AC28" s="22">
        <f t="shared" ref="AC28:AC31" si="5">-1/($AG$18+AB20^$AG$19)^2</f>
        <v>-1</v>
      </c>
      <c r="AD28" s="22">
        <f t="shared" ref="AD28:AD31" si="6">-(AB20^$AG$19*LN(AB20)/($AG$18+AB20^$AG$19)^2)</f>
        <v>0.69314718055994529</v>
      </c>
      <c r="AF28" s="22">
        <f t="shared" ref="AF28:AF31" si="7">AC20-AD20</f>
        <v>-0.15000000000000002</v>
      </c>
      <c r="AH28" s="22">
        <v>16.767142051219398</v>
      </c>
      <c r="AI28" s="22">
        <v>25.687151731034366</v>
      </c>
      <c r="AK28" s="22">
        <v>-0.51742188940715139</v>
      </c>
      <c r="AM28" s="22">
        <v>0.48012344521880124</v>
      </c>
      <c r="AR28" s="22">
        <f>ABS((AP27-AG19)/AP27)</f>
        <v>0.48986017787955194</v>
      </c>
      <c r="AS28" s="22" t="str">
        <f>IF(AR28&lt;0.05,"stop","lanjut")</f>
        <v>lanjut</v>
      </c>
    </row>
    <row r="29" spans="2:45" x14ac:dyDescent="0.3">
      <c r="D29" s="22">
        <f t="shared" si="2"/>
        <v>0.71349520313980985</v>
      </c>
      <c r="E29" s="22">
        <f t="shared" si="3"/>
        <v>0.35813099607523763</v>
      </c>
      <c r="G29" s="22">
        <f t="shared" si="4"/>
        <v>-3.3495203139809804E-2</v>
      </c>
      <c r="AC29" s="22">
        <f t="shared" si="5"/>
        <v>-0.83920216900383948</v>
      </c>
      <c r="AD29" s="22">
        <f t="shared" si="6"/>
        <v>0.52121432213017216</v>
      </c>
      <c r="AF29" s="22">
        <f t="shared" si="7"/>
        <v>-0.23607978309961586</v>
      </c>
    </row>
    <row r="30" spans="2:45" x14ac:dyDescent="0.3">
      <c r="D30" s="22">
        <f t="shared" si="2"/>
        <v>0.82622605654955483</v>
      </c>
      <c r="E30" s="22">
        <f t="shared" si="3"/>
        <v>0.30410440103827902</v>
      </c>
      <c r="G30" s="22">
        <f t="shared" si="4"/>
        <v>-8.6226056549554841E-2</v>
      </c>
      <c r="AC30" s="22">
        <f t="shared" si="5"/>
        <v>-0.72949016875157713</v>
      </c>
      <c r="AD30" s="22">
        <f t="shared" si="6"/>
        <v>0.39075523637343673</v>
      </c>
      <c r="AF30" s="22">
        <f t="shared" si="7"/>
        <v>-0.11410196624968449</v>
      </c>
    </row>
    <row r="31" spans="2:45" x14ac:dyDescent="0.3">
      <c r="D31" s="22">
        <f t="shared" si="2"/>
        <v>0.89460077543813565</v>
      </c>
      <c r="E31" s="22">
        <f t="shared" si="3"/>
        <v>0.23714825526419475</v>
      </c>
      <c r="G31" s="22">
        <f t="shared" si="4"/>
        <v>-0.10460077543813562</v>
      </c>
      <c r="AC31" s="22">
        <f t="shared" si="5"/>
        <v>-0.64866834767148573</v>
      </c>
      <c r="AD31" s="22">
        <f t="shared" si="6"/>
        <v>0.28759864919000044</v>
      </c>
      <c r="AF31" s="22">
        <f t="shared" si="7"/>
        <v>-0.21539949569855443</v>
      </c>
    </row>
    <row r="34" spans="2:45" x14ac:dyDescent="0.3">
      <c r="B34" s="21" t="s">
        <v>66</v>
      </c>
      <c r="D34" s="40" t="s">
        <v>67</v>
      </c>
      <c r="E34" s="40"/>
      <c r="G34" s="23" t="s">
        <v>68</v>
      </c>
      <c r="I34" s="40" t="s">
        <v>60</v>
      </c>
      <c r="J34" s="40"/>
      <c r="L34" s="23" t="s">
        <v>61</v>
      </c>
      <c r="N34" s="23" t="s">
        <v>62</v>
      </c>
      <c r="P34" s="23" t="s">
        <v>63</v>
      </c>
      <c r="Q34" s="23">
        <f>N35+Q26</f>
        <v>0.79104310274117062</v>
      </c>
      <c r="S34" s="23" t="s">
        <v>22</v>
      </c>
      <c r="T34" s="23" t="s">
        <v>65</v>
      </c>
      <c r="AA34" s="21" t="s">
        <v>66</v>
      </c>
      <c r="AC34" s="40" t="s">
        <v>67</v>
      </c>
      <c r="AD34" s="40"/>
      <c r="AF34" s="23" t="s">
        <v>68</v>
      </c>
      <c r="AH34" s="40" t="s">
        <v>60</v>
      </c>
      <c r="AI34" s="40"/>
      <c r="AK34" s="23" t="s">
        <v>61</v>
      </c>
      <c r="AM34" s="23" t="s">
        <v>62</v>
      </c>
      <c r="AO34" s="23" t="s">
        <v>63</v>
      </c>
      <c r="AP34" s="23">
        <f>AM35+AG26</f>
        <v>-0.3892347334098698</v>
      </c>
      <c r="AR34" s="23" t="s">
        <v>22</v>
      </c>
      <c r="AS34" s="23" t="s">
        <v>65</v>
      </c>
    </row>
    <row r="35" spans="2:45" x14ac:dyDescent="0.3">
      <c r="D35" s="22">
        <f>1-EXP(-1*$Q$27*C19)</f>
        <v>0.31304240731493649</v>
      </c>
      <c r="E35" s="22">
        <f>$Q$26*C19*EXP(-1*$Q$27*C19)</f>
        <v>0.12511603975038968</v>
      </c>
      <c r="G35" s="22">
        <f>D19-$Q$26*(1-EXP(-1*$Q$27*C19))</f>
        <v>5.1941518986140689E-2</v>
      </c>
      <c r="I35" s="22" cm="1">
        <f t="array" ref="I35:J36">MINVERSE(MMULT(TRANSPOSE(D35:E39),D35:E39))</f>
        <v>1.1822798521318587</v>
      </c>
      <c r="J35" s="22">
        <v>-6.3064602371899028</v>
      </c>
      <c r="L35" s="22" cm="1">
        <f t="array" ref="L35:L36">MMULT(TRANSPOSE(D35:E39),G35:G39)</f>
        <v>0.26484680722206139</v>
      </c>
      <c r="N35" s="22" cm="1">
        <f t="array" ref="N35:N36">MMULT(I35:J36,L35:L36)</f>
        <v>6.2520462725752624E-2</v>
      </c>
      <c r="P35" s="23" t="s">
        <v>64</v>
      </c>
      <c r="Q35" s="23">
        <f>N36+Q27</f>
        <v>1.6777011225373206</v>
      </c>
      <c r="S35" s="22">
        <f>ABS((Q34-Q26)/Q34)</f>
        <v>7.903546912817129E-2</v>
      </c>
      <c r="T35" s="22" t="str">
        <f>IF(S35&lt;0.05,"stop","lanjut")</f>
        <v>lanjut</v>
      </c>
      <c r="AC35" s="22">
        <f>-1/($AP$26+AB19^$AP$27)^2</f>
        <v>-0.74126236924146471</v>
      </c>
      <c r="AD35" s="22">
        <f>-(AB19^$AP$27*LN(AB19))/($AP$26+AB19^$AP$27)^2</f>
        <v>0.21904557218939197</v>
      </c>
      <c r="AF35" s="22">
        <f>AC19-(1/($AP$26+AB19^$AP$27))</f>
        <v>6.9034048732782516E-2</v>
      </c>
      <c r="AH35" s="22" cm="1">
        <f t="array" ref="AH35:AI36">MINVERSE(MMULT(TRANSPOSE(AC35:AD39),AC35:AD39))</f>
        <v>68.183191686985509</v>
      </c>
      <c r="AI35" s="22">
        <v>200.03264612717157</v>
      </c>
      <c r="AK35" s="22" cm="1">
        <f t="array" ref="AK35:AK36">MMULT(TRANSPOSE(AC35:AD39),AF35:AF39)</f>
        <v>-6.4572688389402375E-2</v>
      </c>
      <c r="AM35" s="22" cm="1">
        <f t="array" ref="AM35:AM36">MMULT(AH35:AI36,AK35:AK36)</f>
        <v>-0.3892347334098698</v>
      </c>
      <c r="AO35" s="23" t="s">
        <v>64</v>
      </c>
      <c r="AP35" s="23">
        <f>AM36+AG27</f>
        <v>-1.0342558318953188</v>
      </c>
      <c r="AR35" s="22">
        <f>ABS((AP34-AP26)/AP34)</f>
        <v>3.5838441520837168</v>
      </c>
      <c r="AS35" s="22" t="str">
        <f>IF(AR35&lt;0.05,"stop","lanjut")</f>
        <v>lanjut</v>
      </c>
    </row>
    <row r="36" spans="2:45" x14ac:dyDescent="0.3">
      <c r="D36" s="22">
        <f>1-EXP(-1*$Q$27*C20)</f>
        <v>0.67581733810768418</v>
      </c>
      <c r="E36" s="22">
        <f>$Q$26*C20*EXP(-1*$Q$27*C20)</f>
        <v>0.17713080651676169</v>
      </c>
      <c r="G36" s="22">
        <f>D20-$Q$26*(1-EXP(-1*$Q$27*C20))</f>
        <v>7.7651768673597521E-2</v>
      </c>
      <c r="I36" s="22">
        <v>-6.3064602371899019</v>
      </c>
      <c r="J36" s="22">
        <v>46.455336390627302</v>
      </c>
      <c r="L36" s="22">
        <v>3.9737439376293773E-2</v>
      </c>
      <c r="N36" s="22">
        <v>0.17577025483525688</v>
      </c>
      <c r="S36" s="22">
        <f>ABS((Q35-Q27)/Q35)</f>
        <v>0.10476851476943973</v>
      </c>
      <c r="T36" s="22" t="str">
        <f>IF(S36&lt;0.05,"stop","lanjut")</f>
        <v>lanjut</v>
      </c>
      <c r="AC36" s="22">
        <f t="shared" ref="AC36:AC39" si="8">-1/($AP$26+AB20^$AP$27)^2</f>
        <v>-0.62718441946455528</v>
      </c>
      <c r="AD36" s="22">
        <f t="shared" ref="AD36:AD39" si="9">-(AB20^$AP$27*LN(AB20))/($AP$26+AB20^$AP$27)^2</f>
        <v>0.22343829300219711</v>
      </c>
      <c r="AF36" s="22">
        <f t="shared" ref="AF36:AF39" si="10">AC20-(1/($AP$26+AB20^$AP$27))</f>
        <v>5.8050241830609917E-2</v>
      </c>
      <c r="AH36" s="22">
        <v>200.03264612717157</v>
      </c>
      <c r="AI36" s="22">
        <v>592.21224091732074</v>
      </c>
      <c r="AK36" s="22">
        <v>2.0064411157352347E-2</v>
      </c>
      <c r="AM36" s="22">
        <v>-1.0342558318953188</v>
      </c>
      <c r="AR36" s="22">
        <f>ABS((AP35-AP27)/AP35)</f>
        <v>1.9476605448989177</v>
      </c>
      <c r="AS36" s="22" t="str">
        <f>IF(AR36&lt;0.05,"stop","lanjut")</f>
        <v>lanjut</v>
      </c>
    </row>
    <row r="37" spans="2:45" x14ac:dyDescent="0.3">
      <c r="D37" s="22">
        <f t="shared" ref="D37:D39" si="11">1-EXP(-1*$Q$27*C21)</f>
        <v>0.8470147220284554</v>
      </c>
      <c r="E37" s="22">
        <f t="shared" ref="E37:E39" si="12">$Q$26*C21*EXP(-1*$Q$27*C21)</f>
        <v>0.13931654823915279</v>
      </c>
      <c r="G37" s="22">
        <f>D21-$Q$26*(1-EXP(-1*$Q$27*C21))</f>
        <v>6.2930598575904328E-2</v>
      </c>
      <c r="AC37" s="22">
        <f t="shared" si="8"/>
        <v>-0.53819948551710983</v>
      </c>
      <c r="AD37" s="22">
        <f t="shared" si="9"/>
        <v>0.20192467855186594</v>
      </c>
      <c r="AF37" s="22">
        <f t="shared" si="10"/>
        <v>-5.3620804991999726E-2</v>
      </c>
    </row>
    <row r="38" spans="2:45" x14ac:dyDescent="0.3">
      <c r="D38" s="22">
        <f t="shared" si="11"/>
        <v>0.92780460515866492</v>
      </c>
      <c r="E38" s="22">
        <f t="shared" si="12"/>
        <v>9.2042964381838621E-2</v>
      </c>
      <c r="G38" s="22">
        <f>D22-$Q$26*(1-EXP(-1*$Q$27*C22))</f>
        <v>6.4073339631346871E-2</v>
      </c>
      <c r="AC38" s="22">
        <f t="shared" si="8"/>
        <v>-0.46725956797088392</v>
      </c>
      <c r="AD38" s="22">
        <f t="shared" si="9"/>
        <v>0.17058575566301507</v>
      </c>
      <c r="AF38" s="22">
        <f t="shared" si="10"/>
        <v>5.6436127365639743E-2</v>
      </c>
    </row>
    <row r="39" spans="2:45" x14ac:dyDescent="0.3">
      <c r="D39" s="22">
        <f t="shared" si="11"/>
        <v>0.96593021821834557</v>
      </c>
      <c r="E39" s="22">
        <f t="shared" si="12"/>
        <v>5.5846366578720198E-2</v>
      </c>
      <c r="G39" s="22">
        <f t="shared" ref="G39" si="13">D23-$Q$26*(1-EXP(-1*$Q$27*C23))</f>
        <v>8.6297967352902072E-2</v>
      </c>
      <c r="AC39" s="22">
        <f t="shared" si="8"/>
        <v>-0.40970671760341726</v>
      </c>
      <c r="AD39" s="22">
        <f t="shared" si="9"/>
        <v>0.13632617825777871</v>
      </c>
      <c r="AF39" s="22">
        <f t="shared" si="10"/>
        <v>-5.0083367697847048E-2</v>
      </c>
    </row>
    <row r="42" spans="2:45" x14ac:dyDescent="0.3">
      <c r="B42" s="21" t="s">
        <v>69</v>
      </c>
      <c r="D42" s="41" t="s">
        <v>70</v>
      </c>
      <c r="E42" s="42"/>
      <c r="G42" s="23" t="s">
        <v>71</v>
      </c>
      <c r="I42" s="41" t="s">
        <v>60</v>
      </c>
      <c r="J42" s="42"/>
      <c r="L42" s="23" t="s">
        <v>61</v>
      </c>
      <c r="N42" s="23" t="s">
        <v>62</v>
      </c>
      <c r="P42" s="24" t="s">
        <v>63</v>
      </c>
      <c r="Q42" s="25">
        <f>N43+Q34</f>
        <v>0.79185177283167885</v>
      </c>
      <c r="S42" s="23" t="s">
        <v>22</v>
      </c>
      <c r="T42" s="23" t="s">
        <v>65</v>
      </c>
      <c r="AA42" s="21" t="s">
        <v>69</v>
      </c>
      <c r="AC42" s="40" t="s">
        <v>72</v>
      </c>
      <c r="AD42" s="40"/>
      <c r="AF42" s="23" t="s">
        <v>68</v>
      </c>
      <c r="AH42" s="40" t="s">
        <v>60</v>
      </c>
      <c r="AI42" s="40"/>
      <c r="AK42" s="23" t="s">
        <v>61</v>
      </c>
      <c r="AM42" s="23" t="s">
        <v>62</v>
      </c>
      <c r="AO42" s="23" t="s">
        <v>63</v>
      </c>
      <c r="AP42" s="23">
        <f>AM43+AG34</f>
        <v>2.4746296397766381</v>
      </c>
      <c r="AR42" s="23" t="s">
        <v>22</v>
      </c>
      <c r="AS42" s="23" t="s">
        <v>65</v>
      </c>
    </row>
    <row r="43" spans="2:45" x14ac:dyDescent="0.3">
      <c r="D43" s="22">
        <f>1-EXP(-1*$Q$35*C19)</f>
        <v>0.34257545412059864</v>
      </c>
      <c r="E43" s="22">
        <f>$Q$34*C19*EXP(-1*$Q$35*C19)</f>
        <v>0.13001278814766168</v>
      </c>
      <c r="G43" s="22">
        <f>D19-$Q$34*(1-EXP(-1*$Q$35*C19))</f>
        <v>9.0080498494761185E-3</v>
      </c>
      <c r="I43" s="22" cm="1">
        <f t="array" ref="I43:J44">MINVERSE(MMULT(TRANSPOSE(D43:E47),D43:E47))</f>
        <v>0.92086386954884525</v>
      </c>
      <c r="J43" s="22">
        <v>-5.2289760548582711</v>
      </c>
      <c r="L43" s="22" cm="1">
        <f t="array" ref="L43:L44">MMULT(TRANSPOSE(D43:E47),G43:G47)</f>
        <v>1.7012824042806074E-3</v>
      </c>
      <c r="N43" s="22" cm="1">
        <f t="array" ref="N43:N44">MMULT(I43:J44,L43:L44)</f>
        <v>8.0867009050819485E-4</v>
      </c>
      <c r="P43" s="24" t="s">
        <v>64</v>
      </c>
      <c r="Q43" s="25">
        <f>N44+Q35</f>
        <v>1.6752684438737255</v>
      </c>
      <c r="S43" s="22">
        <f>ABS((Q42-Q34)/Q42)</f>
        <v>1.0212392246296321E-3</v>
      </c>
      <c r="T43" s="22" t="str">
        <f>IF(S43&lt;0.05,"stop","lanjut")</f>
        <v>stop</v>
      </c>
      <c r="AC43" s="22">
        <f>-1/($AP$34+AB19^$AP$35)^2</f>
        <v>-2.2110902710806214E-2</v>
      </c>
      <c r="AD43" s="22">
        <f>-(AB19^$AP$35*LN(AB19))/($AP$34+AB19^$AP$35)^2</f>
        <v>0.29842396272349458</v>
      </c>
      <c r="AF43" s="22">
        <f>AC19-(1/($AP$34+AB19^$AP$35))</f>
        <v>0.78130264726362408</v>
      </c>
      <c r="AH43" s="22" cm="1">
        <f t="array" ref="AH43:AI44">MINVERSE(MMULT(TRANSPOSE(AC43:AD47),AC43:AD47))</f>
        <v>11.922911281472718</v>
      </c>
      <c r="AI43" s="22">
        <v>5.8304298912361299</v>
      </c>
      <c r="AK43" s="22" cm="1">
        <f t="array" ref="AK43:AK44">MMULT(TRANSPOSE(AC43:AD47),AF43:AF47)</f>
        <v>-0.11824188928569926</v>
      </c>
      <c r="AM43" s="22" cm="1">
        <f t="array" ref="AM43:AM44">MMULT(AH43:AI44,AK43:AK44)</f>
        <v>2.4746296397766381</v>
      </c>
      <c r="AO43" s="23" t="s">
        <v>64</v>
      </c>
      <c r="AP43" s="23">
        <f>AM44+AG35</f>
        <v>1.8795248338599921</v>
      </c>
      <c r="AR43" s="22">
        <f>ABS((AP42-AP34)/AP42)</f>
        <v>1.1572900959211829</v>
      </c>
      <c r="AS43" s="22" t="str">
        <f>IF(AR43&lt;0.05,"stop","lanjut")</f>
        <v>lanjut</v>
      </c>
    </row>
    <row r="44" spans="2:45" x14ac:dyDescent="0.3">
      <c r="D44" s="22">
        <f>1-EXP(-1*$Q$35*C20)</f>
        <v>0.71585648725911655</v>
      </c>
      <c r="E44" s="22">
        <f t="shared" ref="E44:E47" si="14">$Q$34*C20*EXP(-1*$Q$35*C20)</f>
        <v>0.16857732445674287</v>
      </c>
      <c r="G44" s="22">
        <f t="shared" ref="G44:G47" si="15">D20-$Q$34*(1-EXP(-1*$Q$35*C20))</f>
        <v>3.7266632011531131E-3</v>
      </c>
      <c r="I44" s="22">
        <v>-5.2289760548582702</v>
      </c>
      <c r="J44" s="22">
        <v>44.58745042005674</v>
      </c>
      <c r="L44" s="22">
        <v>1.4495752123186054E-4</v>
      </c>
      <c r="N44" s="22">
        <v>-2.4326786635950979E-3</v>
      </c>
      <c r="S44" s="22">
        <f>ABS((Q43-Q35)/Q43)</f>
        <v>1.4521127479545923E-3</v>
      </c>
      <c r="T44" s="22" t="str">
        <f>IF(S44&lt;0.05,"stop","lanjut")</f>
        <v>stop</v>
      </c>
      <c r="AC44" s="22">
        <f t="shared" ref="AC44:AC47" si="16">-1/($AP$34+AB20^$AP$35)^2</f>
        <v>-6.9059212193445227E-2</v>
      </c>
      <c r="AD44" s="22">
        <f t="shared" ref="AD44:AD47" si="17">-(AB20^$AP$35*LN(AB20))/($AP$34+AB20^$AP$35)^2</f>
        <v>0.4015698825922725</v>
      </c>
      <c r="AF44" s="22">
        <f t="shared" ref="AF44:AF47" si="18">AC20-(1/($AP$34+AB20^$AP$35))</f>
        <v>0.5872088049544939</v>
      </c>
      <c r="AH44" s="22">
        <v>5.8304298912361299</v>
      </c>
      <c r="AI44" s="22">
        <v>3.8559046267992079</v>
      </c>
      <c r="AK44" s="22">
        <v>0.66623169610915278</v>
      </c>
      <c r="AM44" s="22">
        <v>1.8795248338599921</v>
      </c>
      <c r="AR44" s="22">
        <f>ABS((AP43-AP35)/AP43)</f>
        <v>1.5502751617126873</v>
      </c>
      <c r="AS44" s="22" t="str">
        <f>IF(AR44&lt;0.05,"stop","lanjut")</f>
        <v>lanjut</v>
      </c>
    </row>
    <row r="45" spans="2:45" x14ac:dyDescent="0.3">
      <c r="D45" s="22">
        <f t="shared" ref="D45:D46" si="19">1-EXP(-1*$Q$35*C21)</f>
        <v>0.87719117526296442</v>
      </c>
      <c r="E45" s="22">
        <f t="shared" si="14"/>
        <v>0.12143384220497654</v>
      </c>
      <c r="G45" s="22">
        <f>D21-$Q$34*(1-EXP(-1*$Q$35*C21))</f>
        <v>-1.3896028977189334E-2</v>
      </c>
      <c r="AC45" s="22">
        <f t="shared" si="16"/>
        <v>-0.15110531257223958</v>
      </c>
      <c r="AD45" s="22">
        <f t="shared" si="17"/>
        <v>0.46983540313355077</v>
      </c>
      <c r="AF45" s="22">
        <f t="shared" si="18"/>
        <v>0.29127733205762291</v>
      </c>
    </row>
    <row r="46" spans="2:45" x14ac:dyDescent="0.3">
      <c r="D46" s="22">
        <f t="shared" si="19"/>
        <v>0.94692116216974653</v>
      </c>
      <c r="E46" s="22">
        <f t="shared" si="14"/>
        <v>7.3478384992493539E-2</v>
      </c>
      <c r="G46" s="22">
        <f t="shared" si="15"/>
        <v>-9.0554541740315297E-3</v>
      </c>
      <c r="AC46" s="22">
        <f t="shared" si="16"/>
        <v>-0.27858605498441863</v>
      </c>
      <c r="AD46" s="22">
        <f t="shared" si="17"/>
        <v>0.50804883497238928</v>
      </c>
      <c r="AF46" s="22">
        <f t="shared" si="18"/>
        <v>0.21218748121665532</v>
      </c>
    </row>
    <row r="47" spans="2:45" x14ac:dyDescent="0.3">
      <c r="D47" s="22">
        <f>1-EXP(-1*$Q$35*C23)</f>
        <v>0.97705895295844558</v>
      </c>
      <c r="E47" s="22">
        <f t="shared" si="14"/>
        <v>4.0831553321735367E-2</v>
      </c>
      <c r="G47" s="22">
        <f t="shared" si="15"/>
        <v>1.7104254290711718E-2</v>
      </c>
      <c r="AC47" s="22">
        <f t="shared" si="16"/>
        <v>-0.46493969037894817</v>
      </c>
      <c r="AD47" s="22">
        <f t="shared" si="17"/>
        <v>0.51583501059697967</v>
      </c>
      <c r="AF47" s="22">
        <f t="shared" si="18"/>
        <v>-9.1864862255673252E-2</v>
      </c>
    </row>
    <row r="50" spans="27:45" x14ac:dyDescent="0.3">
      <c r="AA50" s="21" t="s">
        <v>73</v>
      </c>
      <c r="AC50" s="40" t="s">
        <v>72</v>
      </c>
      <c r="AD50" s="40"/>
      <c r="AF50" s="23" t="s">
        <v>68</v>
      </c>
      <c r="AH50" s="40" t="s">
        <v>60</v>
      </c>
      <c r="AI50" s="40"/>
      <c r="AK50" s="23" t="s">
        <v>61</v>
      </c>
      <c r="AM50" s="23" t="s">
        <v>62</v>
      </c>
      <c r="AO50" s="23" t="s">
        <v>63</v>
      </c>
      <c r="AP50" s="23">
        <f>AM51+AG42</f>
        <v>-3.4088453414936017</v>
      </c>
      <c r="AR50" s="23" t="s">
        <v>22</v>
      </c>
      <c r="AS50" s="23" t="s">
        <v>65</v>
      </c>
    </row>
    <row r="51" spans="27:45" x14ac:dyDescent="0.3">
      <c r="AC51" s="22">
        <f>-1/($AP$42+AB19^$AP$43)^2</f>
        <v>-0.15962851715427856</v>
      </c>
      <c r="AD51" s="22">
        <f>-(AB19^$AP$42*LN(AB19))/($AP$42+AB19^$AP$43)^2</f>
        <v>2.7690850033101149E-3</v>
      </c>
      <c r="AF51" s="22">
        <f>AC19-(1/($AP$42+AB19^$AP$43))</f>
        <v>0.5304646234007826</v>
      </c>
      <c r="AH51" s="22" cm="1">
        <f t="array" ref="AH51:AI52">MINVERSE(MMULT(TRANSPOSE(AC51:AD55),AC51:AD55))</f>
        <v>35.890943719930725</v>
      </c>
      <c r="AI51" s="22">
        <v>373.51887712525695</v>
      </c>
      <c r="AK51" s="22" cm="1">
        <f t="array" ref="AK51:AK52">MMULT(TRANSPOSE(AC51:AD55),AF51:AF55)</f>
        <v>-0.27912170232693145</v>
      </c>
      <c r="AM51" s="22" cm="1">
        <f t="array" ref="AM51:AM52">MMULT(AH51:AI52,AK51:AK52)</f>
        <v>-3.4088453414936017</v>
      </c>
      <c r="AO51" s="23" t="s">
        <v>64</v>
      </c>
      <c r="AP51" s="23">
        <f>AM52+AG43</f>
        <v>-10.880179859445576</v>
      </c>
      <c r="AR51" s="22">
        <f>ABS((AP50-AP42)/AP50)</f>
        <v>1.7259436530178185</v>
      </c>
      <c r="AS51" s="22" t="str">
        <f>IF(AR51&lt;0.05,"stop","lanjut")</f>
        <v>lanjut</v>
      </c>
    </row>
    <row r="52" spans="27:45" x14ac:dyDescent="0.3">
      <c r="AC52" s="22">
        <f t="shared" ref="AC52:AC55" si="20">-1/($AP$42+AB20^$AP$43)^2</f>
        <v>-0.15396926046443196</v>
      </c>
      <c r="AD52" s="22">
        <f t="shared" ref="AD52:AD55" si="21">-(AB20^$AP$42*LN(AB20))/($AP$42+AB20^$AP$43)^2</f>
        <v>6.9089807246404756E-3</v>
      </c>
      <c r="AF52" s="22">
        <f t="shared" ref="AF52:AF55" si="22">AC20-(1/($AP$42+AB20^$AP$43))</f>
        <v>0.45761083034258959</v>
      </c>
      <c r="AH52" s="22">
        <v>373.51887712525695</v>
      </c>
      <c r="AI52" s="22">
        <v>5277.2859039444911</v>
      </c>
      <c r="AK52" s="22">
        <v>1.7694141775643744E-2</v>
      </c>
      <c r="AM52" s="22">
        <v>-10.880179859445576</v>
      </c>
      <c r="AR52" s="22">
        <f>ABS((AP51-AP43)/AP51)</f>
        <v>1.1727475885638317</v>
      </c>
      <c r="AS52" s="22" t="str">
        <f>IF(AR52&lt;0.05,"stop","lanjut")</f>
        <v>lanjut</v>
      </c>
    </row>
    <row r="53" spans="27:45" x14ac:dyDescent="0.3">
      <c r="AC53" s="22">
        <f t="shared" si="20"/>
        <v>-0.14638838281869301</v>
      </c>
      <c r="AD53" s="22">
        <f t="shared" si="21"/>
        <v>1.1438250487575229E-2</v>
      </c>
      <c r="AF53" s="22">
        <f t="shared" si="22"/>
        <v>0.29739265190185776</v>
      </c>
    </row>
    <row r="54" spans="27:45" x14ac:dyDescent="0.3">
      <c r="AC54" s="22">
        <f t="shared" si="20"/>
        <v>-0.13742064217065697</v>
      </c>
      <c r="AD54" s="22">
        <f t="shared" si="21"/>
        <v>1.5211095322063212E-2</v>
      </c>
      <c r="AF54" s="22">
        <f t="shared" si="22"/>
        <v>0.36929709716451237</v>
      </c>
    </row>
    <row r="55" spans="27:45" x14ac:dyDescent="0.3">
      <c r="AC55" s="22">
        <f t="shared" si="20"/>
        <v>-0.12757645698432751</v>
      </c>
      <c r="AD55" s="22">
        <f t="shared" si="21"/>
        <v>1.7371892898883436E-2</v>
      </c>
      <c r="AF55" s="22">
        <f t="shared" si="22"/>
        <v>0.23282153342575712</v>
      </c>
    </row>
  </sheetData>
  <mergeCells count="14">
    <mergeCell ref="AC50:AD50"/>
    <mergeCell ref="AH50:AI50"/>
    <mergeCell ref="D26:E26"/>
    <mergeCell ref="I26:J26"/>
    <mergeCell ref="D34:E34"/>
    <mergeCell ref="I34:J34"/>
    <mergeCell ref="D42:E42"/>
    <mergeCell ref="I42:J42"/>
    <mergeCell ref="AC26:AD26"/>
    <mergeCell ref="AH26:AI26"/>
    <mergeCell ref="AC34:AD34"/>
    <mergeCell ref="AH34:AI34"/>
    <mergeCell ref="AC42:AD42"/>
    <mergeCell ref="AH42:AI4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DA2AF-A624-44AC-BEFE-F5D8E6A81A17}">
  <dimension ref="A1:AW77"/>
  <sheetViews>
    <sheetView topLeftCell="K35" zoomScale="115" zoomScaleNormal="115" workbookViewId="0">
      <selection activeCell="V47" sqref="V47"/>
    </sheetView>
  </sheetViews>
  <sheetFormatPr defaultRowHeight="14" x14ac:dyDescent="0.3"/>
  <cols>
    <col min="1" max="15" width="8.7265625" style="15"/>
    <col min="16" max="16" width="11" style="15" customWidth="1"/>
    <col min="17" max="17" width="8.7265625" style="15"/>
    <col min="18" max="18" width="13.54296875" style="15" customWidth="1"/>
    <col min="19" max="19" width="10.6328125" style="15" customWidth="1"/>
    <col min="20" max="35" width="8.7265625" style="15"/>
    <col min="36" max="36" width="14.36328125" style="15" customWidth="1"/>
    <col min="37" max="16384" width="8.7265625" style="15"/>
  </cols>
  <sheetData>
    <row r="1" spans="1:49" x14ac:dyDescent="0.3">
      <c r="A1" s="34" t="s">
        <v>102</v>
      </c>
    </row>
    <row r="11" spans="1:49" x14ac:dyDescent="0.3">
      <c r="O11" s="32" t="s">
        <v>101</v>
      </c>
      <c r="W11" s="32" t="s">
        <v>76</v>
      </c>
      <c r="AF11" s="32" t="s">
        <v>81</v>
      </c>
      <c r="AQ11" s="32" t="s">
        <v>88</v>
      </c>
    </row>
    <row r="14" spans="1:49" x14ac:dyDescent="0.3">
      <c r="N14" s="30" t="s">
        <v>0</v>
      </c>
      <c r="O14" s="30" t="s">
        <v>79</v>
      </c>
      <c r="P14" s="30" t="s">
        <v>77</v>
      </c>
      <c r="R14" s="30" t="s">
        <v>8</v>
      </c>
      <c r="S14" s="31">
        <v>0.5</v>
      </c>
      <c r="V14" s="30" t="s">
        <v>0</v>
      </c>
      <c r="W14" s="30" t="s">
        <v>82</v>
      </c>
      <c r="X14" s="30" t="s">
        <v>83</v>
      </c>
      <c r="Y14" s="30" t="s">
        <v>80</v>
      </c>
      <c r="Z14" s="30" t="s">
        <v>22</v>
      </c>
      <c r="AB14" s="30" t="s">
        <v>8</v>
      </c>
      <c r="AC14" s="31">
        <v>0.5</v>
      </c>
      <c r="AE14" s="30" t="s">
        <v>0</v>
      </c>
      <c r="AF14" s="30" t="s">
        <v>82</v>
      </c>
      <c r="AG14" s="30" t="s">
        <v>83</v>
      </c>
      <c r="AH14" s="30" t="s">
        <v>85</v>
      </c>
      <c r="AI14" s="30" t="s">
        <v>84</v>
      </c>
      <c r="AJ14" s="30" t="s">
        <v>86</v>
      </c>
      <c r="AK14" s="30" t="s">
        <v>22</v>
      </c>
      <c r="AM14" s="30" t="s">
        <v>8</v>
      </c>
      <c r="AN14" s="31">
        <v>0.5</v>
      </c>
      <c r="AP14" s="30" t="s">
        <v>0</v>
      </c>
      <c r="AQ14" s="30" t="s">
        <v>82</v>
      </c>
      <c r="AR14" s="30" t="s">
        <v>83</v>
      </c>
      <c r="AS14" s="30" t="s">
        <v>80</v>
      </c>
      <c r="AT14" s="30" t="s">
        <v>22</v>
      </c>
      <c r="AV14" s="30" t="s">
        <v>8</v>
      </c>
      <c r="AW14" s="31">
        <v>1</v>
      </c>
    </row>
    <row r="15" spans="1:49" x14ac:dyDescent="0.3">
      <c r="N15" s="31">
        <v>0</v>
      </c>
      <c r="O15" s="31">
        <v>0</v>
      </c>
      <c r="P15" s="31">
        <f>EXP(1/3*O15^3-1.1*O15)</f>
        <v>1</v>
      </c>
      <c r="V15" s="31">
        <v>0</v>
      </c>
      <c r="W15" s="31">
        <v>0</v>
      </c>
      <c r="X15" s="33">
        <v>1</v>
      </c>
      <c r="Y15" s="31">
        <f>X15*W15^2-1.1*X15</f>
        <v>-1.1000000000000001</v>
      </c>
      <c r="Z15" s="31">
        <f>ABS((P15-X15)/P15)*100</f>
        <v>0</v>
      </c>
      <c r="AB15" s="15" t="s">
        <v>78</v>
      </c>
      <c r="AE15" s="31">
        <v>0</v>
      </c>
      <c r="AF15" s="31">
        <v>0</v>
      </c>
      <c r="AG15" s="33">
        <v>1</v>
      </c>
      <c r="AH15" s="31" t="s">
        <v>87</v>
      </c>
      <c r="AI15" s="31">
        <f>AG15*AF15^2-1.1*AG15</f>
        <v>-1.1000000000000001</v>
      </c>
      <c r="AJ15" s="31" t="s">
        <v>87</v>
      </c>
      <c r="AK15" s="31">
        <f>ABS((AG15-P15)/P15)*100</f>
        <v>0</v>
      </c>
      <c r="AM15" s="15" t="s">
        <v>78</v>
      </c>
      <c r="AP15" s="31">
        <v>0</v>
      </c>
      <c r="AQ15" s="31">
        <v>0</v>
      </c>
      <c r="AR15" s="33">
        <v>1</v>
      </c>
      <c r="AS15" s="31">
        <f>AR15*AQ15^2-1.1*AR15</f>
        <v>-1.1000000000000001</v>
      </c>
      <c r="AT15" s="31">
        <f>ABS((AR15-P15)/P15)*100</f>
        <v>0</v>
      </c>
    </row>
    <row r="16" spans="1:49" x14ac:dyDescent="0.3">
      <c r="N16" s="31">
        <v>1</v>
      </c>
      <c r="O16" s="31">
        <v>0.5</v>
      </c>
      <c r="P16" s="31">
        <f t="shared" ref="P16:P19" si="0">EXP(1/3*O16^3-1.1*O16)</f>
        <v>0.60149723926212872</v>
      </c>
      <c r="V16" s="31">
        <v>1</v>
      </c>
      <c r="W16" s="31">
        <v>0.5</v>
      </c>
      <c r="X16" s="33">
        <f>X15+Y15*$AC$14</f>
        <v>0.44999999999999996</v>
      </c>
      <c r="Y16" s="31">
        <f>X16*W16^2-1.1*X16</f>
        <v>-0.38250000000000001</v>
      </c>
      <c r="Z16" s="31">
        <f>ABS((P16-X16)/P16)*100</f>
        <v>25.186689044154903</v>
      </c>
      <c r="AE16" s="31">
        <v>1</v>
      </c>
      <c r="AF16" s="31">
        <v>0.5</v>
      </c>
      <c r="AG16" s="33">
        <f>AG15+((AI15+AJ16)/2*$AN$14)</f>
        <v>0.62937500000000002</v>
      </c>
      <c r="AH16" s="31">
        <f>AG15+AI15*$AN$14</f>
        <v>0.44999999999999996</v>
      </c>
      <c r="AI16" s="31">
        <f>AG16*AF16^2-1.1*AG16</f>
        <v>-0.5349687500000001</v>
      </c>
      <c r="AJ16" s="31">
        <f>AH16*AF16^2-1.1*AH16</f>
        <v>-0.38250000000000001</v>
      </c>
      <c r="AK16" s="31">
        <f t="shared" ref="AK16:AK19" si="1">ABS((AG16-P16)/P16)*100</f>
        <v>4.6347279618555888</v>
      </c>
      <c r="AP16" s="31">
        <v>1</v>
      </c>
      <c r="AQ16" s="31">
        <v>0.5</v>
      </c>
      <c r="AR16" s="33">
        <f>AR15+(AS15*$AW$14/2)</f>
        <v>0.44999999999999996</v>
      </c>
      <c r="AS16" s="31">
        <f t="shared" ref="AS16:AS19" si="2">AR16*AQ16^2-1.1*AR16</f>
        <v>-0.38250000000000001</v>
      </c>
      <c r="AT16" s="31"/>
    </row>
    <row r="17" spans="14:49" x14ac:dyDescent="0.3">
      <c r="N17" s="31">
        <v>2</v>
      </c>
      <c r="O17" s="31">
        <v>1</v>
      </c>
      <c r="P17" s="31">
        <f t="shared" si="0"/>
        <v>0.4645590203609114</v>
      </c>
      <c r="V17" s="31">
        <v>2</v>
      </c>
      <c r="W17" s="31">
        <v>1</v>
      </c>
      <c r="X17" s="33">
        <f>X16+Y16*$AC$14</f>
        <v>0.25874999999999992</v>
      </c>
      <c r="Y17" s="31">
        <f>X17*W17^2-1.1*X17</f>
        <v>-2.5875000000000037E-2</v>
      </c>
      <c r="Z17" s="31">
        <f t="shared" ref="Z17:Z19" si="3">ABS((P17-X17)/P17)*100</f>
        <v>44.302017900980687</v>
      </c>
      <c r="AE17" s="31">
        <v>2</v>
      </c>
      <c r="AF17" s="31">
        <v>1</v>
      </c>
      <c r="AG17" s="33">
        <f>AG16+((AI16+AJ17)/2*$AN$14)</f>
        <v>0.486585546875</v>
      </c>
      <c r="AH17" s="31">
        <f>AG16+AI16*$AN$14</f>
        <v>0.36189062499999997</v>
      </c>
      <c r="AI17" s="31">
        <f t="shared" ref="AI17:AI19" si="4">AG17*AF17^2-1.1*AG17</f>
        <v>-4.8658554687500022E-2</v>
      </c>
      <c r="AJ17" s="31">
        <f t="shared" ref="AJ17:AJ19" si="5">AH17*AF17^2-1.1*AH17</f>
        <v>-3.6189062500000035E-2</v>
      </c>
      <c r="AK17" s="31">
        <f t="shared" si="1"/>
        <v>4.7413838820687202</v>
      </c>
      <c r="AP17" s="31">
        <v>2</v>
      </c>
      <c r="AQ17" s="31">
        <v>1</v>
      </c>
      <c r="AR17" s="33">
        <f>AR15+(AS16*$AW$14)</f>
        <v>0.61749999999999994</v>
      </c>
      <c r="AS17" s="31">
        <f t="shared" si="2"/>
        <v>-6.1750000000000083E-2</v>
      </c>
      <c r="AT17" s="31">
        <f t="shared" ref="AT17:AT19" si="6">ABS((AR17-P17)/P17)*100</f>
        <v>32.921754381234521</v>
      </c>
    </row>
    <row r="18" spans="14:49" x14ac:dyDescent="0.3">
      <c r="N18" s="31">
        <v>3</v>
      </c>
      <c r="O18" s="31">
        <v>1.5</v>
      </c>
      <c r="P18" s="31">
        <f t="shared" si="0"/>
        <v>0.591555364366815</v>
      </c>
      <c r="V18" s="31">
        <v>3</v>
      </c>
      <c r="W18" s="31">
        <v>1.5</v>
      </c>
      <c r="X18" s="33">
        <f t="shared" ref="X18:X19" si="7">X17+Y17*$AC$14</f>
        <v>0.24581249999999991</v>
      </c>
      <c r="Y18" s="31">
        <f>X18*W18^2-1.1*X18</f>
        <v>0.28268437499999982</v>
      </c>
      <c r="Z18" s="31">
        <f t="shared" si="3"/>
        <v>58.446408433281469</v>
      </c>
      <c r="AE18" s="31">
        <v>3</v>
      </c>
      <c r="AF18" s="31">
        <v>1.5</v>
      </c>
      <c r="AG18" s="33">
        <f>AG17+((AI17+AJ18)/2*$AN$14)</f>
        <v>0.60731958569335931</v>
      </c>
      <c r="AH18" s="31">
        <f>AG17+AI17*$AN$14</f>
        <v>0.46225626953124999</v>
      </c>
      <c r="AI18" s="31">
        <f t="shared" si="4"/>
        <v>0.69841752354736308</v>
      </c>
      <c r="AJ18" s="31">
        <f t="shared" si="5"/>
        <v>0.53159470996093738</v>
      </c>
      <c r="AK18" s="31">
        <f t="shared" si="1"/>
        <v>2.6648767429263218</v>
      </c>
      <c r="AP18" s="31">
        <v>3</v>
      </c>
      <c r="AQ18" s="31">
        <v>1.5</v>
      </c>
      <c r="AR18" s="33">
        <f>AR17+(AS17*$AW$14/2)</f>
        <v>0.58662499999999995</v>
      </c>
      <c r="AS18" s="31">
        <f t="shared" si="2"/>
        <v>0.67461874999999982</v>
      </c>
      <c r="AT18" s="31"/>
    </row>
    <row r="19" spans="14:49" x14ac:dyDescent="0.3">
      <c r="N19" s="31">
        <v>4</v>
      </c>
      <c r="O19" s="31">
        <v>2</v>
      </c>
      <c r="P19" s="31">
        <f t="shared" si="0"/>
        <v>1.5946697582283151</v>
      </c>
      <c r="V19" s="31">
        <v>4</v>
      </c>
      <c r="W19" s="31">
        <v>2</v>
      </c>
      <c r="X19" s="33">
        <f t="shared" si="7"/>
        <v>0.38715468749999982</v>
      </c>
      <c r="Y19" s="31">
        <f t="shared" ref="Y19" si="8">X19*W19^2-1.1*X19</f>
        <v>1.1227485937499995</v>
      </c>
      <c r="Z19" s="31">
        <f t="shared" si="3"/>
        <v>75.721952115644925</v>
      </c>
      <c r="AE19" s="31">
        <v>4</v>
      </c>
      <c r="AF19" s="31">
        <v>2</v>
      </c>
      <c r="AG19" s="33">
        <f>AG18+((AI18+AJ19)/2*$AN$14)</f>
        <v>1.4754070184938046</v>
      </c>
      <c r="AH19" s="31">
        <f>AG18+AI18*$AN$14</f>
        <v>0.95652834746704085</v>
      </c>
      <c r="AI19" s="31">
        <f t="shared" si="4"/>
        <v>4.2786803536320335</v>
      </c>
      <c r="AJ19" s="31">
        <f t="shared" si="5"/>
        <v>2.7739322076544184</v>
      </c>
      <c r="AK19" s="31">
        <f t="shared" si="1"/>
        <v>7.478836236727278</v>
      </c>
      <c r="AP19" s="31">
        <v>4</v>
      </c>
      <c r="AQ19" s="31">
        <v>2</v>
      </c>
      <c r="AR19" s="33">
        <f>AR17+(AS18*$AW$14)</f>
        <v>1.2921187499999998</v>
      </c>
      <c r="AS19" s="31">
        <f t="shared" si="2"/>
        <v>3.7471443749999991</v>
      </c>
      <c r="AT19" s="31">
        <f t="shared" si="6"/>
        <v>18.972643499833524</v>
      </c>
    </row>
    <row r="22" spans="14:49" x14ac:dyDescent="0.3">
      <c r="N22" s="30" t="s">
        <v>0</v>
      </c>
      <c r="O22" s="30" t="s">
        <v>79</v>
      </c>
      <c r="P22" s="30" t="s">
        <v>77</v>
      </c>
      <c r="R22" s="30" t="s">
        <v>8</v>
      </c>
      <c r="S22" s="31">
        <v>0.25</v>
      </c>
      <c r="V22" s="30" t="s">
        <v>0</v>
      </c>
      <c r="W22" s="30" t="s">
        <v>79</v>
      </c>
      <c r="X22" s="30" t="s">
        <v>83</v>
      </c>
      <c r="Y22" s="30" t="s">
        <v>80</v>
      </c>
      <c r="Z22" s="30" t="s">
        <v>22</v>
      </c>
      <c r="AB22" s="30" t="s">
        <v>8</v>
      </c>
      <c r="AC22" s="31">
        <v>0.25</v>
      </c>
      <c r="AE22" s="30" t="s">
        <v>0</v>
      </c>
      <c r="AF22" s="30" t="s">
        <v>82</v>
      </c>
      <c r="AG22" s="30" t="s">
        <v>83</v>
      </c>
      <c r="AH22" s="30" t="s">
        <v>85</v>
      </c>
      <c r="AI22" s="30" t="s">
        <v>84</v>
      </c>
      <c r="AJ22" s="30" t="s">
        <v>86</v>
      </c>
      <c r="AK22" s="30" t="s">
        <v>22</v>
      </c>
      <c r="AM22" s="30" t="s">
        <v>8</v>
      </c>
      <c r="AN22" s="31">
        <v>0.25</v>
      </c>
      <c r="AP22" s="30" t="s">
        <v>0</v>
      </c>
      <c r="AQ22" s="30" t="s">
        <v>82</v>
      </c>
      <c r="AR22" s="30" t="s">
        <v>83</v>
      </c>
      <c r="AS22" s="30" t="s">
        <v>80</v>
      </c>
      <c r="AT22" s="30" t="s">
        <v>22</v>
      </c>
      <c r="AV22" s="30" t="s">
        <v>8</v>
      </c>
      <c r="AW22" s="31">
        <v>0.5</v>
      </c>
    </row>
    <row r="23" spans="14:49" x14ac:dyDescent="0.3">
      <c r="N23" s="31">
        <v>0</v>
      </c>
      <c r="O23" s="31">
        <v>0</v>
      </c>
      <c r="P23" s="31">
        <f>EXP(1/3*O23^3-1.1*O23)</f>
        <v>1</v>
      </c>
      <c r="V23" s="31">
        <v>0</v>
      </c>
      <c r="W23" s="31">
        <v>0</v>
      </c>
      <c r="X23" s="33">
        <v>1</v>
      </c>
      <c r="Y23" s="31">
        <f t="shared" ref="Y23:Y31" si="9">X23*W23^2-1.1*X23</f>
        <v>-1.1000000000000001</v>
      </c>
      <c r="Z23" s="31">
        <f>ABS((P23-X23)/P23)*100</f>
        <v>0</v>
      </c>
      <c r="AE23" s="31">
        <v>0</v>
      </c>
      <c r="AF23" s="31">
        <v>0</v>
      </c>
      <c r="AG23" s="33">
        <v>1</v>
      </c>
      <c r="AH23" s="31" t="s">
        <v>87</v>
      </c>
      <c r="AI23" s="31">
        <f>AG23*AF23^2-1.1*AG23</f>
        <v>-1.1000000000000001</v>
      </c>
      <c r="AJ23" s="31" t="s">
        <v>87</v>
      </c>
      <c r="AK23" s="31">
        <f>ABS((AG23-P23)/P23)*100</f>
        <v>0</v>
      </c>
      <c r="AP23" s="31">
        <v>0</v>
      </c>
      <c r="AQ23" s="31">
        <v>0</v>
      </c>
      <c r="AR23" s="33">
        <v>1</v>
      </c>
      <c r="AS23" s="31">
        <f>AR23*AQ23^2-1.1*AR23</f>
        <v>-1.1000000000000001</v>
      </c>
      <c r="AT23" s="31">
        <f>ABS((AR23-P23)/P23)*100</f>
        <v>0</v>
      </c>
    </row>
    <row r="24" spans="14:49" x14ac:dyDescent="0.3">
      <c r="N24" s="31">
        <v>1</v>
      </c>
      <c r="O24" s="31">
        <v>0.25</v>
      </c>
      <c r="P24" s="31">
        <f t="shared" ref="P24:P31" si="10">EXP(1/3*O24^3-1.1*O24)</f>
        <v>0.76353854829905243</v>
      </c>
      <c r="V24" s="31">
        <v>1</v>
      </c>
      <c r="W24" s="31">
        <v>0.25</v>
      </c>
      <c r="X24" s="33">
        <f>X23+Y23*$AC$22</f>
        <v>0.72499999999999998</v>
      </c>
      <c r="Y24" s="31">
        <f t="shared" si="9"/>
        <v>-0.75218750000000001</v>
      </c>
      <c r="Z24" s="31">
        <f t="shared" ref="Z24:Z31" si="11">ABS((P24-X24)/P24)*100</f>
        <v>5.0473611823404889</v>
      </c>
      <c r="AE24" s="31">
        <v>1</v>
      </c>
      <c r="AF24" s="31">
        <v>0.25</v>
      </c>
      <c r="AG24" s="33">
        <f t="shared" ref="AG24:AG31" si="12">AG23+((AI23+AJ24)/2*$AN$22)</f>
        <v>0.76847656249999996</v>
      </c>
      <c r="AH24" s="31">
        <f t="shared" ref="AH24:AH31" si="13">AG23+AI23*$AN$22</f>
        <v>0.72499999999999998</v>
      </c>
      <c r="AI24" s="31">
        <f>AG24*AF24^2-1.1*AG24</f>
        <v>-0.79729443359375007</v>
      </c>
      <c r="AJ24" s="31">
        <f>AH24*AF24^2-1.1*AH24</f>
        <v>-0.75218750000000001</v>
      </c>
      <c r="AK24" s="31">
        <f t="shared" ref="AK24:AK31" si="14">ABS((AG24-P24)/P24)*100</f>
        <v>0.64672755710212981</v>
      </c>
      <c r="AP24" s="31">
        <v>0.5</v>
      </c>
      <c r="AQ24" s="31">
        <v>0.25</v>
      </c>
      <c r="AR24" s="33">
        <f>AR23+(AS23*$AW$22/2)</f>
        <v>0.72499999999999998</v>
      </c>
      <c r="AS24" s="31">
        <f t="shared" ref="AS24:AS31" si="15">AR24*AQ24^2-1.1*AR24</f>
        <v>-0.75218750000000001</v>
      </c>
      <c r="AT24" s="31"/>
    </row>
    <row r="25" spans="14:49" x14ac:dyDescent="0.3">
      <c r="N25" s="31">
        <v>2</v>
      </c>
      <c r="O25" s="31">
        <v>0.5</v>
      </c>
      <c r="P25" s="31">
        <f t="shared" si="10"/>
        <v>0.60149723926212872</v>
      </c>
      <c r="V25" s="31">
        <v>2</v>
      </c>
      <c r="W25" s="31">
        <v>0.5</v>
      </c>
      <c r="X25" s="33">
        <f t="shared" ref="X25:X31" si="16">X24+Y24*$AC$22</f>
        <v>0.53695312499999992</v>
      </c>
      <c r="Y25" s="31">
        <f t="shared" si="9"/>
        <v>-0.45641015624999998</v>
      </c>
      <c r="Z25" s="31">
        <f t="shared" si="11"/>
        <v>10.730575312582753</v>
      </c>
      <c r="AE25" s="31">
        <v>2</v>
      </c>
      <c r="AF25" s="31">
        <v>0.5</v>
      </c>
      <c r="AG25" s="33">
        <f t="shared" si="12"/>
        <v>0.60834225692749022</v>
      </c>
      <c r="AH25" s="31">
        <f t="shared" si="13"/>
        <v>0.56915295410156241</v>
      </c>
      <c r="AI25" s="31">
        <f t="shared" ref="AI25:AI31" si="17">AG25*AF25^2-1.1*AG25</f>
        <v>-0.51709091838836674</v>
      </c>
      <c r="AJ25" s="31">
        <f t="shared" ref="AJ25:AJ31" si="18">AH25*AF25^2-1.1*AH25</f>
        <v>-0.48378001098632806</v>
      </c>
      <c r="AK25" s="31">
        <f t="shared" si="14"/>
        <v>1.1379965224376503</v>
      </c>
      <c r="AP25" s="31">
        <v>1</v>
      </c>
      <c r="AQ25" s="31">
        <v>0.5</v>
      </c>
      <c r="AR25" s="33">
        <f>AR23+(AS24*$AW$22)</f>
        <v>0.62390625</v>
      </c>
      <c r="AS25" s="31">
        <f t="shared" si="15"/>
        <v>-0.5303203125</v>
      </c>
      <c r="AT25" s="31">
        <f t="shared" ref="AT25:AT31" si="19">ABS((AR25-P25)/P25)*100</f>
        <v>3.7255384189894118</v>
      </c>
    </row>
    <row r="26" spans="14:49" x14ac:dyDescent="0.3">
      <c r="N26" s="31">
        <v>3</v>
      </c>
      <c r="O26" s="31">
        <v>0.75</v>
      </c>
      <c r="P26" s="31">
        <f t="shared" si="10"/>
        <v>0.50440538444394745</v>
      </c>
      <c r="V26" s="31">
        <v>3</v>
      </c>
      <c r="W26" s="31">
        <v>0.75</v>
      </c>
      <c r="X26" s="33">
        <f t="shared" si="16"/>
        <v>0.42285058593749991</v>
      </c>
      <c r="Y26" s="31">
        <f t="shared" si="9"/>
        <v>-0.22728218994140625</v>
      </c>
      <c r="Z26" s="31">
        <f t="shared" si="11"/>
        <v>16.168502760206042</v>
      </c>
      <c r="AE26" s="31">
        <v>3</v>
      </c>
      <c r="AF26" s="31">
        <v>0.75</v>
      </c>
      <c r="AG26" s="33">
        <f t="shared" si="12"/>
        <v>0.51151840826143324</v>
      </c>
      <c r="AH26" s="31">
        <f t="shared" si="13"/>
        <v>0.47906952733039854</v>
      </c>
      <c r="AI26" s="31">
        <f t="shared" si="17"/>
        <v>-0.27494114444052037</v>
      </c>
      <c r="AJ26" s="31">
        <f t="shared" si="18"/>
        <v>-0.25749987094008925</v>
      </c>
      <c r="AK26" s="31">
        <f t="shared" si="14"/>
        <v>1.4101799934842367</v>
      </c>
      <c r="AP26" s="31">
        <v>1.5</v>
      </c>
      <c r="AQ26" s="31">
        <v>0.75</v>
      </c>
      <c r="AR26" s="33">
        <f>AR25+(AS25*$AW$22/2)</f>
        <v>0.491326171875</v>
      </c>
      <c r="AS26" s="31">
        <f t="shared" si="15"/>
        <v>-0.26408781738281251</v>
      </c>
      <c r="AT26" s="31"/>
    </row>
    <row r="27" spans="14:49" x14ac:dyDescent="0.3">
      <c r="N27" s="31">
        <v>4</v>
      </c>
      <c r="O27" s="31">
        <v>1</v>
      </c>
      <c r="P27" s="31">
        <f t="shared" si="10"/>
        <v>0.4645590203609114</v>
      </c>
      <c r="V27" s="31">
        <v>4</v>
      </c>
      <c r="W27" s="31">
        <v>1</v>
      </c>
      <c r="X27" s="33">
        <f t="shared" si="16"/>
        <v>0.36603003845214832</v>
      </c>
      <c r="Y27" s="31">
        <f t="shared" si="9"/>
        <v>-3.6603003845214865E-2</v>
      </c>
      <c r="Z27" s="31">
        <f t="shared" si="11"/>
        <v>21.209141915319364</v>
      </c>
      <c r="AE27" s="31">
        <v>4</v>
      </c>
      <c r="AF27" s="31">
        <v>1</v>
      </c>
      <c r="AG27" s="33">
        <f t="shared" si="12"/>
        <v>0.47161597617947693</v>
      </c>
      <c r="AH27" s="31">
        <f t="shared" si="13"/>
        <v>0.44278312215130317</v>
      </c>
      <c r="AI27" s="31">
        <f t="shared" si="17"/>
        <v>-4.7161597617947693E-2</v>
      </c>
      <c r="AJ27" s="31">
        <f t="shared" si="18"/>
        <v>-4.4278312215130344E-2</v>
      </c>
      <c r="AK27" s="31">
        <f t="shared" si="14"/>
        <v>1.519065502825248</v>
      </c>
      <c r="AP27" s="31">
        <v>2</v>
      </c>
      <c r="AQ27" s="31">
        <v>1</v>
      </c>
      <c r="AR27" s="33">
        <f>AR25+(AS26*$AW$22)</f>
        <v>0.49186234130859374</v>
      </c>
      <c r="AS27" s="31">
        <f t="shared" si="15"/>
        <v>-4.918623413085943E-2</v>
      </c>
      <c r="AT27" s="31">
        <f t="shared" si="19"/>
        <v>5.877255580242668</v>
      </c>
    </row>
    <row r="28" spans="14:49" x14ac:dyDescent="0.3">
      <c r="N28" s="31">
        <v>5</v>
      </c>
      <c r="O28" s="31">
        <v>1.25</v>
      </c>
      <c r="P28" s="31">
        <f t="shared" si="10"/>
        <v>0.4848293365688473</v>
      </c>
      <c r="V28" s="31">
        <v>5</v>
      </c>
      <c r="W28" s="31">
        <v>1.25</v>
      </c>
      <c r="X28" s="33">
        <f t="shared" si="16"/>
        <v>0.35687928749084463</v>
      </c>
      <c r="Y28" s="31">
        <f t="shared" si="9"/>
        <v>0.16505667046451561</v>
      </c>
      <c r="Z28" s="31">
        <f t="shared" si="11"/>
        <v>26.390739880451385</v>
      </c>
      <c r="AE28" s="31">
        <v>5</v>
      </c>
      <c r="AF28" s="31">
        <v>1.25</v>
      </c>
      <c r="AG28" s="33">
        <f t="shared" si="12"/>
        <v>0.49230444263453754</v>
      </c>
      <c r="AH28" s="31">
        <f t="shared" si="13"/>
        <v>0.45982557677499003</v>
      </c>
      <c r="AI28" s="31">
        <f t="shared" si="17"/>
        <v>0.22769080471847358</v>
      </c>
      <c r="AJ28" s="31">
        <f t="shared" si="18"/>
        <v>0.21266932925843285</v>
      </c>
      <c r="AK28" s="31">
        <f t="shared" si="14"/>
        <v>1.5418015169197072</v>
      </c>
      <c r="AP28" s="31">
        <v>2.5</v>
      </c>
      <c r="AQ28" s="31">
        <v>1.25</v>
      </c>
      <c r="AR28" s="33">
        <f>AR27+(AS27*$AW$22/2)</f>
        <v>0.47956578277587891</v>
      </c>
      <c r="AS28" s="31">
        <f t="shared" si="15"/>
        <v>0.22179917453384401</v>
      </c>
      <c r="AT28" s="31"/>
    </row>
    <row r="29" spans="14:49" x14ac:dyDescent="0.3">
      <c r="N29" s="31">
        <v>6</v>
      </c>
      <c r="O29" s="31">
        <v>1.5</v>
      </c>
      <c r="P29" s="31">
        <f t="shared" si="10"/>
        <v>0.591555364366815</v>
      </c>
      <c r="V29" s="31">
        <v>6</v>
      </c>
      <c r="W29" s="31">
        <v>1.5</v>
      </c>
      <c r="X29" s="33">
        <f t="shared" si="16"/>
        <v>0.39814345510697352</v>
      </c>
      <c r="Y29" s="31">
        <f t="shared" si="9"/>
        <v>0.45786497337301951</v>
      </c>
      <c r="Z29" s="31">
        <f t="shared" si="11"/>
        <v>32.695487339019294</v>
      </c>
      <c r="AE29" s="31">
        <v>6</v>
      </c>
      <c r="AF29" s="31">
        <v>1.5</v>
      </c>
      <c r="AG29" s="33">
        <f t="shared" si="12"/>
        <v>0.59971719514763167</v>
      </c>
      <c r="AH29" s="31">
        <f t="shared" si="13"/>
        <v>0.54922714381415594</v>
      </c>
      <c r="AI29" s="31">
        <f t="shared" si="17"/>
        <v>0.68967477441977632</v>
      </c>
      <c r="AJ29" s="31">
        <f t="shared" si="18"/>
        <v>0.6316112153862794</v>
      </c>
      <c r="AK29" s="31">
        <f>ABS((AG29-P29)/P29)*100</f>
        <v>1.3797239062404372</v>
      </c>
      <c r="AP29" s="31">
        <v>3</v>
      </c>
      <c r="AQ29" s="31">
        <v>1.5</v>
      </c>
      <c r="AR29" s="33">
        <f>AR27+(AS28*$AW$22)</f>
        <v>0.60276192857551569</v>
      </c>
      <c r="AS29" s="31">
        <f t="shared" si="15"/>
        <v>0.69317621786184314</v>
      </c>
      <c r="AT29" s="31">
        <f t="shared" si="19"/>
        <v>1.8944235626526529</v>
      </c>
    </row>
    <row r="30" spans="14:49" x14ac:dyDescent="0.3">
      <c r="N30" s="31">
        <v>7</v>
      </c>
      <c r="O30" s="31">
        <v>1.75</v>
      </c>
      <c r="P30" s="31">
        <f t="shared" si="10"/>
        <v>0.87062697438942005</v>
      </c>
      <c r="V30" s="31">
        <v>7</v>
      </c>
      <c r="W30" s="31">
        <v>1.75</v>
      </c>
      <c r="X30" s="33">
        <f t="shared" si="16"/>
        <v>0.51260969845022841</v>
      </c>
      <c r="Y30" s="31">
        <f t="shared" si="9"/>
        <v>1.005996533208573</v>
      </c>
      <c r="Z30" s="31">
        <f t="shared" si="11"/>
        <v>41.121776199304293</v>
      </c>
      <c r="AE30" s="31">
        <v>7</v>
      </c>
      <c r="AF30" s="31">
        <v>1.75</v>
      </c>
      <c r="AG30" s="33">
        <f t="shared" si="12"/>
        <v>0.87534112715972001</v>
      </c>
      <c r="AH30" s="31">
        <f t="shared" si="13"/>
        <v>0.77213588875257577</v>
      </c>
      <c r="AI30" s="31">
        <f t="shared" si="17"/>
        <v>1.7178569620509503</v>
      </c>
      <c r="AJ30" s="31">
        <f t="shared" si="18"/>
        <v>1.5153166816769299</v>
      </c>
      <c r="AK30" s="31">
        <f t="shared" si="14"/>
        <v>0.54146642695122649</v>
      </c>
      <c r="AP30" s="31">
        <v>3.5</v>
      </c>
      <c r="AQ30" s="31">
        <v>1.75</v>
      </c>
      <c r="AR30" s="33">
        <f>AR29+(AS29*$AW$22/2)</f>
        <v>0.77605598304097645</v>
      </c>
      <c r="AS30" s="31">
        <f t="shared" si="15"/>
        <v>1.5230098667179162</v>
      </c>
      <c r="AT30" s="31"/>
    </row>
    <row r="31" spans="14:49" x14ac:dyDescent="0.3">
      <c r="N31" s="31">
        <v>8</v>
      </c>
      <c r="O31" s="31">
        <v>2</v>
      </c>
      <c r="P31" s="31">
        <f t="shared" si="10"/>
        <v>1.5946697582283151</v>
      </c>
      <c r="V31" s="31">
        <v>8</v>
      </c>
      <c r="W31" s="31">
        <v>2</v>
      </c>
      <c r="X31" s="33">
        <f t="shared" si="16"/>
        <v>0.76410883175237165</v>
      </c>
      <c r="Y31" s="31">
        <f t="shared" si="9"/>
        <v>2.2159156120818775</v>
      </c>
      <c r="Z31" s="31">
        <f t="shared" si="11"/>
        <v>52.083569164734158</v>
      </c>
      <c r="AE31" s="31">
        <v>8</v>
      </c>
      <c r="AF31" s="31">
        <v>2</v>
      </c>
      <c r="AG31" s="33">
        <f t="shared" si="12"/>
        <v>1.5630651931973547</v>
      </c>
      <c r="AH31" s="31">
        <f t="shared" si="13"/>
        <v>1.3048053676724576</v>
      </c>
      <c r="AI31" s="31">
        <f t="shared" si="17"/>
        <v>4.5328890602723284</v>
      </c>
      <c r="AJ31" s="31">
        <f t="shared" si="18"/>
        <v>3.7839355662501268</v>
      </c>
      <c r="AK31" s="31">
        <f t="shared" si="14"/>
        <v>1.9818877775717798</v>
      </c>
      <c r="AP31" s="31">
        <v>4</v>
      </c>
      <c r="AQ31" s="31">
        <v>2</v>
      </c>
      <c r="AR31" s="33">
        <f>AR29+(AS30*$AW$22)</f>
        <v>1.3642668619344738</v>
      </c>
      <c r="AS31" s="31">
        <f t="shared" si="15"/>
        <v>3.9563738996099738</v>
      </c>
      <c r="AT31" s="31">
        <f t="shared" si="19"/>
        <v>14.448314148116784</v>
      </c>
    </row>
    <row r="39" spans="14:22" x14ac:dyDescent="0.3">
      <c r="P39" s="32" t="s">
        <v>96</v>
      </c>
    </row>
    <row r="40" spans="14:22" x14ac:dyDescent="0.3">
      <c r="P40" s="15" t="s">
        <v>89</v>
      </c>
    </row>
    <row r="42" spans="14:22" x14ac:dyDescent="0.3">
      <c r="N42" s="30" t="s">
        <v>0</v>
      </c>
      <c r="O42" s="30" t="s">
        <v>79</v>
      </c>
      <c r="P42" s="30" t="s">
        <v>29</v>
      </c>
      <c r="Q42" s="30" t="s">
        <v>90</v>
      </c>
      <c r="R42" s="30" t="s">
        <v>91</v>
      </c>
      <c r="S42" s="30" t="s">
        <v>22</v>
      </c>
      <c r="U42" s="30" t="s">
        <v>8</v>
      </c>
      <c r="V42" s="31">
        <v>0.5</v>
      </c>
    </row>
    <row r="43" spans="14:22" x14ac:dyDescent="0.3">
      <c r="N43" s="31">
        <v>0</v>
      </c>
      <c r="O43" s="31">
        <v>0</v>
      </c>
      <c r="P43" s="33">
        <v>1</v>
      </c>
      <c r="Q43" s="31">
        <f>P43*O43^2-1.1*P43</f>
        <v>-1.1000000000000001</v>
      </c>
      <c r="R43" s="31">
        <f>(P43+$V$47*Q43*$V$42)*(O43+$V$46*$V$42)^2-(1.1)*(P43+$V$47*Q43*$V$42)</f>
        <v>-0.56363281249999997</v>
      </c>
      <c r="S43" s="31">
        <f>ABS((P43-P15)/P15)*100</f>
        <v>0</v>
      </c>
    </row>
    <row r="44" spans="14:22" x14ac:dyDescent="0.3">
      <c r="N44" s="31">
        <v>1</v>
      </c>
      <c r="O44" s="31">
        <v>0.5</v>
      </c>
      <c r="P44" s="33">
        <f>P43+($V$45*Q43+$V$44*R43)*$V$42</f>
        <v>0.6287890625</v>
      </c>
      <c r="Q44" s="31">
        <f>P44*O44^2-1.1*P44</f>
        <v>-0.534470703125</v>
      </c>
      <c r="R44" s="31">
        <f>(P44+$V$47*Q44*$V$42)*(O44+$V$46*$V$42)^2-(1.1)*(P44+$V$47*Q44*$V$42)</f>
        <v>-0.14323372726440431</v>
      </c>
      <c r="S44" s="31">
        <f>ABS((P44-P16)/P16)*100</f>
        <v>4.537314796548495</v>
      </c>
      <c r="U44" s="30" t="s">
        <v>92</v>
      </c>
      <c r="V44" s="31">
        <f>2/3</f>
        <v>0.66666666666666663</v>
      </c>
    </row>
    <row r="45" spans="14:22" x14ac:dyDescent="0.3">
      <c r="N45" s="31">
        <v>2</v>
      </c>
      <c r="O45" s="31">
        <v>1</v>
      </c>
      <c r="P45" s="33">
        <f>P44+($V$45*Q44+$V$44*R44)*$V$42</f>
        <v>0.49196603622436519</v>
      </c>
      <c r="Q45" s="31">
        <f>P45*O45^2-1.1*P45</f>
        <v>-4.9196603622436608E-2</v>
      </c>
      <c r="R45" s="31">
        <f>(P45+$V$47*Q45*$V$42)*(O45+$V$46*$V$42)^2-(1.1)*(P45+$V$47*Q45*$V$42)</f>
        <v>0.37437462311276781</v>
      </c>
      <c r="S45" s="31">
        <f>ABS((P45-P17)/P17)*100</f>
        <v>5.8995767302422726</v>
      </c>
      <c r="U45" s="30" t="s">
        <v>93</v>
      </c>
      <c r="V45" s="31">
        <f>1-V44</f>
        <v>0.33333333333333337</v>
      </c>
    </row>
    <row r="46" spans="14:22" x14ac:dyDescent="0.3">
      <c r="N46" s="31">
        <v>3</v>
      </c>
      <c r="O46" s="31">
        <v>1.5</v>
      </c>
      <c r="P46" s="33">
        <f>P45+($V$45*Q45+$V$44*R45)*$V$42</f>
        <v>0.60855814332488167</v>
      </c>
      <c r="Q46" s="31">
        <f t="shared" ref="Q46:Q47" si="20">P46*O46^2-1.1*P46</f>
        <v>0.69984186482361377</v>
      </c>
      <c r="R46" s="31">
        <f>(P46+$V$47*Q46*$V$42)*(O46+$V$46*$V$42)^2-(1.1)*(P46+$V$47*Q46*$V$42)</f>
        <v>2.1040065792371205</v>
      </c>
      <c r="S46" s="31">
        <f>ABS((P46-P18)/P18)*100</f>
        <v>2.8742498136697647</v>
      </c>
      <c r="U46" s="30" t="s">
        <v>94</v>
      </c>
      <c r="V46" s="31">
        <f>V42/V44</f>
        <v>0.75</v>
      </c>
    </row>
    <row r="47" spans="14:22" x14ac:dyDescent="0.3">
      <c r="N47" s="31">
        <v>4</v>
      </c>
      <c r="O47" s="31">
        <v>2</v>
      </c>
      <c r="P47" s="33">
        <f>P46+($V$45*Q46+$V$44*R46)*$V$42</f>
        <v>1.426533980541191</v>
      </c>
      <c r="Q47" s="31">
        <f t="shared" si="20"/>
        <v>4.1369485435694537</v>
      </c>
      <c r="R47" s="31">
        <f>(P47+$V$47*Q47*$V$42)*(O47+$V$46*$V$42)^2-(1.1)*(P47+$V$47*Q47*$V$42)</f>
        <v>13.521480348136741</v>
      </c>
      <c r="S47" s="31">
        <f>ABS((P47-P19)/P19)*100</f>
        <v>10.543611103149265</v>
      </c>
      <c r="U47" s="30" t="s">
        <v>95</v>
      </c>
      <c r="V47" s="31">
        <f>V42/V44</f>
        <v>0.75</v>
      </c>
    </row>
    <row r="55" spans="14:22" x14ac:dyDescent="0.3">
      <c r="P55" s="32" t="s">
        <v>97</v>
      </c>
    </row>
    <row r="58" spans="14:22" x14ac:dyDescent="0.3">
      <c r="N58" s="30" t="s">
        <v>79</v>
      </c>
      <c r="O58" s="30" t="s">
        <v>29</v>
      </c>
      <c r="P58" s="30" t="s">
        <v>90</v>
      </c>
      <c r="Q58" s="30" t="s">
        <v>91</v>
      </c>
      <c r="R58" s="30" t="s">
        <v>98</v>
      </c>
      <c r="S58" s="30" t="s">
        <v>22</v>
      </c>
      <c r="U58" s="30" t="s">
        <v>8</v>
      </c>
      <c r="V58" s="31">
        <v>0.5</v>
      </c>
    </row>
    <row r="59" spans="14:22" x14ac:dyDescent="0.3">
      <c r="N59" s="31">
        <v>0</v>
      </c>
      <c r="O59" s="33">
        <v>1</v>
      </c>
      <c r="P59" s="31">
        <f>(O59*N59^2)-(1.1*O59)</f>
        <v>-1.1000000000000001</v>
      </c>
      <c r="Q59" s="31">
        <f>((O59+0.5*P59*$V$58)*(N59+0.5*$V$58)^2)-(1.1*(O59+0.5*P59*$V$58))</f>
        <v>-0.75218750000000001</v>
      </c>
      <c r="R59" s="31">
        <f>((O59-(P59*$V$58)+(2*Q59*$V$58))*(N59+$V$58)^2)-(1.1*(O59-(P59*$V$58)+(2*Q59*$V$58)))</f>
        <v>-0.67814062500000005</v>
      </c>
      <c r="S59" s="31">
        <f>ABS((O59-P15)/P15)*100</f>
        <v>0</v>
      </c>
    </row>
    <row r="60" spans="14:22" x14ac:dyDescent="0.3">
      <c r="N60" s="31">
        <v>0.5</v>
      </c>
      <c r="O60" s="33">
        <f>O59+((P59+4*Q59+R59)*$V$58)/6</f>
        <v>0.60109244791666661</v>
      </c>
      <c r="P60" s="31">
        <f>(O60*N60^2)-(1.1*O60)</f>
        <v>-0.51092858072916658</v>
      </c>
      <c r="Q60" s="31">
        <f>((O60+0.5*P60*$V$58)*(N60+0.5*$V$58)^2)-(1.1*(O60+0.5*P60*$V$58))</f>
        <v>-0.25443116271972654</v>
      </c>
      <c r="R60" s="31">
        <f>((O60-(P60*$V$58)+(2*Q60*$V$58))*(N60+$V$58)^2)-(1.1*(O60-(P60*$V$58)+(2*Q60*$V$58)))</f>
        <v>-6.0212557556152402E-2</v>
      </c>
      <c r="S60" s="31">
        <f>ABS((O60-P16)/P16)*100</f>
        <v>6.7297290667316476E-2</v>
      </c>
    </row>
    <row r="61" spans="14:22" x14ac:dyDescent="0.3">
      <c r="N61" s="31">
        <v>1</v>
      </c>
      <c r="O61" s="33">
        <f>O60+((P60+4*Q60+R60)*$V$58)/6</f>
        <v>0.4686869654863145</v>
      </c>
      <c r="P61" s="31">
        <f t="shared" ref="P61:P63" si="21">(O61*N61^2)-(1.1*O61)</f>
        <v>-4.6868696548631461E-2</v>
      </c>
      <c r="Q61" s="31">
        <f>((O61+0.5*P61*$V$58)*(N61+0.5*$V$58)^2)-(1.1*(O61+0.5*P61*$V$58))</f>
        <v>0.21134852849898489</v>
      </c>
      <c r="R61" s="31">
        <f>((O61-(P61*$V$58)+(2*Q61*$V$58))*(N61+$V$58)^2)-(1.1*(O61-(P61*$V$58)+(2*Q61*$V$58)))</f>
        <v>0.8089903185985573</v>
      </c>
      <c r="S61" s="31">
        <f>ABS((O61-P17)/P17)*100</f>
        <v>0.88857280657173299</v>
      </c>
    </row>
    <row r="62" spans="14:22" x14ac:dyDescent="0.3">
      <c r="N62" s="31">
        <v>1.5</v>
      </c>
      <c r="O62" s="33">
        <f>O61+((P61+4*Q61+R61)*$V$58)/6</f>
        <v>0.60264661015680332</v>
      </c>
      <c r="P62" s="31">
        <f t="shared" si="21"/>
        <v>0.69304360168032375</v>
      </c>
      <c r="Q62" s="31">
        <f>((O62+0.5*P62*$V$58)*(N62+0.5*$V$58)^2)-(1.1*(O62+0.5*P62*$V$58))</f>
        <v>1.5227184895071351</v>
      </c>
      <c r="R62" s="31">
        <f>((O62-(P62*$V$58)+(2*Q62*$V$58))*(N62+$V$58)^2)-(1.1*(O62-(P62*$V$58)+(2*Q62*$V$58)))</f>
        <v>5.1586455665889517</v>
      </c>
      <c r="S62" s="31">
        <f>ABS((O62-P18)/P18)*100</f>
        <v>1.8749294585233112</v>
      </c>
    </row>
    <row r="63" spans="14:22" x14ac:dyDescent="0.3">
      <c r="N63" s="31">
        <v>2</v>
      </c>
      <c r="O63" s="33">
        <f>O62+((P62+4*Q62+R62)*$V$58)/6</f>
        <v>1.5978602040149545</v>
      </c>
      <c r="P63" s="31">
        <f t="shared" si="21"/>
        <v>4.633794591643368</v>
      </c>
      <c r="Q63" s="31">
        <f>((O63+0.5*P63*$V$58)*(N63+0.5*$V$58)^2)-(1.1*(O63+0.5*P63*$V$58))</f>
        <v>10.921873825755968</v>
      </c>
      <c r="R63" s="31">
        <f>((O63-(P63*$V$58)+(2*Q63*$V$58))*(N63+$V$58)^2)-(1.1*(O63-(P63*$V$58)+(2*Q63*$V$58)))</f>
        <v>52.544609179838581</v>
      </c>
      <c r="S63" s="31">
        <f>ABS((O63-P19)/P19)*100</f>
        <v>0.20006937299569821</v>
      </c>
    </row>
    <row r="69" spans="14:23" x14ac:dyDescent="0.3">
      <c r="P69" s="32" t="s">
        <v>99</v>
      </c>
    </row>
    <row r="72" spans="14:23" x14ac:dyDescent="0.3">
      <c r="N72" s="30" t="s">
        <v>79</v>
      </c>
      <c r="O72" s="30" t="s">
        <v>29</v>
      </c>
      <c r="P72" s="30" t="s">
        <v>90</v>
      </c>
      <c r="Q72" s="30" t="s">
        <v>91</v>
      </c>
      <c r="R72" s="30" t="s">
        <v>98</v>
      </c>
      <c r="S72" s="30" t="s">
        <v>100</v>
      </c>
      <c r="T72" s="30" t="s">
        <v>22</v>
      </c>
      <c r="V72" s="30" t="s">
        <v>8</v>
      </c>
      <c r="W72" s="31">
        <v>0.5</v>
      </c>
    </row>
    <row r="73" spans="14:23" x14ac:dyDescent="0.3">
      <c r="N73" s="35">
        <v>0</v>
      </c>
      <c r="O73" s="36">
        <v>1</v>
      </c>
      <c r="P73" s="35">
        <f>(O73*N73^2)-(1.1*O73)</f>
        <v>-1.1000000000000001</v>
      </c>
      <c r="Q73" s="35">
        <f>((O73+0.5*P73*$W$72)*(N73+0.5*$W$72)^2)-(1.1*(O73+0.5*P73*$W$72))</f>
        <v>-0.75218750000000001</v>
      </c>
      <c r="R73" s="35">
        <f>((O73+0.5*Q73*$W$72)*(N73+0.5*$W$72)^2)-(1.1*(O73+0.5*Q73*$W$72))</f>
        <v>-0.84240136718750014</v>
      </c>
      <c r="S73" s="35">
        <f>((O73+R73*$W$72)*(N73+$W$72)^2)-(1.1*(O73+R73*$W$72))</f>
        <v>-0.49197941894531244</v>
      </c>
      <c r="T73" s="31">
        <f>ABS((O73-P15)/P15)*100</f>
        <v>0</v>
      </c>
    </row>
    <row r="74" spans="14:23" x14ac:dyDescent="0.3">
      <c r="N74" s="35">
        <v>0.5</v>
      </c>
      <c r="O74" s="36">
        <f>O73+((P73+2*Q73+2*R73+S73)*$W$72)/6</f>
        <v>0.60157023722330716</v>
      </c>
      <c r="P74" s="35">
        <f t="shared" ref="P74:P77" si="22">(O74*N74^2)-(1.1*O74)</f>
        <v>-0.5113347016398111</v>
      </c>
      <c r="Q74" s="35">
        <f>((O74+0.5*P74*$W$72)*(N74+0.5*$W$72)^2)-(1.1*(O74+0.5*P74*$W$72))</f>
        <v>-0.25463340197467799</v>
      </c>
      <c r="R74" s="35">
        <f>((O74+0.5*Q74*$W$72)*(N74+0.5*$W$72)^2)-(1.1*(O74+0.5*Q74*$W$72))</f>
        <v>-0.28912763911718031</v>
      </c>
      <c r="S74" s="35">
        <f>((O74+R74*$W$72)*(N74+$W$72)^2)-(1.1*(O74+R74*$W$72))</f>
        <v>-4.5700641766471761E-2</v>
      </c>
      <c r="T74" s="31">
        <f>ABS((O74-P16)/P16)*100</f>
        <v>1.2136042597299713E-2</v>
      </c>
    </row>
    <row r="75" spans="14:23" x14ac:dyDescent="0.3">
      <c r="N75" s="35">
        <v>1</v>
      </c>
      <c r="O75" s="36">
        <f>O74+((P74+2*Q74+2*R74+S74)*$W$72)/6</f>
        <v>0.46452378509080716</v>
      </c>
      <c r="P75" s="35">
        <f t="shared" si="22"/>
        <v>-4.6452378509080794E-2</v>
      </c>
      <c r="Q75" s="35">
        <f>((O75+0.5*P75*$W$72)*(N75+0.5*$W$72)^2)-(1.1*(O75+0.5*P75*$W$72))</f>
        <v>0.20947119433938577</v>
      </c>
      <c r="R75" s="35">
        <f>((O75+0.5*Q75*$W$72)*(N75+0.5*$W$72)^2)-(1.1*(O75+0.5*Q75*$W$72))</f>
        <v>0.23906235744998972</v>
      </c>
      <c r="S75" s="35">
        <f>((O75+R75*$W$72)*(N75+$W$72)^2)-(1.1*(O75+R75*$W$72))</f>
        <v>0.67166320838817239</v>
      </c>
      <c r="T75" s="31">
        <f>ABS((O75-P17)/P17)*100</f>
        <v>7.5846703131208521E-3</v>
      </c>
    </row>
    <row r="76" spans="14:23" x14ac:dyDescent="0.3">
      <c r="N76" s="35">
        <v>1.5</v>
      </c>
      <c r="O76" s="36">
        <f>O75+((P75+2*Q75+2*R75+S75)*$W$72)/6</f>
        <v>0.59138027954562733</v>
      </c>
      <c r="P76" s="35">
        <f t="shared" si="22"/>
        <v>0.68008732147747142</v>
      </c>
      <c r="Q76" s="35">
        <f>((O76+0.5*P76*$W$72)*(N76+0.5*$W$72)^2)-(1.1*(O76+0.5*P76*$W$72))</f>
        <v>1.4942516407081783</v>
      </c>
      <c r="R76" s="35">
        <f>((O76+0.5*Q76*$W$72)*(N76+0.5*$W$72)^2)-(1.1*(O76+0.5*Q76*$W$72))</f>
        <v>1.8937010098307434</v>
      </c>
      <c r="S76" s="35">
        <f>((O76+R76*$W$72)*(N76+$W$72)^2)-(1.1*(O76+R76*$W$72))</f>
        <v>4.460869274936897</v>
      </c>
      <c r="T76" s="31">
        <f>ABS((O76-P18)/P18)*100</f>
        <v>2.9597368519356008E-2</v>
      </c>
    </row>
    <row r="77" spans="14:23" x14ac:dyDescent="0.3">
      <c r="N77" s="35">
        <v>2</v>
      </c>
      <c r="O77" s="36">
        <f>O76+((P76+2*Q76+2*R76+S76)*$W$72)/6</f>
        <v>1.5844521043366449</v>
      </c>
      <c r="P77" s="35">
        <f t="shared" si="22"/>
        <v>4.5949111025762699</v>
      </c>
      <c r="Q77" s="35">
        <f>((O77+0.5*P77*$W$72)*(N77+0.5*$W$72)^2)-(1.1*(O77+0.5*P77*$W$72))</f>
        <v>10.830225274423572</v>
      </c>
      <c r="R77" s="35">
        <f>((O77+0.5*Q77*$W$72)*(N77+0.5*$W$72)^2)-(1.1*(O77+0.5*Q77*$W$72))</f>
        <v>17.007083375909808</v>
      </c>
      <c r="S77" s="35">
        <f>((O77+R77*$W$72)*(N77+$W$72)^2)-(1.1*(O77+R77*$W$72))</f>
        <v>51.95316803030147</v>
      </c>
      <c r="T77" s="31">
        <f>ABS((O77-P19)/P19)*100</f>
        <v>0.64073792325642032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981D7-CF0D-478A-BFAA-27D82D623FA1}">
  <dimension ref="A7:AA87"/>
  <sheetViews>
    <sheetView zoomScale="85" zoomScaleNormal="85" workbookViewId="0">
      <selection activeCell="AO5" sqref="AC5:AO28"/>
    </sheetView>
  </sheetViews>
  <sheetFormatPr defaultRowHeight="14.5" x14ac:dyDescent="0.35"/>
  <cols>
    <col min="1" max="4" width="8.90625" style="15" bestFit="1" customWidth="1"/>
    <col min="5" max="5" width="8.7265625" style="15"/>
    <col min="6" max="6" width="8.90625" style="15" bestFit="1" customWidth="1"/>
    <col min="7" max="7" width="8.81640625" style="15" bestFit="1" customWidth="1"/>
    <col min="8" max="10" width="8.90625" style="15" bestFit="1" customWidth="1"/>
    <col min="11" max="11" width="8.7265625" style="15"/>
    <col min="12" max="12" width="14.08984375" style="15" bestFit="1" customWidth="1"/>
    <col min="13" max="13" width="8.7265625" style="15"/>
    <col min="14" max="14" width="14" style="15" bestFit="1" customWidth="1"/>
    <col min="15" max="15" width="8.7265625" style="15"/>
    <col min="16" max="16" width="13.36328125" style="15" bestFit="1" customWidth="1"/>
    <col min="17" max="17" width="8.81640625" style="15" bestFit="1" customWidth="1"/>
    <col min="18" max="18" width="8.7265625" style="15"/>
    <col min="19" max="19" width="12.08984375" bestFit="1" customWidth="1"/>
    <col min="27" max="27" width="10.26953125" style="39" customWidth="1"/>
    <col min="28" max="28" width="8.7265625" style="15"/>
    <col min="29" max="33" width="8.81640625" style="15" bestFit="1" customWidth="1"/>
    <col min="34" max="35" width="8.7265625" style="15"/>
    <col min="36" max="36" width="8.81640625" style="15" bestFit="1" customWidth="1"/>
    <col min="37" max="16384" width="8.7265625" style="15"/>
  </cols>
  <sheetData>
    <row r="7" spans="1:24" x14ac:dyDescent="0.35">
      <c r="B7" s="37" t="s">
        <v>28</v>
      </c>
      <c r="C7" s="37" t="s">
        <v>29</v>
      </c>
      <c r="D7" s="37" t="s">
        <v>110</v>
      </c>
      <c r="F7" s="37" t="s">
        <v>107</v>
      </c>
      <c r="G7" s="38">
        <v>0</v>
      </c>
    </row>
    <row r="8" spans="1:24" x14ac:dyDescent="0.35">
      <c r="B8" s="38">
        <v>0.4</v>
      </c>
      <c r="C8" s="38">
        <v>5.0999999999999996</v>
      </c>
      <c r="D8" s="38">
        <f>$G$7*EXP(B8/2)+$G$8*SQRT(B8)+$G$9*B8^2</f>
        <v>0</v>
      </c>
      <c r="F8" s="37" t="s">
        <v>108</v>
      </c>
      <c r="G8" s="38">
        <v>0</v>
      </c>
    </row>
    <row r="9" spans="1:24" x14ac:dyDescent="0.35">
      <c r="B9" s="38">
        <v>1</v>
      </c>
      <c r="C9" s="38">
        <v>7.1</v>
      </c>
      <c r="D9" s="38">
        <f>$G$7*EXP(B9/2)+$G$8*SQRT(B9)+$G$9*B9^2</f>
        <v>0</v>
      </c>
      <c r="F9" s="37" t="s">
        <v>109</v>
      </c>
      <c r="G9" s="38">
        <v>0</v>
      </c>
    </row>
    <row r="10" spans="1:24" x14ac:dyDescent="0.35">
      <c r="B10" s="38">
        <v>1.6</v>
      </c>
      <c r="C10" s="38">
        <v>8</v>
      </c>
      <c r="D10" s="38">
        <f>$G$7*EXP(B10/2)+$G$8*SQRT(B10)+$G$9*B10^2</f>
        <v>0</v>
      </c>
    </row>
    <row r="11" spans="1:24" x14ac:dyDescent="0.35">
      <c r="B11" s="38">
        <v>2.2000000000000002</v>
      </c>
      <c r="C11" s="38">
        <v>8.1</v>
      </c>
      <c r="D11" s="38">
        <f>$G$7*EXP(B11/2)+$G$8*SQRT(B11)+$G$9*B11^2</f>
        <v>0</v>
      </c>
    </row>
    <row r="12" spans="1:24" x14ac:dyDescent="0.35">
      <c r="B12" s="38">
        <v>2.8</v>
      </c>
      <c r="C12" s="38">
        <v>7.8</v>
      </c>
      <c r="D12" s="38">
        <f>$G$7*EXP(B12/2)+$G$8*SQRT(B12)+$G$9*B12^2</f>
        <v>0</v>
      </c>
    </row>
    <row r="13" spans="1:24" x14ac:dyDescent="0.35">
      <c r="S13" s="15"/>
      <c r="T13" s="15"/>
      <c r="W13" s="15"/>
      <c r="X13" s="15"/>
    </row>
    <row r="14" spans="1:24" x14ac:dyDescent="0.35">
      <c r="S14" s="15"/>
      <c r="T14" s="15"/>
      <c r="W14" s="15"/>
      <c r="X14" s="15"/>
    </row>
    <row r="15" spans="1:24" x14ac:dyDescent="0.35">
      <c r="A15" s="15">
        <v>0</v>
      </c>
      <c r="B15" s="43" t="s">
        <v>28</v>
      </c>
      <c r="C15" s="43"/>
      <c r="D15" s="43"/>
      <c r="F15" s="37" t="s">
        <v>103</v>
      </c>
      <c r="H15" s="43" t="s">
        <v>104</v>
      </c>
      <c r="I15" s="43"/>
      <c r="J15" s="43"/>
      <c r="L15" s="37" t="s">
        <v>105</v>
      </c>
      <c r="N15" s="37" t="s">
        <v>62</v>
      </c>
      <c r="P15" s="37" t="s">
        <v>106</v>
      </c>
      <c r="S15" s="37" t="s">
        <v>22</v>
      </c>
      <c r="T15" s="37" t="s">
        <v>111</v>
      </c>
      <c r="W15" s="15"/>
      <c r="X15" s="15"/>
    </row>
    <row r="16" spans="1:24" x14ac:dyDescent="0.35">
      <c r="B16" s="38">
        <f>EXP(B8/2)</f>
        <v>1.2214027581601699</v>
      </c>
      <c r="C16" s="38">
        <f>SQRT(B8)</f>
        <v>0.63245553203367588</v>
      </c>
      <c r="D16" s="38">
        <f>B8^2</f>
        <v>0.16000000000000003</v>
      </c>
      <c r="F16" s="38">
        <f>C8-D8</f>
        <v>5.0999999999999996</v>
      </c>
      <c r="H16" s="38" cm="1">
        <f t="array" ref="H16:J18">MINVERSE(MMULT(TRANSPOSE(B16:D20),B16:D20))</f>
        <v>9.7053078959735313</v>
      </c>
      <c r="I16" s="38">
        <v>-14.356123085996702</v>
      </c>
      <c r="J16" s="38">
        <v>-1.829508301901023</v>
      </c>
      <c r="L16" s="38" cm="1">
        <f t="array" ref="L16:L18">MMULT(TRANSPOSE(B16:D20),F16:F20)</f>
        <v>91.703707051882077</v>
      </c>
      <c r="N16" s="38" cm="1">
        <f t="array" ref="N16:N18">MMULT(H16:J18,L16:L18)</f>
        <v>1.0990637593295673</v>
      </c>
      <c r="P16" s="38" cm="1">
        <f t="array" ref="P16:P18">_xlfn.ANCHORARRAY(N16)</f>
        <v>1.0990637593295673</v>
      </c>
      <c r="S16" s="38">
        <f>ABS((G7-N16)/N16)</f>
        <v>1</v>
      </c>
      <c r="T16" s="38" t="str">
        <f>IF(S16&lt;0.05,"stop", "lanjut")</f>
        <v>lanjut</v>
      </c>
      <c r="W16" s="15"/>
      <c r="X16" s="15"/>
    </row>
    <row r="17" spans="1:24" x14ac:dyDescent="0.35">
      <c r="B17" s="38">
        <f t="shared" ref="B17:B20" si="0">EXP(B9/2)</f>
        <v>1.6487212707001282</v>
      </c>
      <c r="C17" s="38">
        <f t="shared" ref="C17:C20" si="1">SQRT(B9)</f>
        <v>1</v>
      </c>
      <c r="D17" s="38">
        <f t="shared" ref="D17:D20" si="2">B9^2</f>
        <v>1</v>
      </c>
      <c r="F17" s="38">
        <f t="shared" ref="F17:F20" si="3">C9-D9</f>
        <v>7.1</v>
      </c>
      <c r="H17" s="38">
        <v>-14.356123085996714</v>
      </c>
      <c r="I17" s="38">
        <v>21.93205397937756</v>
      </c>
      <c r="J17" s="38">
        <v>2.5206634276130369</v>
      </c>
      <c r="L17" s="38">
        <v>45.510949688937117</v>
      </c>
      <c r="N17" s="38">
        <v>6.1793569835351718</v>
      </c>
      <c r="P17" s="38">
        <v>6.1793569835351718</v>
      </c>
      <c r="S17" s="38">
        <f>ABS((G8-N17)/N17)</f>
        <v>1</v>
      </c>
      <c r="T17" s="38" t="str">
        <f>IF(S17&lt;0.05,"stop", "lanjut")</f>
        <v>lanjut</v>
      </c>
      <c r="W17" s="15"/>
      <c r="X17" s="15"/>
    </row>
    <row r="18" spans="1:24" x14ac:dyDescent="0.35">
      <c r="B18" s="38">
        <f t="shared" si="0"/>
        <v>2.2255409284924679</v>
      </c>
      <c r="C18" s="38">
        <f t="shared" si="1"/>
        <v>1.2649110640673518</v>
      </c>
      <c r="D18" s="38">
        <f t="shared" si="2"/>
        <v>2.5600000000000005</v>
      </c>
      <c r="F18" s="38">
        <f t="shared" si="3"/>
        <v>8</v>
      </c>
      <c r="H18" s="38">
        <v>-1.8295083019010203</v>
      </c>
      <c r="I18" s="38">
        <v>2.5206634276130306</v>
      </c>
      <c r="J18" s="38">
        <v>0.40512425908623134</v>
      </c>
      <c r="L18" s="38">
        <v>128.75200000000001</v>
      </c>
      <c r="N18" s="38">
        <v>-0.89434832380649709</v>
      </c>
      <c r="P18" s="38">
        <v>-0.89434832380649709</v>
      </c>
      <c r="S18" s="38">
        <f>ABS((G9-N18)/N18)</f>
        <v>1</v>
      </c>
      <c r="T18" s="38" t="str">
        <f>IF(S18&lt;0.05,"stop", "lanjut")</f>
        <v>lanjut</v>
      </c>
      <c r="W18" s="15"/>
      <c r="X18" s="15"/>
    </row>
    <row r="19" spans="1:24" x14ac:dyDescent="0.35">
      <c r="B19" s="38">
        <f>EXP(B11/2)</f>
        <v>3.0041660239464334</v>
      </c>
      <c r="C19" s="38">
        <f t="shared" si="1"/>
        <v>1.4832396974191326</v>
      </c>
      <c r="D19" s="38">
        <f t="shared" si="2"/>
        <v>4.8400000000000007</v>
      </c>
      <c r="F19" s="38">
        <f t="shared" si="3"/>
        <v>8.1</v>
      </c>
      <c r="S19" s="15"/>
      <c r="T19" s="15"/>
      <c r="W19" s="15"/>
      <c r="X19" s="15"/>
    </row>
    <row r="20" spans="1:24" x14ac:dyDescent="0.35">
      <c r="B20" s="38">
        <f t="shared" si="0"/>
        <v>4.0551999668446745</v>
      </c>
      <c r="C20" s="38">
        <f t="shared" si="1"/>
        <v>1.6733200530681511</v>
      </c>
      <c r="D20" s="38">
        <f t="shared" si="2"/>
        <v>7.839999999999999</v>
      </c>
      <c r="F20" s="38">
        <f t="shared" si="3"/>
        <v>7.8</v>
      </c>
      <c r="S20" s="15"/>
      <c r="T20" s="15"/>
      <c r="W20" s="15"/>
      <c r="X20" s="15"/>
    </row>
    <row r="21" spans="1:24" x14ac:dyDescent="0.35">
      <c r="S21" s="15"/>
      <c r="T21" s="15"/>
      <c r="W21" s="15"/>
      <c r="X21" s="15"/>
    </row>
    <row r="22" spans="1:24" x14ac:dyDescent="0.35">
      <c r="S22" s="15"/>
      <c r="T22" s="15"/>
      <c r="W22" s="15"/>
      <c r="X22" s="15"/>
    </row>
    <row r="23" spans="1:24" x14ac:dyDescent="0.35">
      <c r="A23" s="15">
        <v>1</v>
      </c>
      <c r="B23" s="43" t="s">
        <v>28</v>
      </c>
      <c r="C23" s="43"/>
      <c r="D23" s="43"/>
      <c r="F23" s="37" t="s">
        <v>103</v>
      </c>
      <c r="H23" s="43" t="s">
        <v>104</v>
      </c>
      <c r="I23" s="43"/>
      <c r="J23" s="43"/>
      <c r="L23" s="37" t="s">
        <v>105</v>
      </c>
      <c r="N23" s="37" t="s">
        <v>62</v>
      </c>
      <c r="P23" s="37" t="s">
        <v>106</v>
      </c>
      <c r="S23" s="37" t="s">
        <v>22</v>
      </c>
      <c r="T23" s="37" t="s">
        <v>111</v>
      </c>
      <c r="W23" s="15"/>
      <c r="X23" s="15"/>
    </row>
    <row r="24" spans="1:24" x14ac:dyDescent="0.35">
      <c r="B24" s="38">
        <f>EXP(B8/2)</f>
        <v>1.2214027581601699</v>
      </c>
      <c r="C24" s="38">
        <f>SQRT(B8)</f>
        <v>0.63245553203367588</v>
      </c>
      <c r="D24" s="38">
        <f>B8^2</f>
        <v>0.16000000000000003</v>
      </c>
      <c r="F24" s="38">
        <f>C8-($N$16*EXP(B8/2)+$N$17*SQRT(B8)+$N$18*B8^2)</f>
        <v>-7.4722838777274703E-3</v>
      </c>
      <c r="H24" s="38" cm="1">
        <f t="array" ref="H24:J26">MINVERSE(MMULT(TRANSPOSE(B24:D28),B24:D28))</f>
        <v>9.7053078959735313</v>
      </c>
      <c r="I24" s="38">
        <v>-14.356123085996702</v>
      </c>
      <c r="J24" s="38">
        <v>-1.829508301901023</v>
      </c>
      <c r="L24" s="38" cm="1">
        <f t="array" ref="L24:L26">MMULT(TRANSPOSE(B24:D28),F24:F28)</f>
        <v>-3.8805902935479253E-12</v>
      </c>
      <c r="N24" s="38" cm="1">
        <f t="array" ref="N24:N26">MMULT(H24:J26,L24:L26)</f>
        <v>5.191385694167277E-14</v>
      </c>
      <c r="P24" s="38">
        <f>P16+N24</f>
        <v>1.0990637593296193</v>
      </c>
      <c r="S24" s="38">
        <f>ABS((N16-P24)/P24)</f>
        <v>4.7275180453725175E-14</v>
      </c>
      <c r="T24" s="38" t="str">
        <f>IF(S24&lt;0.05,"stop", "lanjut")</f>
        <v>stop</v>
      </c>
      <c r="W24" s="15"/>
      <c r="X24" s="15"/>
    </row>
    <row r="25" spans="1:24" x14ac:dyDescent="0.35">
      <c r="B25" s="38">
        <f t="shared" ref="B25:B28" si="4">EXP(B9/2)</f>
        <v>1.6487212707001282</v>
      </c>
      <c r="C25" s="38">
        <f t="shared" ref="C25:C28" si="5">SQRT(B9)</f>
        <v>1</v>
      </c>
      <c r="D25" s="38">
        <f t="shared" ref="D25:D28" si="6">B9^2</f>
        <v>1</v>
      </c>
      <c r="F25" s="38">
        <f>C9-($N$16*EXP(B9/2)+$N$17*SQRT(B9)+$N$18*B9^2)</f>
        <v>2.9415424090206699E-3</v>
      </c>
      <c r="H25" s="38">
        <v>-14.356123085996714</v>
      </c>
      <c r="I25" s="38">
        <v>21.93205397937756</v>
      </c>
      <c r="J25" s="38">
        <v>2.5206634276130369</v>
      </c>
      <c r="L25" s="38">
        <v>-1.850734843156232E-12</v>
      </c>
      <c r="N25" s="38">
        <v>-2.3537135415370926E-13</v>
      </c>
      <c r="P25" s="38">
        <f t="shared" ref="P25:P26" si="7">P17+N25</f>
        <v>6.1793569835349365</v>
      </c>
      <c r="S25" s="38">
        <f t="shared" ref="S25:S26" si="8">ABS((N17-P25)/P25)</f>
        <v>3.8089283698558875E-14</v>
      </c>
      <c r="T25" s="38" t="str">
        <f>IF(S25&lt;0.05,"stop", "lanjut")</f>
        <v>stop</v>
      </c>
      <c r="W25" s="15"/>
      <c r="X25" s="15"/>
    </row>
    <row r="26" spans="1:24" x14ac:dyDescent="0.35">
      <c r="B26" s="38">
        <f t="shared" si="4"/>
        <v>2.2255409284924679</v>
      </c>
      <c r="C26" s="38">
        <f t="shared" si="5"/>
        <v>1.2649110640673518</v>
      </c>
      <c r="D26" s="38">
        <f t="shared" si="6"/>
        <v>2.5600000000000005</v>
      </c>
      <c r="F26" s="38">
        <f>C10-($N$16*EXP(B10/2)+$N$17*SQRT(B10)+$N$18*B10^2)</f>
        <v>2.7183312238388879E-2</v>
      </c>
      <c r="H26" s="38">
        <v>-1.8295083019010203</v>
      </c>
      <c r="I26" s="38">
        <v>2.5206634276130306</v>
      </c>
      <c r="J26" s="38">
        <v>0.40512425908623134</v>
      </c>
      <c r="L26" s="38">
        <v>-6.0917243471791949E-12</v>
      </c>
      <c r="N26" s="38">
        <v>-3.3412787739133098E-14</v>
      </c>
      <c r="P26" s="38">
        <f t="shared" si="7"/>
        <v>-0.89434832380653051</v>
      </c>
      <c r="S26" s="38">
        <f t="shared" si="8"/>
        <v>3.7365433748435449E-14</v>
      </c>
      <c r="T26" s="38" t="str">
        <f>IF(S26&lt;0.05,"stop", "lanjut")</f>
        <v>stop</v>
      </c>
      <c r="W26" s="15"/>
      <c r="X26" s="15"/>
    </row>
    <row r="27" spans="1:24" x14ac:dyDescent="0.35">
      <c r="B27" s="38">
        <f t="shared" si="4"/>
        <v>3.0041660239464334</v>
      </c>
      <c r="C27" s="38">
        <f t="shared" si="5"/>
        <v>1.4832396974191326</v>
      </c>
      <c r="D27" s="38">
        <f t="shared" si="6"/>
        <v>4.8400000000000007</v>
      </c>
      <c r="F27" s="38">
        <f>C11-($N$16*EXP(B11/2)+$N$17*SQRT(B11)+$N$18*B11^2)</f>
        <v>-3.8591699208790686E-2</v>
      </c>
      <c r="S27" s="15"/>
      <c r="T27" s="15"/>
      <c r="W27" s="15"/>
      <c r="X27" s="15"/>
    </row>
    <row r="28" spans="1:24" x14ac:dyDescent="0.35">
      <c r="B28" s="38">
        <f t="shared" si="4"/>
        <v>4.0551999668446745</v>
      </c>
      <c r="C28" s="38">
        <f t="shared" si="5"/>
        <v>1.6733200530681511</v>
      </c>
      <c r="D28" s="38">
        <f t="shared" si="6"/>
        <v>7.839999999999999</v>
      </c>
      <c r="F28" s="38">
        <f>C12-($N$16*EXP(B12/2)+$N$17*SQRT(B12)+$N$18*B12^2)</f>
        <v>1.4725582633366763E-2</v>
      </c>
      <c r="S28" s="15"/>
      <c r="T28" s="15"/>
      <c r="W28" s="15"/>
      <c r="X28" s="15"/>
    </row>
    <row r="29" spans="1:24" x14ac:dyDescent="0.35">
      <c r="X29" s="15"/>
    </row>
    <row r="30" spans="1:24" x14ac:dyDescent="0.35">
      <c r="X30" s="15"/>
    </row>
    <row r="31" spans="1:24" x14ac:dyDescent="0.35">
      <c r="X31" s="15"/>
    </row>
    <row r="32" spans="1:24" x14ac:dyDescent="0.35">
      <c r="X32" s="15"/>
    </row>
    <row r="33" spans="24:24" x14ac:dyDescent="0.35">
      <c r="X33" s="15"/>
    </row>
    <row r="34" spans="24:24" x14ac:dyDescent="0.35">
      <c r="X34" s="15"/>
    </row>
    <row r="35" spans="24:24" x14ac:dyDescent="0.35">
      <c r="X35" s="15"/>
    </row>
    <row r="36" spans="24:24" x14ac:dyDescent="0.35">
      <c r="X36" s="15"/>
    </row>
    <row r="37" spans="24:24" x14ac:dyDescent="0.35">
      <c r="X37" s="15"/>
    </row>
    <row r="38" spans="24:24" x14ac:dyDescent="0.35">
      <c r="X38" s="15"/>
    </row>
    <row r="39" spans="24:24" x14ac:dyDescent="0.35">
      <c r="X39" s="15"/>
    </row>
    <row r="40" spans="24:24" x14ac:dyDescent="0.35">
      <c r="X40" s="15"/>
    </row>
    <row r="41" spans="24:24" x14ac:dyDescent="0.35">
      <c r="X41" s="15"/>
    </row>
    <row r="42" spans="24:24" x14ac:dyDescent="0.35">
      <c r="X42" s="15"/>
    </row>
    <row r="43" spans="24:24" x14ac:dyDescent="0.35">
      <c r="X43" s="15"/>
    </row>
    <row r="44" spans="24:24" x14ac:dyDescent="0.35">
      <c r="X44" s="15"/>
    </row>
    <row r="45" spans="24:24" x14ac:dyDescent="0.35">
      <c r="X45" s="15"/>
    </row>
    <row r="46" spans="24:24" x14ac:dyDescent="0.35">
      <c r="X46" s="15"/>
    </row>
    <row r="47" spans="24:24" x14ac:dyDescent="0.35">
      <c r="X47" s="15"/>
    </row>
    <row r="48" spans="24:24" x14ac:dyDescent="0.35">
      <c r="X48" s="15"/>
    </row>
    <row r="49" spans="24:24" x14ac:dyDescent="0.35">
      <c r="X49" s="15"/>
    </row>
    <row r="50" spans="24:24" x14ac:dyDescent="0.35">
      <c r="X50" s="15"/>
    </row>
    <row r="51" spans="24:24" x14ac:dyDescent="0.35">
      <c r="X51" s="15"/>
    </row>
    <row r="52" spans="24:24" x14ac:dyDescent="0.35">
      <c r="X52" s="15"/>
    </row>
    <row r="53" spans="24:24" x14ac:dyDescent="0.35">
      <c r="X53" s="15"/>
    </row>
    <row r="54" spans="24:24" x14ac:dyDescent="0.35">
      <c r="X54" s="15"/>
    </row>
    <row r="55" spans="24:24" x14ac:dyDescent="0.35">
      <c r="X55" s="15"/>
    </row>
    <row r="56" spans="24:24" x14ac:dyDescent="0.35">
      <c r="X56" s="15"/>
    </row>
    <row r="57" spans="24:24" x14ac:dyDescent="0.35">
      <c r="X57" s="15"/>
    </row>
    <row r="58" spans="24:24" x14ac:dyDescent="0.35">
      <c r="X58" s="15"/>
    </row>
    <row r="59" spans="24:24" x14ac:dyDescent="0.35">
      <c r="X59" s="15"/>
    </row>
    <row r="60" spans="24:24" x14ac:dyDescent="0.35">
      <c r="X60" s="15"/>
    </row>
    <row r="61" spans="24:24" x14ac:dyDescent="0.35">
      <c r="X61" s="15"/>
    </row>
    <row r="62" spans="24:24" x14ac:dyDescent="0.35">
      <c r="X62" s="15"/>
    </row>
    <row r="63" spans="24:24" x14ac:dyDescent="0.35">
      <c r="X63" s="15"/>
    </row>
    <row r="64" spans="24:24" x14ac:dyDescent="0.35">
      <c r="X64" s="15"/>
    </row>
    <row r="65" spans="24:24" x14ac:dyDescent="0.35">
      <c r="X65" s="15"/>
    </row>
    <row r="66" spans="24:24" x14ac:dyDescent="0.35">
      <c r="X66" s="15"/>
    </row>
    <row r="67" spans="24:24" x14ac:dyDescent="0.35">
      <c r="X67" s="15"/>
    </row>
    <row r="68" spans="24:24" x14ac:dyDescent="0.35">
      <c r="X68" s="15"/>
    </row>
    <row r="69" spans="24:24" x14ac:dyDescent="0.35">
      <c r="X69" s="15"/>
    </row>
    <row r="70" spans="24:24" x14ac:dyDescent="0.35">
      <c r="X70" s="15"/>
    </row>
    <row r="71" spans="24:24" x14ac:dyDescent="0.35">
      <c r="X71" s="15"/>
    </row>
    <row r="72" spans="24:24" x14ac:dyDescent="0.35">
      <c r="X72" s="15"/>
    </row>
    <row r="73" spans="24:24" x14ac:dyDescent="0.35">
      <c r="X73" s="15"/>
    </row>
    <row r="74" spans="24:24" x14ac:dyDescent="0.35">
      <c r="X74" s="15"/>
    </row>
    <row r="75" spans="24:24" x14ac:dyDescent="0.35">
      <c r="X75" s="15"/>
    </row>
    <row r="76" spans="24:24" x14ac:dyDescent="0.35">
      <c r="X76" s="15"/>
    </row>
    <row r="77" spans="24:24" x14ac:dyDescent="0.35">
      <c r="X77" s="15"/>
    </row>
    <row r="78" spans="24:24" x14ac:dyDescent="0.35">
      <c r="X78" s="15"/>
    </row>
    <row r="79" spans="24:24" x14ac:dyDescent="0.35">
      <c r="X79" s="15"/>
    </row>
    <row r="80" spans="24:24" x14ac:dyDescent="0.35">
      <c r="X80" s="15"/>
    </row>
    <row r="81" spans="24:24" x14ac:dyDescent="0.35">
      <c r="X81" s="15"/>
    </row>
    <row r="82" spans="24:24" x14ac:dyDescent="0.35">
      <c r="X82" s="15"/>
    </row>
    <row r="83" spans="24:24" x14ac:dyDescent="0.35">
      <c r="X83" s="15"/>
    </row>
    <row r="84" spans="24:24" x14ac:dyDescent="0.35">
      <c r="X84" s="15"/>
    </row>
    <row r="85" spans="24:24" x14ac:dyDescent="0.35">
      <c r="X85" s="15"/>
    </row>
    <row r="86" spans="24:24" x14ac:dyDescent="0.35">
      <c r="X86" s="15"/>
    </row>
    <row r="87" spans="24:24" x14ac:dyDescent="0.35">
      <c r="X87" s="15"/>
    </row>
  </sheetData>
  <sortState xmlns:xlrd2="http://schemas.microsoft.com/office/spreadsheetml/2017/richdata2" ref="S7:S28">
    <sortCondition descending="1" ref="S1:S28"/>
  </sortState>
  <mergeCells count="4">
    <mergeCell ref="B15:D15"/>
    <mergeCell ref="H15:J15"/>
    <mergeCell ref="B23:D23"/>
    <mergeCell ref="H23:J2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Integrasi Numerik</vt:lpstr>
      <vt:lpstr>Integral Lipat 2 </vt:lpstr>
      <vt:lpstr>Diferensiasi Numerik</vt:lpstr>
      <vt:lpstr>regresi</vt:lpstr>
      <vt:lpstr>regresi non linier</vt:lpstr>
      <vt:lpstr>Persamaan Diferensial </vt:lpstr>
      <vt:lpstr>latihan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PUTRI NISRINA AZZAHRA</cp:lastModifiedBy>
  <dcterms:created xsi:type="dcterms:W3CDTF">2021-10-26T09:25:46Z</dcterms:created>
  <dcterms:modified xsi:type="dcterms:W3CDTF">2024-09-24T01:42:51Z</dcterms:modified>
</cp:coreProperties>
</file>