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ASCA\SEMESTER 2\MACHINE LEARNING\Competition UAS\"/>
    </mc:Choice>
  </mc:AlternateContent>
  <xr:revisionPtr revIDLastSave="0" documentId="13_ncr:1_{4C70C7D0-71EF-4CD8-B028-DE26635895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7" i="2" l="1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V27" i="2"/>
  <c r="W27" i="2" s="1"/>
  <c r="L27" i="2"/>
  <c r="V26" i="2"/>
  <c r="W26" i="2" s="1"/>
  <c r="L26" i="2"/>
  <c r="V25" i="2"/>
  <c r="W25" i="2" s="1"/>
  <c r="L25" i="2"/>
  <c r="V24" i="2"/>
  <c r="W24" i="2" s="1"/>
  <c r="L24" i="2"/>
  <c r="V23" i="2"/>
  <c r="W23" i="2" s="1"/>
  <c r="L23" i="2"/>
  <c r="V22" i="2"/>
  <c r="W22" i="2" s="1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<sst xmlns="http://schemas.openxmlformats.org/spreadsheetml/2006/main" count="4509" uniqueCount="1143">
  <si>
    <t>Nama Provinsi</t>
  </si>
  <si>
    <t>Nama Kabupaten</t>
  </si>
  <si>
    <t>Tipe</t>
  </si>
  <si>
    <t>Tahun</t>
  </si>
  <si>
    <t>IKP</t>
  </si>
  <si>
    <t>Peringkat Kab/Kota</t>
  </si>
  <si>
    <t>Kelompok IKP</t>
  </si>
  <si>
    <t>Produksi Padi (Ton)</t>
  </si>
  <si>
    <t>persentase rumah tangga dengan akses listrik</t>
  </si>
  <si>
    <t>Laju Pertumbuhan PDRB</t>
  </si>
  <si>
    <t>Prevalensi Ketidakcukupan Pangan</t>
  </si>
  <si>
    <t>Aceh</t>
  </si>
  <si>
    <t>Simeulue</t>
  </si>
  <si>
    <t>Kabupaten</t>
  </si>
  <si>
    <t>99,87</t>
  </si>
  <si>
    <t>4,63</t>
  </si>
  <si>
    <t>Aceh Singkil</t>
  </si>
  <si>
    <t>99,73</t>
  </si>
  <si>
    <t>3,52</t>
  </si>
  <si>
    <t>Aceh Selatan</t>
  </si>
  <si>
    <t>4,20</t>
  </si>
  <si>
    <t>Aceh Tenggara</t>
  </si>
  <si>
    <t>3,04</t>
  </si>
  <si>
    <t>Aceh Timur</t>
  </si>
  <si>
    <t>99,37</t>
  </si>
  <si>
    <t>2,09</t>
  </si>
  <si>
    <t>Aceh Tengah</t>
  </si>
  <si>
    <t>99,92</t>
  </si>
  <si>
    <t>5,60</t>
  </si>
  <si>
    <t>Aceh Barat</t>
  </si>
  <si>
    <t>4,08</t>
  </si>
  <si>
    <t>Aceh Besar</t>
  </si>
  <si>
    <t>99,57</t>
  </si>
  <si>
    <t>4,27</t>
  </si>
  <si>
    <t>Pidie</t>
  </si>
  <si>
    <t>99,91</t>
  </si>
  <si>
    <t>3,95</t>
  </si>
  <si>
    <t>Bireuen</t>
  </si>
  <si>
    <t>99,99</t>
  </si>
  <si>
    <t>4,38</t>
  </si>
  <si>
    <t>Aceh Utara</t>
  </si>
  <si>
    <t>99,7</t>
  </si>
  <si>
    <t>0,51</t>
  </si>
  <si>
    <t>Aceh Barat Daya</t>
  </si>
  <si>
    <t>3,92</t>
  </si>
  <si>
    <t>Gayo Lues</t>
  </si>
  <si>
    <t>96,39</t>
  </si>
  <si>
    <t>3,98</t>
  </si>
  <si>
    <t>Aceh Tamiang</t>
  </si>
  <si>
    <t>98,79</t>
  </si>
  <si>
    <t>2,25</t>
  </si>
  <si>
    <t>Nagan Raya</t>
  </si>
  <si>
    <t>7,57</t>
  </si>
  <si>
    <t>Aceh Jaya</t>
  </si>
  <si>
    <t>99,86</t>
  </si>
  <si>
    <t>4,15</t>
  </si>
  <si>
    <t>Bener Meriah</t>
  </si>
  <si>
    <t>98,74</t>
  </si>
  <si>
    <t>5,22</t>
  </si>
  <si>
    <t>Pidie Jaya</t>
  </si>
  <si>
    <t>4,24</t>
  </si>
  <si>
    <t>Kota Banda Aceh</t>
  </si>
  <si>
    <t>Kota</t>
  </si>
  <si>
    <t>5,06</t>
  </si>
  <si>
    <t>Kota Sabang</t>
  </si>
  <si>
    <t>99,06</t>
  </si>
  <si>
    <t>2,96</t>
  </si>
  <si>
    <t>Kota Langsa</t>
  </si>
  <si>
    <t>4,22</t>
  </si>
  <si>
    <t>Kota Lhokseumawe</t>
  </si>
  <si>
    <t>4,21</t>
  </si>
  <si>
    <t>Kota Subulussalam</t>
  </si>
  <si>
    <t>4,06</t>
  </si>
  <si>
    <t>Bali</t>
  </si>
  <si>
    <t>Jembrana</t>
  </si>
  <si>
    <t>3,66</t>
  </si>
  <si>
    <t>Tabanan</t>
  </si>
  <si>
    <t>3,56</t>
  </si>
  <si>
    <t>Badung</t>
  </si>
  <si>
    <t>11,29</t>
  </si>
  <si>
    <t>Gianyar</t>
  </si>
  <si>
    <t>Klungkung</t>
  </si>
  <si>
    <t>4,70</t>
  </si>
  <si>
    <t>Bangli</t>
  </si>
  <si>
    <t>3,50</t>
  </si>
  <si>
    <t>Karangasem</t>
  </si>
  <si>
    <t>99,47</t>
  </si>
  <si>
    <t>3,10</t>
  </si>
  <si>
    <t>Buleleng</t>
  </si>
  <si>
    <t>99,76</t>
  </si>
  <si>
    <t>3,64</t>
  </si>
  <si>
    <t>Kota Denpasar</t>
  </si>
  <si>
    <t>5,69</t>
  </si>
  <si>
    <t>Banten</t>
  </si>
  <si>
    <t>Pandeglang</t>
  </si>
  <si>
    <t>99,82</t>
  </si>
  <si>
    <t>2,53</t>
  </si>
  <si>
    <t>Lebak</t>
  </si>
  <si>
    <t>98,45</t>
  </si>
  <si>
    <t>2,80</t>
  </si>
  <si>
    <t>Tangerang</t>
  </si>
  <si>
    <t>5,18</t>
  </si>
  <si>
    <t>Serang</t>
  </si>
  <si>
    <t>99,95</t>
  </si>
  <si>
    <t>4,80</t>
  </si>
  <si>
    <t>Kota Tangerang</t>
  </si>
  <si>
    <t>99,9</t>
  </si>
  <si>
    <t>5,57</t>
  </si>
  <si>
    <t>Kota Cilegon</t>
  </si>
  <si>
    <t>98,91</t>
  </si>
  <si>
    <t>4,82</t>
  </si>
  <si>
    <t>Kota Serang</t>
  </si>
  <si>
    <t>4,74</t>
  </si>
  <si>
    <t>Kota Tangerang Selatan</t>
  </si>
  <si>
    <t>5,36</t>
  </si>
  <si>
    <t>Bengkulu</t>
  </si>
  <si>
    <t>Bengkulu Selatan</t>
  </si>
  <si>
    <t>99,35</t>
  </si>
  <si>
    <t>3,18</t>
  </si>
  <si>
    <t>Rejang Lebong</t>
  </si>
  <si>
    <t>99,01</t>
  </si>
  <si>
    <t>4,05</t>
  </si>
  <si>
    <t>Bengkulu Utara</t>
  </si>
  <si>
    <t>4,18</t>
  </si>
  <si>
    <t>Kaur</t>
  </si>
  <si>
    <t>98,36</t>
  </si>
  <si>
    <t>3,40</t>
  </si>
  <si>
    <t>Seluma</t>
  </si>
  <si>
    <t>99,13</t>
  </si>
  <si>
    <t>2,61</t>
  </si>
  <si>
    <t>Mukomuko</t>
  </si>
  <si>
    <t>99,52</t>
  </si>
  <si>
    <t>3,69</t>
  </si>
  <si>
    <t>Lebong</t>
  </si>
  <si>
    <t>99,96</t>
  </si>
  <si>
    <t>2,84</t>
  </si>
  <si>
    <t>Kepahiang</t>
  </si>
  <si>
    <t>98,82</t>
  </si>
  <si>
    <t>4,01</t>
  </si>
  <si>
    <t>Bengkulu Tengah</t>
  </si>
  <si>
    <t>99,49</t>
  </si>
  <si>
    <t>3,82</t>
  </si>
  <si>
    <t>Kota Bengkulu</t>
  </si>
  <si>
    <t>5,53</t>
  </si>
  <si>
    <t>DI Yogyakarta</t>
  </si>
  <si>
    <t>Kulon Progo</t>
  </si>
  <si>
    <t>5,65</t>
  </si>
  <si>
    <t>Bantul</t>
  </si>
  <si>
    <t>Gunung Kidul</t>
  </si>
  <si>
    <t>5,04</t>
  </si>
  <si>
    <t>Sleman</t>
  </si>
  <si>
    <t>5,09</t>
  </si>
  <si>
    <t>Kota Yogyakarta</t>
  </si>
  <si>
    <t>5,08</t>
  </si>
  <si>
    <t>DKI Jakarta</t>
  </si>
  <si>
    <t>Kepulauan Seribu</t>
  </si>
  <si>
    <t>-7,85</t>
  </si>
  <si>
    <t>Kota Jakarta Selatan</t>
  </si>
  <si>
    <t>5,32</t>
  </si>
  <si>
    <t>Kota Jakarta Timur</t>
  </si>
  <si>
    <t>5,15</t>
  </si>
  <si>
    <t>Kota Jakarta Pusat</t>
  </si>
  <si>
    <t>99,81</t>
  </si>
  <si>
    <t>5,10</t>
  </si>
  <si>
    <t>Kota Jakarta Barat</t>
  </si>
  <si>
    <t>5,30</t>
  </si>
  <si>
    <t>Kota Jakarta Utara</t>
  </si>
  <si>
    <t>4,16</t>
  </si>
  <si>
    <t>Gorontalo</t>
  </si>
  <si>
    <t>Boalemo</t>
  </si>
  <si>
    <t>4,42</t>
  </si>
  <si>
    <t>97,08</t>
  </si>
  <si>
    <t>4,51</t>
  </si>
  <si>
    <t>Pohuwato</t>
  </si>
  <si>
    <t>4,40</t>
  </si>
  <si>
    <t>Bone Bolango</t>
  </si>
  <si>
    <t>99,29</t>
  </si>
  <si>
    <t>4,47</t>
  </si>
  <si>
    <t>Gorontalo Utara</t>
  </si>
  <si>
    <t>96,66</t>
  </si>
  <si>
    <t>4,31</t>
  </si>
  <si>
    <t>Kota Gorontalo</t>
  </si>
  <si>
    <t>4,52</t>
  </si>
  <si>
    <t>Jambi</t>
  </si>
  <si>
    <t>Kerinci</t>
  </si>
  <si>
    <t>95,86</t>
  </si>
  <si>
    <t>5,73</t>
  </si>
  <si>
    <t>Merangin</t>
  </si>
  <si>
    <t>97,64</t>
  </si>
  <si>
    <t>5,28</t>
  </si>
  <si>
    <t>Sarolangun</t>
  </si>
  <si>
    <t>98,99</t>
  </si>
  <si>
    <t>4,02</t>
  </si>
  <si>
    <t>Batang Hari</t>
  </si>
  <si>
    <t>97,89</t>
  </si>
  <si>
    <t>3,70</t>
  </si>
  <si>
    <t>Muaro Jambi</t>
  </si>
  <si>
    <t>98,51</t>
  </si>
  <si>
    <t>6,28</t>
  </si>
  <si>
    <t>Tanjung Jabung Timur</t>
  </si>
  <si>
    <t>98,66</t>
  </si>
  <si>
    <t>2,17</t>
  </si>
  <si>
    <t>Tanjung Jabung Barat</t>
  </si>
  <si>
    <t>98,14</t>
  </si>
  <si>
    <t>3,51</t>
  </si>
  <si>
    <t>Tebo</t>
  </si>
  <si>
    <t>99,67</t>
  </si>
  <si>
    <t>4,50</t>
  </si>
  <si>
    <t>Bungo</t>
  </si>
  <si>
    <t>99,6</t>
  </si>
  <si>
    <t>4,66</t>
  </si>
  <si>
    <t>Kota Jambi</t>
  </si>
  <si>
    <t>6,61</t>
  </si>
  <si>
    <t>Kota Sungai Penuh</t>
  </si>
  <si>
    <t>4,92</t>
  </si>
  <si>
    <t>Jawa Barat</t>
  </si>
  <si>
    <t>Bogor</t>
  </si>
  <si>
    <t>5,19</t>
  </si>
  <si>
    <t>Sukabumi</t>
  </si>
  <si>
    <t>99,89</t>
  </si>
  <si>
    <t>5,17</t>
  </si>
  <si>
    <t>Cianjur</t>
  </si>
  <si>
    <t>99,79</t>
  </si>
  <si>
    <t>5,16</t>
  </si>
  <si>
    <t>Bandung</t>
  </si>
  <si>
    <t>4,97</t>
  </si>
  <si>
    <t>Garut</t>
  </si>
  <si>
    <t>4,94</t>
  </si>
  <si>
    <t>Tasikmalaya</t>
  </si>
  <si>
    <t>99,84</t>
  </si>
  <si>
    <t>4,69</t>
  </si>
  <si>
    <t>Ciamis</t>
  </si>
  <si>
    <t>99,93</t>
  </si>
  <si>
    <t>4,99</t>
  </si>
  <si>
    <t>Kuningan</t>
  </si>
  <si>
    <t>5,25</t>
  </si>
  <si>
    <t>Cirebon</t>
  </si>
  <si>
    <t>4,85</t>
  </si>
  <si>
    <t>Majalengka</t>
  </si>
  <si>
    <t>6,15</t>
  </si>
  <si>
    <t>Sumedang</t>
  </si>
  <si>
    <t>5,01</t>
  </si>
  <si>
    <t>Indramayu</t>
  </si>
  <si>
    <t>9,76</t>
  </si>
  <si>
    <t>Subang</t>
  </si>
  <si>
    <t>4,64</t>
  </si>
  <si>
    <t>Purwakarta</t>
  </si>
  <si>
    <t>Karawang</t>
  </si>
  <si>
    <t>5,40</t>
  </si>
  <si>
    <t>Bekasi</t>
  </si>
  <si>
    <t>99,59</t>
  </si>
  <si>
    <t>Bandung Barat</t>
  </si>
  <si>
    <t>99,88</t>
  </si>
  <si>
    <t>5,00</t>
  </si>
  <si>
    <t>Pangandaran</t>
  </si>
  <si>
    <t>99,68</t>
  </si>
  <si>
    <t>5,26</t>
  </si>
  <si>
    <t>Kota Bogor</t>
  </si>
  <si>
    <t>Kota Sukabumi</t>
  </si>
  <si>
    <t>5,12</t>
  </si>
  <si>
    <t>Kota Bandung</t>
  </si>
  <si>
    <t>5,07</t>
  </si>
  <si>
    <t>Kota Cirebon</t>
  </si>
  <si>
    <t>Kota Bekasi</t>
  </si>
  <si>
    <t>5,43</t>
  </si>
  <si>
    <t>Kota Depok</t>
  </si>
  <si>
    <t>5,05</t>
  </si>
  <si>
    <t>Kota Cimahi</t>
  </si>
  <si>
    <t>Kota Tasikmalaya</t>
  </si>
  <si>
    <t>5,96</t>
  </si>
  <si>
    <t>Kota Banjar</t>
  </si>
  <si>
    <t>Jawa Tengah</t>
  </si>
  <si>
    <t>Cilacap</t>
  </si>
  <si>
    <t>5,34</t>
  </si>
  <si>
    <t>Banyumas</t>
  </si>
  <si>
    <t>Purbalingga</t>
  </si>
  <si>
    <t>Banjarnegara</t>
  </si>
  <si>
    <t>4,98</t>
  </si>
  <si>
    <t>Kebumen</t>
  </si>
  <si>
    <t>5,66</t>
  </si>
  <si>
    <t>Purworejo</t>
  </si>
  <si>
    <t>Wonosobo</t>
  </si>
  <si>
    <t>4,30</t>
  </si>
  <si>
    <t>Magelang</t>
  </si>
  <si>
    <t>Boyolali</t>
  </si>
  <si>
    <t>99,85</t>
  </si>
  <si>
    <t>5,63</t>
  </si>
  <si>
    <t>Klaten</t>
  </si>
  <si>
    <t>5,70</t>
  </si>
  <si>
    <t>Sukoharjo</t>
  </si>
  <si>
    <t>Wonogiri</t>
  </si>
  <si>
    <t>Karanganyar</t>
  </si>
  <si>
    <t>Sragen</t>
  </si>
  <si>
    <t>5,23</t>
  </si>
  <si>
    <t>Grobogan</t>
  </si>
  <si>
    <t>Blora</t>
  </si>
  <si>
    <t>Rembang</t>
  </si>
  <si>
    <t>5,20</t>
  </si>
  <si>
    <t>Pati</t>
  </si>
  <si>
    <t>5,02</t>
  </si>
  <si>
    <t>Kudus</t>
  </si>
  <si>
    <t>2,19</t>
  </si>
  <si>
    <t>Jepara</t>
  </si>
  <si>
    <t>99,63</t>
  </si>
  <si>
    <t>Demak</t>
  </si>
  <si>
    <t>Semarang</t>
  </si>
  <si>
    <t>Temanggung</t>
  </si>
  <si>
    <t>Kendal</t>
  </si>
  <si>
    <t>99,78</t>
  </si>
  <si>
    <t>5,56</t>
  </si>
  <si>
    <t>Batang</t>
  </si>
  <si>
    <t>Pekalongan</t>
  </si>
  <si>
    <t>5,14</t>
  </si>
  <si>
    <t>Pemalang</t>
  </si>
  <si>
    <t>4,14</t>
  </si>
  <si>
    <t>Tegal</t>
  </si>
  <si>
    <t>4,93</t>
  </si>
  <si>
    <t>Brebes</t>
  </si>
  <si>
    <t>3,74</t>
  </si>
  <si>
    <t>Kota Magelang</t>
  </si>
  <si>
    <t>5,45</t>
  </si>
  <si>
    <t>Kota Surakarta</t>
  </si>
  <si>
    <t>Kota Salatiga</t>
  </si>
  <si>
    <t>Kota Semarang</t>
  </si>
  <si>
    <t>5,79</t>
  </si>
  <si>
    <t>Kota Pekalongan</t>
  </si>
  <si>
    <t>5,44</t>
  </si>
  <si>
    <t>Kota Tegal</t>
  </si>
  <si>
    <t>Jawa Timur</t>
  </si>
  <si>
    <t>Pacitan</t>
  </si>
  <si>
    <t>4,46</t>
  </si>
  <si>
    <t>Ponorogo</t>
  </si>
  <si>
    <t>Trenggalek</t>
  </si>
  <si>
    <t>99,60</t>
  </si>
  <si>
    <t>Tulungagung</t>
  </si>
  <si>
    <t>4,91</t>
  </si>
  <si>
    <t>Blitar</t>
  </si>
  <si>
    <t>4,45</t>
  </si>
  <si>
    <t>Kediri</t>
  </si>
  <si>
    <t>4,53</t>
  </si>
  <si>
    <t>Malang</t>
  </si>
  <si>
    <t>Lumajang</t>
  </si>
  <si>
    <t>Jember</t>
  </si>
  <si>
    <t>Banyuwangi</t>
  </si>
  <si>
    <t>5,03</t>
  </si>
  <si>
    <t>Bondowoso</t>
  </si>
  <si>
    <t>4,62</t>
  </si>
  <si>
    <t>Situbondo</t>
  </si>
  <si>
    <t>4,90</t>
  </si>
  <si>
    <t>Probolinggo</t>
  </si>
  <si>
    <t>99,51</t>
  </si>
  <si>
    <t>4,73</t>
  </si>
  <si>
    <t>Pasuruan</t>
  </si>
  <si>
    <t>5,21</t>
  </si>
  <si>
    <t>Sidoarjo</t>
  </si>
  <si>
    <t>6,16</t>
  </si>
  <si>
    <t>Mojokerto</t>
  </si>
  <si>
    <t>Jombang</t>
  </si>
  <si>
    <t>Nganjuk</t>
  </si>
  <si>
    <t>Madiun</t>
  </si>
  <si>
    <t>Magetan</t>
  </si>
  <si>
    <t>Ngawi</t>
  </si>
  <si>
    <t>4,49</t>
  </si>
  <si>
    <t>Bojonegoro</t>
  </si>
  <si>
    <t>2,47</t>
  </si>
  <si>
    <t>Tuban</t>
  </si>
  <si>
    <t>4,36</t>
  </si>
  <si>
    <t>Lamongan</t>
  </si>
  <si>
    <t>4,28</t>
  </si>
  <si>
    <t>Gresik</t>
  </si>
  <si>
    <t>Bangkalan</t>
  </si>
  <si>
    <t>1,20</t>
  </si>
  <si>
    <t>Sampang</t>
  </si>
  <si>
    <t>2,56</t>
  </si>
  <si>
    <t>Pamekasan</t>
  </si>
  <si>
    <t>4,96</t>
  </si>
  <si>
    <t>Sumenep</t>
  </si>
  <si>
    <t>90,3</t>
  </si>
  <si>
    <t>5,35</t>
  </si>
  <si>
    <t>Kota Kediri</t>
  </si>
  <si>
    <t>1,92</t>
  </si>
  <si>
    <t>Kota Blitar</t>
  </si>
  <si>
    <t>5,29</t>
  </si>
  <si>
    <t>Kota Malang</t>
  </si>
  <si>
    <t>6,07</t>
  </si>
  <si>
    <t>Kota Probolinggo</t>
  </si>
  <si>
    <t>6,04</t>
  </si>
  <si>
    <t>Kota Pasuruan</t>
  </si>
  <si>
    <t>Kota Mojokerto</t>
  </si>
  <si>
    <t>2,79</t>
  </si>
  <si>
    <t>Kota Madiun</t>
  </si>
  <si>
    <t>5,80</t>
  </si>
  <si>
    <t>Kota Surabaya</t>
  </si>
  <si>
    <t>Kota Batu</t>
  </si>
  <si>
    <t>6,19</t>
  </si>
  <si>
    <t>Kalimantan Barat</t>
  </si>
  <si>
    <t>Sambas</t>
  </si>
  <si>
    <t>99,34</t>
  </si>
  <si>
    <t>Bengkayang</t>
  </si>
  <si>
    <t>92,97</t>
  </si>
  <si>
    <t>4,68</t>
  </si>
  <si>
    <t>Landak</t>
  </si>
  <si>
    <t>90,35</t>
  </si>
  <si>
    <t>4,39</t>
  </si>
  <si>
    <t>Mempawah</t>
  </si>
  <si>
    <t>Sanggau</t>
  </si>
  <si>
    <t>90,43</t>
  </si>
  <si>
    <t>2,04</t>
  </si>
  <si>
    <t>Ketapang</t>
  </si>
  <si>
    <t>88,5</t>
  </si>
  <si>
    <t>1,10</t>
  </si>
  <si>
    <t>Sintang</t>
  </si>
  <si>
    <t>71,68</t>
  </si>
  <si>
    <t>Kapuas Hulu</t>
  </si>
  <si>
    <t>89,82</t>
  </si>
  <si>
    <t>Sekadau</t>
  </si>
  <si>
    <t>74,86</t>
  </si>
  <si>
    <t>Melawai</t>
  </si>
  <si>
    <t>84,81</t>
  </si>
  <si>
    <t>4,56</t>
  </si>
  <si>
    <t>Kayong Utara</t>
  </si>
  <si>
    <t>87,86</t>
  </si>
  <si>
    <t>4,48</t>
  </si>
  <si>
    <t>Kubu Raya</t>
  </si>
  <si>
    <t>93,78</t>
  </si>
  <si>
    <t>Kota Pontianak</t>
  </si>
  <si>
    <t>4,76</t>
  </si>
  <si>
    <t>Kota Singkawang</t>
  </si>
  <si>
    <t>99,21</t>
  </si>
  <si>
    <t>Kalimantan Selatan</t>
  </si>
  <si>
    <t>Tanah Laut</t>
  </si>
  <si>
    <t>99,42</t>
  </si>
  <si>
    <t>4,78</t>
  </si>
  <si>
    <t>Kota Baru</t>
  </si>
  <si>
    <t>90,68</t>
  </si>
  <si>
    <t>4,29</t>
  </si>
  <si>
    <t>Banjar</t>
  </si>
  <si>
    <t>4,35</t>
  </si>
  <si>
    <t>Barito Kuala</t>
  </si>
  <si>
    <t>3,91</t>
  </si>
  <si>
    <t>Tapin</t>
  </si>
  <si>
    <t>4,88</t>
  </si>
  <si>
    <t>Hulu Sungai Selatan</t>
  </si>
  <si>
    <t>5,27</t>
  </si>
  <si>
    <t>Hulu Sungai Tengah</t>
  </si>
  <si>
    <t>99,33</t>
  </si>
  <si>
    <t>4,11</t>
  </si>
  <si>
    <t>Hulu Sungai Utara</t>
  </si>
  <si>
    <t>99,53</t>
  </si>
  <si>
    <t>Tabalong</t>
  </si>
  <si>
    <t>Tanah Bumbu</t>
  </si>
  <si>
    <t>4,84</t>
  </si>
  <si>
    <t>Balangan</t>
  </si>
  <si>
    <t>4,17</t>
  </si>
  <si>
    <t>Kota Banjarmasin</t>
  </si>
  <si>
    <t>5,62</t>
  </si>
  <si>
    <t>Kota Banjar Baru</t>
  </si>
  <si>
    <t>6,81</t>
  </si>
  <si>
    <t>Kalimantan Tengah</t>
  </si>
  <si>
    <t>Kotawaringin Barat</t>
  </si>
  <si>
    <t>97,24</t>
  </si>
  <si>
    <t>6,10</t>
  </si>
  <si>
    <t>Kotawaringin Timur</t>
  </si>
  <si>
    <t>83,75</t>
  </si>
  <si>
    <t>1,81</t>
  </si>
  <si>
    <t>Kapuas</t>
  </si>
  <si>
    <t>96,49</t>
  </si>
  <si>
    <t>5,71</t>
  </si>
  <si>
    <t>Barito Selatan</t>
  </si>
  <si>
    <t>85,34</t>
  </si>
  <si>
    <t>3,27</t>
  </si>
  <si>
    <t>Barito Utara</t>
  </si>
  <si>
    <t>91,51</t>
  </si>
  <si>
    <t>5,49</t>
  </si>
  <si>
    <t>Sukamara</t>
  </si>
  <si>
    <t>89,66</t>
  </si>
  <si>
    <t>5,64</t>
  </si>
  <si>
    <t>Lamandau</t>
  </si>
  <si>
    <t>72,29</t>
  </si>
  <si>
    <t>1,59</t>
  </si>
  <si>
    <t>Seruyan</t>
  </si>
  <si>
    <t>71,23</t>
  </si>
  <si>
    <t>4,55</t>
  </si>
  <si>
    <t>Katingan</t>
  </si>
  <si>
    <t>82,63</t>
  </si>
  <si>
    <t>5,98</t>
  </si>
  <si>
    <t>Pulang Pisau</t>
  </si>
  <si>
    <t>95,17</t>
  </si>
  <si>
    <t>Gunung Mas</t>
  </si>
  <si>
    <t>71,42</t>
  </si>
  <si>
    <t>4,25</t>
  </si>
  <si>
    <t>Barito Timur</t>
  </si>
  <si>
    <t>96,57</t>
  </si>
  <si>
    <t>3,47</t>
  </si>
  <si>
    <t>Murung Raya</t>
  </si>
  <si>
    <t>63,75</t>
  </si>
  <si>
    <t>5,46</t>
  </si>
  <si>
    <t>Kota Palangka Raya</t>
  </si>
  <si>
    <t>6,57</t>
  </si>
  <si>
    <t>Kalimantan Timur</t>
  </si>
  <si>
    <t>Paser</t>
  </si>
  <si>
    <t>98,86</t>
  </si>
  <si>
    <t>1,38</t>
  </si>
  <si>
    <t>Kutai Barat</t>
  </si>
  <si>
    <t>91,42</t>
  </si>
  <si>
    <t>5,82</t>
  </si>
  <si>
    <t>Kutai Kertanegara</t>
  </si>
  <si>
    <t>97,79</t>
  </si>
  <si>
    <t>5,13</t>
  </si>
  <si>
    <t>Kutai Timur</t>
  </si>
  <si>
    <t>75,69</t>
  </si>
  <si>
    <t>7,71</t>
  </si>
  <si>
    <t>Berau</t>
  </si>
  <si>
    <t>95,37</t>
  </si>
  <si>
    <t>Penajam Paser Utara</t>
  </si>
  <si>
    <t>99,48</t>
  </si>
  <si>
    <t>29,85</t>
  </si>
  <si>
    <t>Mahakam Ulu</t>
  </si>
  <si>
    <t>72,89</t>
  </si>
  <si>
    <t>Kota Balikpapan</t>
  </si>
  <si>
    <t>99,46</t>
  </si>
  <si>
    <t>6,49</t>
  </si>
  <si>
    <t>Kota Samarinda</t>
  </si>
  <si>
    <t>8,62</t>
  </si>
  <si>
    <t>Kota Bontang</t>
  </si>
  <si>
    <t>97,52</t>
  </si>
  <si>
    <t>Kalimantan Utara</t>
  </si>
  <si>
    <t>Malinau</t>
  </si>
  <si>
    <t>76,24</t>
  </si>
  <si>
    <t>Bulungan</t>
  </si>
  <si>
    <t>97,69</t>
  </si>
  <si>
    <t>4,60</t>
  </si>
  <si>
    <t>Tana Tidung</t>
  </si>
  <si>
    <t>95,23</t>
  </si>
  <si>
    <t>Nunukan</t>
  </si>
  <si>
    <t>96,78</t>
  </si>
  <si>
    <t>Kota Tarakan</t>
  </si>
  <si>
    <t>5,90</t>
  </si>
  <si>
    <t>Kepulauan Bangka Belitung</t>
  </si>
  <si>
    <t>Bangka</t>
  </si>
  <si>
    <t>99,19</t>
  </si>
  <si>
    <t>4,44</t>
  </si>
  <si>
    <t>Belitung</t>
  </si>
  <si>
    <t>5,75</t>
  </si>
  <si>
    <t>Bangka Barat</t>
  </si>
  <si>
    <t>98,38</t>
  </si>
  <si>
    <t>2,50</t>
  </si>
  <si>
    <t>Bangka Tengah</t>
  </si>
  <si>
    <t>Bangka Selatan</t>
  </si>
  <si>
    <t>Belitung Timur</t>
  </si>
  <si>
    <t>99,74</t>
  </si>
  <si>
    <t>4,72</t>
  </si>
  <si>
    <t>Kota Pangkal Pinang</t>
  </si>
  <si>
    <t>Kepulauan Riau</t>
  </si>
  <si>
    <t>Karimun</t>
  </si>
  <si>
    <t>5,50</t>
  </si>
  <si>
    <t>Bintan</t>
  </si>
  <si>
    <t>6,14</t>
  </si>
  <si>
    <t>Natuna</t>
  </si>
  <si>
    <t>99,65</t>
  </si>
  <si>
    <t>0,96</t>
  </si>
  <si>
    <t>Lingga</t>
  </si>
  <si>
    <t>93,05</t>
  </si>
  <si>
    <t>Kepulauan Anambas</t>
  </si>
  <si>
    <t>97,19</t>
  </si>
  <si>
    <t>0,62</t>
  </si>
  <si>
    <t>Kota Batam</t>
  </si>
  <si>
    <t>97,21</t>
  </si>
  <si>
    <t>7,04</t>
  </si>
  <si>
    <t>Kota Tanjung Pinang</t>
  </si>
  <si>
    <t>Lampung</t>
  </si>
  <si>
    <t>Lampung Barat</t>
  </si>
  <si>
    <t>94,52</t>
  </si>
  <si>
    <t>Tanggamus</t>
  </si>
  <si>
    <t>92,06</t>
  </si>
  <si>
    <t>Lampung Selatan</t>
  </si>
  <si>
    <t>Lampung Timur</t>
  </si>
  <si>
    <t>99,31</t>
  </si>
  <si>
    <t>Lampung Tengah</t>
  </si>
  <si>
    <t>98,6</t>
  </si>
  <si>
    <t>Lampung Utara</t>
  </si>
  <si>
    <t>99,05</t>
  </si>
  <si>
    <t>Way Kanan</t>
  </si>
  <si>
    <t>96,91</t>
  </si>
  <si>
    <t>Tulang Bawang</t>
  </si>
  <si>
    <t>96,65</t>
  </si>
  <si>
    <t>Pesawaran</t>
  </si>
  <si>
    <t>98,3</t>
  </si>
  <si>
    <t>Pringsewu</t>
  </si>
  <si>
    <t>99,17</t>
  </si>
  <si>
    <t>Mesuji</t>
  </si>
  <si>
    <t>93,15</t>
  </si>
  <si>
    <t>Tulang Bawang Barat</t>
  </si>
  <si>
    <t>97,93</t>
  </si>
  <si>
    <t>Pesisir Barat</t>
  </si>
  <si>
    <t>92,66</t>
  </si>
  <si>
    <t>3,42</t>
  </si>
  <si>
    <t>Kota Bandar Lampung</t>
  </si>
  <si>
    <t>Kota Metro</t>
  </si>
  <si>
    <t>4,86</t>
  </si>
  <si>
    <t>Maluku</t>
  </si>
  <si>
    <t>Kepulauan Tanimbar</t>
  </si>
  <si>
    <t>91,87</t>
  </si>
  <si>
    <t>4,41</t>
  </si>
  <si>
    <t>Maluku Tenggara</t>
  </si>
  <si>
    <t>97,61</t>
  </si>
  <si>
    <t>Maluku Tengah</t>
  </si>
  <si>
    <t>Buru</t>
  </si>
  <si>
    <t>4,19</t>
  </si>
  <si>
    <t>Kepulauan Aru</t>
  </si>
  <si>
    <t>Seram Bagian Barat</t>
  </si>
  <si>
    <t>96,73</t>
  </si>
  <si>
    <t>4,67</t>
  </si>
  <si>
    <t>Seram Bagian Timur</t>
  </si>
  <si>
    <t>84,87</t>
  </si>
  <si>
    <t>Maluku Barat Daya</t>
  </si>
  <si>
    <t>70,68</t>
  </si>
  <si>
    <t>24,85</t>
  </si>
  <si>
    <t>Buru Selatan</t>
  </si>
  <si>
    <t>83,81</t>
  </si>
  <si>
    <t>4,58</t>
  </si>
  <si>
    <t>Kota Ambon</t>
  </si>
  <si>
    <t>99,72</t>
  </si>
  <si>
    <t>Kota Tual</t>
  </si>
  <si>
    <t>97,3</t>
  </si>
  <si>
    <t>5,81</t>
  </si>
  <si>
    <t>Maluku Utara</t>
  </si>
  <si>
    <t>Halmahera Barat</t>
  </si>
  <si>
    <t>95,96</t>
  </si>
  <si>
    <t>2,05</t>
  </si>
  <si>
    <t>Halmahera Tengah</t>
  </si>
  <si>
    <t>42,41</t>
  </si>
  <si>
    <t>Kepulauan Sula</t>
  </si>
  <si>
    <t>93,34</t>
  </si>
  <si>
    <t>2,57</t>
  </si>
  <si>
    <t>Halmahera Selatan</t>
  </si>
  <si>
    <t>73,85</t>
  </si>
  <si>
    <t>27,78</t>
  </si>
  <si>
    <t>Halmahera Utara</t>
  </si>
  <si>
    <t>98,08</t>
  </si>
  <si>
    <t>0,92</t>
  </si>
  <si>
    <t>Halmahera Timur</t>
  </si>
  <si>
    <t>98,75</t>
  </si>
  <si>
    <t>26,56</t>
  </si>
  <si>
    <t>Pulau Morotai</t>
  </si>
  <si>
    <t>99,77</t>
  </si>
  <si>
    <t>2,48</t>
  </si>
  <si>
    <t>Pulau Taliabu</t>
  </si>
  <si>
    <t>45,94</t>
  </si>
  <si>
    <t>2,60</t>
  </si>
  <si>
    <t>Kota Ternate</t>
  </si>
  <si>
    <t>Kota Tidore Kepulauan</t>
  </si>
  <si>
    <t>99,66</t>
  </si>
  <si>
    <t>Nusa Tenggara Barat</t>
  </si>
  <si>
    <t>Lombok Barat</t>
  </si>
  <si>
    <t>Lombok Tengah</t>
  </si>
  <si>
    <t>99,5</t>
  </si>
  <si>
    <t>5,77</t>
  </si>
  <si>
    <t>Lombok Timur</t>
  </si>
  <si>
    <t>99,39</t>
  </si>
  <si>
    <t>Sumbawa</t>
  </si>
  <si>
    <t>3,61</t>
  </si>
  <si>
    <t>Dompu</t>
  </si>
  <si>
    <t>3,17</t>
  </si>
  <si>
    <t>Bima</t>
  </si>
  <si>
    <t>99,55</t>
  </si>
  <si>
    <t>3,93</t>
  </si>
  <si>
    <t>Sumbawa Barat</t>
  </si>
  <si>
    <t>-10,37</t>
  </si>
  <si>
    <t>Lombok Utara</t>
  </si>
  <si>
    <t>Kota Mataram</t>
  </si>
  <si>
    <t>Kota Bima</t>
  </si>
  <si>
    <t>Nusa Tenggara Timur</t>
  </si>
  <si>
    <t>Sumba Barat</t>
  </si>
  <si>
    <t>70,29</t>
  </si>
  <si>
    <t>Sumba Timur</t>
  </si>
  <si>
    <t>76,78</t>
  </si>
  <si>
    <t>3,12</t>
  </si>
  <si>
    <t>Kupang</t>
  </si>
  <si>
    <t>89,15</t>
  </si>
  <si>
    <t>3,55</t>
  </si>
  <si>
    <t>Timor Tengah Selatan</t>
  </si>
  <si>
    <t>82,04</t>
  </si>
  <si>
    <t>3,21</t>
  </si>
  <si>
    <t>Timor Tengah Utara</t>
  </si>
  <si>
    <t>3,00</t>
  </si>
  <si>
    <t>Belu</t>
  </si>
  <si>
    <t>96,27</t>
  </si>
  <si>
    <t>3,76</t>
  </si>
  <si>
    <t>Alor</t>
  </si>
  <si>
    <t>89,88</t>
  </si>
  <si>
    <t>4,09</t>
  </si>
  <si>
    <t>Lembata</t>
  </si>
  <si>
    <t>97,91</t>
  </si>
  <si>
    <t>2,46</t>
  </si>
  <si>
    <t>Flores Timur</t>
  </si>
  <si>
    <t>98,47</t>
  </si>
  <si>
    <t>3,15</t>
  </si>
  <si>
    <t>Sikka</t>
  </si>
  <si>
    <t>92,44</t>
  </si>
  <si>
    <t>3,77</t>
  </si>
  <si>
    <t>Ende</t>
  </si>
  <si>
    <t>98,87</t>
  </si>
  <si>
    <t>3,87</t>
  </si>
  <si>
    <t>Ngada</t>
  </si>
  <si>
    <t>89,48</t>
  </si>
  <si>
    <t>3,49</t>
  </si>
  <si>
    <t>Manggarai</t>
  </si>
  <si>
    <t>88,48</t>
  </si>
  <si>
    <t>3,79</t>
  </si>
  <si>
    <t>Rote Ndao</t>
  </si>
  <si>
    <t>97,87</t>
  </si>
  <si>
    <t>2,71</t>
  </si>
  <si>
    <t>Manggarai Barat</t>
  </si>
  <si>
    <t>83,56</t>
  </si>
  <si>
    <t>4,77</t>
  </si>
  <si>
    <t>Sumba Tengah</t>
  </si>
  <si>
    <t>57,93</t>
  </si>
  <si>
    <t>2,85</t>
  </si>
  <si>
    <t>Sumba Barat Daya</t>
  </si>
  <si>
    <t>61,93</t>
  </si>
  <si>
    <t>Nagekeo</t>
  </si>
  <si>
    <t>95,51</t>
  </si>
  <si>
    <t>Manggarai Timur</t>
  </si>
  <si>
    <t>69,22</t>
  </si>
  <si>
    <t>Sabu Raijua</t>
  </si>
  <si>
    <t>2,62</t>
  </si>
  <si>
    <t>Malaka</t>
  </si>
  <si>
    <t>93,21</t>
  </si>
  <si>
    <t>Kota Kupang</t>
  </si>
  <si>
    <t>Papua (selatan)</t>
  </si>
  <si>
    <t>Merauke</t>
  </si>
  <si>
    <t>92,85</t>
  </si>
  <si>
    <t>Papua (pegunungan)</t>
  </si>
  <si>
    <t>Jayawijaya</t>
  </si>
  <si>
    <t>65,2</t>
  </si>
  <si>
    <t xml:space="preserve">Papua </t>
  </si>
  <si>
    <t>Jayapura</t>
  </si>
  <si>
    <t>94,91</t>
  </si>
  <si>
    <t>2,40</t>
  </si>
  <si>
    <t>Papua (tengah)</t>
  </si>
  <si>
    <t>Nabire</t>
  </si>
  <si>
    <t>90,79</t>
  </si>
  <si>
    <t>3,78</t>
  </si>
  <si>
    <t>Papua</t>
  </si>
  <si>
    <t>Kepulauan Yapen</t>
  </si>
  <si>
    <t>75,58</t>
  </si>
  <si>
    <t>Biak Namfor</t>
  </si>
  <si>
    <t>99,94</t>
  </si>
  <si>
    <t>3,22</t>
  </si>
  <si>
    <t>Paniai</t>
  </si>
  <si>
    <t>13,44</t>
  </si>
  <si>
    <t>2,42</t>
  </si>
  <si>
    <t>Puncak Jaya</t>
  </si>
  <si>
    <t>11,94</t>
  </si>
  <si>
    <t>1,15</t>
  </si>
  <si>
    <t>Mimika</t>
  </si>
  <si>
    <t>86,43</t>
  </si>
  <si>
    <t>7,90</t>
  </si>
  <si>
    <t>Boven Digoel</t>
  </si>
  <si>
    <t>48,69</t>
  </si>
  <si>
    <t>Mappi</t>
  </si>
  <si>
    <t>36,42</t>
  </si>
  <si>
    <t>Asmat</t>
  </si>
  <si>
    <t>35,85</t>
  </si>
  <si>
    <t>6,06</t>
  </si>
  <si>
    <t>Yahukimo</t>
  </si>
  <si>
    <t>13,56</t>
  </si>
  <si>
    <t>3,19</t>
  </si>
  <si>
    <t>Pegunungan Bintang</t>
  </si>
  <si>
    <t>12,99</t>
  </si>
  <si>
    <t>Tolikara</t>
  </si>
  <si>
    <t>2,37</t>
  </si>
  <si>
    <t>Sarmi</t>
  </si>
  <si>
    <t>87,48</t>
  </si>
  <si>
    <t>3,60</t>
  </si>
  <si>
    <t>Keerom</t>
  </si>
  <si>
    <t>85,76</t>
  </si>
  <si>
    <t>Waropen</t>
  </si>
  <si>
    <t>61,35</t>
  </si>
  <si>
    <t>0,97</t>
  </si>
  <si>
    <t>Supiori</t>
  </si>
  <si>
    <t>62,7</t>
  </si>
  <si>
    <t>1,90</t>
  </si>
  <si>
    <t>Mamberamo Raya</t>
  </si>
  <si>
    <t>2,99</t>
  </si>
  <si>
    <t>Nduga</t>
  </si>
  <si>
    <t>7,74</t>
  </si>
  <si>
    <t>3,97</t>
  </si>
  <si>
    <t>Lanny Jaya</t>
  </si>
  <si>
    <t>3,83</t>
  </si>
  <si>
    <t>Mamberamo Tengah</t>
  </si>
  <si>
    <t>0,07</t>
  </si>
  <si>
    <t>Yalimo</t>
  </si>
  <si>
    <t>Puncak</t>
  </si>
  <si>
    <t>8,47</t>
  </si>
  <si>
    <t>2,34</t>
  </si>
  <si>
    <t>Dogiyai</t>
  </si>
  <si>
    <t>27,9</t>
  </si>
  <si>
    <t>2,91</t>
  </si>
  <si>
    <t>Intan Jaya</t>
  </si>
  <si>
    <t>Deiyai</t>
  </si>
  <si>
    <t>30,46</t>
  </si>
  <si>
    <t>1,99</t>
  </si>
  <si>
    <t>Kota Jayapura</t>
  </si>
  <si>
    <t>Papua Barat</t>
  </si>
  <si>
    <t>Fak-Fak</t>
  </si>
  <si>
    <t>87,08</t>
  </si>
  <si>
    <t>1,63</t>
  </si>
  <si>
    <t>Kaimana</t>
  </si>
  <si>
    <t>72,26</t>
  </si>
  <si>
    <t>3,26</t>
  </si>
  <si>
    <t>Teluk Wondama</t>
  </si>
  <si>
    <t>60,77</t>
  </si>
  <si>
    <t>2,78</t>
  </si>
  <si>
    <t>Teluk Bintuni</t>
  </si>
  <si>
    <t>72,68</t>
  </si>
  <si>
    <t>6,05</t>
  </si>
  <si>
    <t>Manokwari</t>
  </si>
  <si>
    <t>99,23</t>
  </si>
  <si>
    <t>1,06</t>
  </si>
  <si>
    <t>Papua Barat (daya)</t>
  </si>
  <si>
    <t>Sorong Selatan</t>
  </si>
  <si>
    <t>42,32</t>
  </si>
  <si>
    <t>Sorong</t>
  </si>
  <si>
    <t>80,74</t>
  </si>
  <si>
    <t>Raja Ampat</t>
  </si>
  <si>
    <t>48,89</t>
  </si>
  <si>
    <t>1,55</t>
  </si>
  <si>
    <t>Tambrauw</t>
  </si>
  <si>
    <t>79,48</t>
  </si>
  <si>
    <t>4,10</t>
  </si>
  <si>
    <t>Maybrat</t>
  </si>
  <si>
    <t>89,29</t>
  </si>
  <si>
    <t>2,22</t>
  </si>
  <si>
    <t>Manokwari Selatan</t>
  </si>
  <si>
    <t>93,29</t>
  </si>
  <si>
    <t>2,10</t>
  </si>
  <si>
    <t>Pegunungan Arfak</t>
  </si>
  <si>
    <t>30,48</t>
  </si>
  <si>
    <t>0,12</t>
  </si>
  <si>
    <t>Kota Sorong</t>
  </si>
  <si>
    <t>Riau</t>
  </si>
  <si>
    <t>Kuantan Sengingi</t>
  </si>
  <si>
    <t>96,84</t>
  </si>
  <si>
    <t>2,87</t>
  </si>
  <si>
    <t>Indragiri Hulu</t>
  </si>
  <si>
    <t>Indragiri Hilir</t>
  </si>
  <si>
    <t>85,86</t>
  </si>
  <si>
    <t>Pelalawan</t>
  </si>
  <si>
    <t>83,19</t>
  </si>
  <si>
    <t>Siak</t>
  </si>
  <si>
    <t>98,07</t>
  </si>
  <si>
    <t>Kampar</t>
  </si>
  <si>
    <t>96,4</t>
  </si>
  <si>
    <t>Rokan Hulu</t>
  </si>
  <si>
    <t>96,22</t>
  </si>
  <si>
    <t>4,12</t>
  </si>
  <si>
    <t>Bengkalis</t>
  </si>
  <si>
    <t>2,77</t>
  </si>
  <si>
    <t>Rokan Hilir</t>
  </si>
  <si>
    <t>2,83</t>
  </si>
  <si>
    <t>Kepulauan Meranti</t>
  </si>
  <si>
    <t>96,34</t>
  </si>
  <si>
    <t>4,81</t>
  </si>
  <si>
    <t>Kota Pekanbaru</t>
  </si>
  <si>
    <t>Kota Dumai</t>
  </si>
  <si>
    <t>99,18</t>
  </si>
  <si>
    <t>Sulawesi Barat</t>
  </si>
  <si>
    <t>Majene</t>
  </si>
  <si>
    <t>Polewali Mandar</t>
  </si>
  <si>
    <t>99,43</t>
  </si>
  <si>
    <t>Mamasa</t>
  </si>
  <si>
    <t>72,34</t>
  </si>
  <si>
    <t>2,72</t>
  </si>
  <si>
    <t>Mamuju</t>
  </si>
  <si>
    <t>95,56</t>
  </si>
  <si>
    <t>4,37</t>
  </si>
  <si>
    <t>Mamuju Utara</t>
  </si>
  <si>
    <t>95,83</t>
  </si>
  <si>
    <t>6,78</t>
  </si>
  <si>
    <t>Mamuju Tengah</t>
  </si>
  <si>
    <t>96,29</t>
  </si>
  <si>
    <t>Sulawesi Selatan</t>
  </si>
  <si>
    <t>Selayar</t>
  </si>
  <si>
    <t>77,69</t>
  </si>
  <si>
    <t>3,68</t>
  </si>
  <si>
    <t>Bulukumba</t>
  </si>
  <si>
    <t>97,58</t>
  </si>
  <si>
    <t>Bantaeng</t>
  </si>
  <si>
    <t>Jeneponto</t>
  </si>
  <si>
    <t>Takalar</t>
  </si>
  <si>
    <t>3,86</t>
  </si>
  <si>
    <t>Gowa</t>
  </si>
  <si>
    <t>Sinjai</t>
  </si>
  <si>
    <t>94,51</t>
  </si>
  <si>
    <t>Maros</t>
  </si>
  <si>
    <t>Pangkajene dan Kepulauan</t>
  </si>
  <si>
    <t>90,86</t>
  </si>
  <si>
    <t>4,75</t>
  </si>
  <si>
    <t>Barru</t>
  </si>
  <si>
    <t>98,09</t>
  </si>
  <si>
    <t>Bone</t>
  </si>
  <si>
    <t>98,72</t>
  </si>
  <si>
    <t>Soppeng</t>
  </si>
  <si>
    <t>98,85</t>
  </si>
  <si>
    <t>3,33</t>
  </si>
  <si>
    <t>Wajo</t>
  </si>
  <si>
    <t>99,38</t>
  </si>
  <si>
    <t>1,43</t>
  </si>
  <si>
    <t>Sidenreng Rappang</t>
  </si>
  <si>
    <t>3,28</t>
  </si>
  <si>
    <t>Pinrang</t>
  </si>
  <si>
    <t>2,18</t>
  </si>
  <si>
    <t>Enrekang</t>
  </si>
  <si>
    <t>99,75</t>
  </si>
  <si>
    <t>2,33</t>
  </si>
  <si>
    <t>Luwu</t>
  </si>
  <si>
    <t>96,68</t>
  </si>
  <si>
    <t>Tana Toraja</t>
  </si>
  <si>
    <t>92,9</t>
  </si>
  <si>
    <t>Luwu Utara</t>
  </si>
  <si>
    <t>94,4</t>
  </si>
  <si>
    <t>Luwu Timur</t>
  </si>
  <si>
    <t>96,16</t>
  </si>
  <si>
    <t>9,66</t>
  </si>
  <si>
    <t>Toraja Utara</t>
  </si>
  <si>
    <t>3,94</t>
  </si>
  <si>
    <t>Kota Makasar</t>
  </si>
  <si>
    <t>98,34</t>
  </si>
  <si>
    <t>5,31</t>
  </si>
  <si>
    <t>Kota Pare-Pare</t>
  </si>
  <si>
    <t>3,88</t>
  </si>
  <si>
    <t>Kota Palopo</t>
  </si>
  <si>
    <t>4,34</t>
  </si>
  <si>
    <t>Sulawesi Tengah</t>
  </si>
  <si>
    <t>Banggai Kepulauan</t>
  </si>
  <si>
    <t>96,46</t>
  </si>
  <si>
    <t>Banggai</t>
  </si>
  <si>
    <t>96,67</t>
  </si>
  <si>
    <t>Morowali</t>
  </si>
  <si>
    <t>90,01</t>
  </si>
  <si>
    <t>0,34</t>
  </si>
  <si>
    <t>Poso</t>
  </si>
  <si>
    <t>99,69</t>
  </si>
  <si>
    <t>Donggala</t>
  </si>
  <si>
    <t>94,92</t>
  </si>
  <si>
    <t>Toli-Toli</t>
  </si>
  <si>
    <t>98,23</t>
  </si>
  <si>
    <t>Buol</t>
  </si>
  <si>
    <t>3,59</t>
  </si>
  <si>
    <t>Parigi Moutong</t>
  </si>
  <si>
    <t>95,82</t>
  </si>
  <si>
    <t>Tojo Una-Una</t>
  </si>
  <si>
    <t>85,03</t>
  </si>
  <si>
    <t>3,34</t>
  </si>
  <si>
    <t>Sigi</t>
  </si>
  <si>
    <t>93,96</t>
  </si>
  <si>
    <t>3,37</t>
  </si>
  <si>
    <t>Banggai Laut</t>
  </si>
  <si>
    <t>88,06</t>
  </si>
  <si>
    <t>Morowali Utara</t>
  </si>
  <si>
    <t>97,15</t>
  </si>
  <si>
    <t>23,04</t>
  </si>
  <si>
    <t>Kota Palu</t>
  </si>
  <si>
    <t>Sulawesi Tenggara</t>
  </si>
  <si>
    <t>Buton</t>
  </si>
  <si>
    <t>99,09</t>
  </si>
  <si>
    <t>3,03</t>
  </si>
  <si>
    <t>Muna</t>
  </si>
  <si>
    <t>92,55</t>
  </si>
  <si>
    <t>2,06</t>
  </si>
  <si>
    <t>Konawe</t>
  </si>
  <si>
    <t>22,52</t>
  </si>
  <si>
    <t>Kolaka</t>
  </si>
  <si>
    <t>Konawe Selatan</t>
  </si>
  <si>
    <t>95,64</t>
  </si>
  <si>
    <t>Bombana</t>
  </si>
  <si>
    <t>4,26</t>
  </si>
  <si>
    <t>Wakatobi</t>
  </si>
  <si>
    <t>95,9</t>
  </si>
  <si>
    <t>Kolaka Utara</t>
  </si>
  <si>
    <t>96,62</t>
  </si>
  <si>
    <t>3,99</t>
  </si>
  <si>
    <t>Buton Utara</t>
  </si>
  <si>
    <t>96,43</t>
  </si>
  <si>
    <t>Konawe Utara</t>
  </si>
  <si>
    <t>Kolaka Timur</t>
  </si>
  <si>
    <t>2,03</t>
  </si>
  <si>
    <t>Konawe Kepulauan</t>
  </si>
  <si>
    <t>Muna Barat</t>
  </si>
  <si>
    <t>88,46</t>
  </si>
  <si>
    <t>Buton Tengah</t>
  </si>
  <si>
    <t>3,53</t>
  </si>
  <si>
    <t>Buton Selatan</t>
  </si>
  <si>
    <t>92,63</t>
  </si>
  <si>
    <t>2,41</t>
  </si>
  <si>
    <t>Kota Kendari</t>
  </si>
  <si>
    <t>3,29</t>
  </si>
  <si>
    <t>Kota Bau-Bau</t>
  </si>
  <si>
    <t>3,38</t>
  </si>
  <si>
    <t>Sulawesi Utara</t>
  </si>
  <si>
    <t>Bolaang Mongondow</t>
  </si>
  <si>
    <t>99,2</t>
  </si>
  <si>
    <t>Minahasa</t>
  </si>
  <si>
    <t>5,55</t>
  </si>
  <si>
    <t>Kepulauan Sangihe</t>
  </si>
  <si>
    <t>98,05</t>
  </si>
  <si>
    <t>Kepulauan Talaud</t>
  </si>
  <si>
    <t>Minahasa Selatan</t>
  </si>
  <si>
    <t>5,54</t>
  </si>
  <si>
    <t>Minahasa Utara</t>
  </si>
  <si>
    <t>98,12</t>
  </si>
  <si>
    <t>5,41</t>
  </si>
  <si>
    <t>Bolaang Mongondow Utara</t>
  </si>
  <si>
    <t>Kepulauan Siau Tagulandang Biaro</t>
  </si>
  <si>
    <t>95,46</t>
  </si>
  <si>
    <t>Minahasa Tenggara</t>
  </si>
  <si>
    <t>99,61</t>
  </si>
  <si>
    <t>5,38</t>
  </si>
  <si>
    <t>Bolaang Mongondow Selatan</t>
  </si>
  <si>
    <t>5,33</t>
  </si>
  <si>
    <t>Bolaang Mongondow Timur</t>
  </si>
  <si>
    <t>98,2</t>
  </si>
  <si>
    <t>Kota Manado</t>
  </si>
  <si>
    <t>5,52</t>
  </si>
  <si>
    <t>Kota Bitung</t>
  </si>
  <si>
    <t>Kota Tomohon</t>
  </si>
  <si>
    <t>Kota Kotamobago</t>
  </si>
  <si>
    <t>Sumatera Barat</t>
  </si>
  <si>
    <t>Kepulauan Mentawai</t>
  </si>
  <si>
    <t>74,56</t>
  </si>
  <si>
    <t>4,04</t>
  </si>
  <si>
    <t>Pesisir Selatan</t>
  </si>
  <si>
    <t>99,41</t>
  </si>
  <si>
    <t>Solok</t>
  </si>
  <si>
    <t>Sijunjung</t>
  </si>
  <si>
    <t>99,08</t>
  </si>
  <si>
    <t>Tanah Datar</t>
  </si>
  <si>
    <t>Padang Pariaman</t>
  </si>
  <si>
    <t>Agam</t>
  </si>
  <si>
    <t>99,22</t>
  </si>
  <si>
    <t>Limapuluh Koto</t>
  </si>
  <si>
    <t>Pasaman</t>
  </si>
  <si>
    <t>Solok Selatan</t>
  </si>
  <si>
    <t>4,57</t>
  </si>
  <si>
    <t>Dharmas Raya</t>
  </si>
  <si>
    <t>98,06</t>
  </si>
  <si>
    <t>Pasaman Barat</t>
  </si>
  <si>
    <t>4,33</t>
  </si>
  <si>
    <t>Kota Padang</t>
  </si>
  <si>
    <t>4,54</t>
  </si>
  <si>
    <t>Kota Solok</t>
  </si>
  <si>
    <t>Kota Sawah Lunto</t>
  </si>
  <si>
    <t>99,83</t>
  </si>
  <si>
    <t>Kota Padang Panjang</t>
  </si>
  <si>
    <t>Kota Bukittinggi</t>
  </si>
  <si>
    <t>4,79</t>
  </si>
  <si>
    <t>Kota Payakumbuh</t>
  </si>
  <si>
    <t>Kota Pariaman</t>
  </si>
  <si>
    <t>Sumatera Selatan</t>
  </si>
  <si>
    <t>Ogan Komering Ulu</t>
  </si>
  <si>
    <t>99,71</t>
  </si>
  <si>
    <t>5,11</t>
  </si>
  <si>
    <t>Ogan Komering Ilir</t>
  </si>
  <si>
    <t>95,05</t>
  </si>
  <si>
    <t>Muara Enim</t>
  </si>
  <si>
    <t>99,02</t>
  </si>
  <si>
    <t>8,58</t>
  </si>
  <si>
    <t>Lahat</t>
  </si>
  <si>
    <t>6,73</t>
  </si>
  <si>
    <t>Musi Rawas</t>
  </si>
  <si>
    <t>4,03</t>
  </si>
  <si>
    <t>Musi Banyuasin</t>
  </si>
  <si>
    <t>74,24</t>
  </si>
  <si>
    <t>Banyuasin</t>
  </si>
  <si>
    <t>Ogan Komering Ulu Selatan</t>
  </si>
  <si>
    <t>91,36</t>
  </si>
  <si>
    <t>Ogan Komering Ulu Timur</t>
  </si>
  <si>
    <t>Ogan Ilir</t>
  </si>
  <si>
    <t>99,98</t>
  </si>
  <si>
    <t>4,71</t>
  </si>
  <si>
    <t>Empat Lawang</t>
  </si>
  <si>
    <t>Penukal Abab Lematang Ilir</t>
  </si>
  <si>
    <t>Musi Rawas Utara</t>
  </si>
  <si>
    <t>96,87</t>
  </si>
  <si>
    <t>Kota Palembang</t>
  </si>
  <si>
    <t>Kota Prabumulih</t>
  </si>
  <si>
    <t>Kota Pagar Alam</t>
  </si>
  <si>
    <t>99,3</t>
  </si>
  <si>
    <t>Kota Lubuklinggau</t>
  </si>
  <si>
    <t>Sumatera Utara</t>
  </si>
  <si>
    <t>Nias</t>
  </si>
  <si>
    <t>85,41</t>
  </si>
  <si>
    <t>Mandailing Natal</t>
  </si>
  <si>
    <t>97,76</t>
  </si>
  <si>
    <t>Tapanuli Selatan</t>
  </si>
  <si>
    <t>98,53</t>
  </si>
  <si>
    <t>Tapanuli Tengah</t>
  </si>
  <si>
    <t>99,36</t>
  </si>
  <si>
    <t>4,23</t>
  </si>
  <si>
    <t>Tapanuli Utara</t>
  </si>
  <si>
    <t>Toba Samosir</t>
  </si>
  <si>
    <t>Labuhan Batu</t>
  </si>
  <si>
    <t>Asahan</t>
  </si>
  <si>
    <t>4,87</t>
  </si>
  <si>
    <t>Simalungun</t>
  </si>
  <si>
    <t>Dairi</t>
  </si>
  <si>
    <t>99,62</t>
  </si>
  <si>
    <t>Karo</t>
  </si>
  <si>
    <t>Deli Serdang</t>
  </si>
  <si>
    <t>Langkat</t>
  </si>
  <si>
    <t>97,7</t>
  </si>
  <si>
    <t>Nias Selatan</t>
  </si>
  <si>
    <t>87,16</t>
  </si>
  <si>
    <t>3,65</t>
  </si>
  <si>
    <t>Humbang Hasundutan</t>
  </si>
  <si>
    <t>Pakpak Bharat</t>
  </si>
  <si>
    <t>99,26</t>
  </si>
  <si>
    <t>Samosir</t>
  </si>
  <si>
    <t>Serdang Bedagai</t>
  </si>
  <si>
    <t>Batu Bara</t>
  </si>
  <si>
    <t>Padang Lawas Utara</t>
  </si>
  <si>
    <t>Padang Lawas</t>
  </si>
  <si>
    <t>Labuhan Batu Selatan</t>
  </si>
  <si>
    <t>96,56</t>
  </si>
  <si>
    <t>Labuhan Batu Utara</t>
  </si>
  <si>
    <t>Nias Utara</t>
  </si>
  <si>
    <t>90,7</t>
  </si>
  <si>
    <t>Nias Barat</t>
  </si>
  <si>
    <t>92,02</t>
  </si>
  <si>
    <t>3,72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</si>
  <si>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</si>
  <si>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</si>
  <si>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</si>
  <si>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</si>
  <si>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</si>
  <si>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</si>
  <si>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 Sidimpuan</t>
  </si>
  <si>
    <t>Kota Gunungsitoli</t>
  </si>
  <si>
    <t>Rendah</t>
  </si>
  <si>
    <t>Tinggi</t>
  </si>
  <si>
    <t>KELOMPOK IKP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</si>
</sst>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&quot;Aptos Narrow&quot;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right"/>
    </xf>
    <xf numFmtId="0" fontId="4" fillId="0" borderId="0" xfId="0" applyFont="1"/>
    <xf numFmtId="0" fontId="6" fillId="0" borderId="4" xfId="0" applyFont="1" applyBorder="1" applyAlignment="1">
      <alignment horizontal="right"/>
    </xf>
    <xf numFmtId="0" fontId="4" fillId="0" borderId="5" xfId="0" applyFont="1" applyBorder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6" xfId="0" applyFont="1" applyBorder="1"/>
    <xf numFmtId="0" fontId="4" fillId="0" borderId="7" xfId="0" applyFont="1" applyBorder="1"/>
    <xf numFmtId="0" fontId="6" fillId="0" borderId="8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'Copy of Sheet1'!$V$22:$V$27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cat>
          <c:val>
            <c:numRef>
              <c:f>'Copy of Sheet1'!$W$22:$W$27</c:f>
              <c:numCache>
                <c:formatCode>General</c:formatCode>
                <c:ptCount val="6"/>
                <c:pt idx="0">
                  <c:v>83</c:v>
                </c:pt>
                <c:pt idx="1">
                  <c:v>18</c:v>
                </c:pt>
                <c:pt idx="2">
                  <c:v>324</c:v>
                </c:pt>
                <c:pt idx="3">
                  <c:v>39</c:v>
                </c:pt>
                <c:pt idx="4">
                  <c:v>29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A6-4479-A277-F2327402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40773"/>
        <c:axId val="91318658"/>
      </c:barChart>
      <c:catAx>
        <c:axId val="263340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318658"/>
        <c:crosses val="autoZero"/>
        <c:auto val="1"/>
        <c:lblAlgn val="ctr"/>
        <c:lblOffset val="100"/>
        <c:noMultiLvlLbl val="1"/>
      </c:catAx>
      <c:valAx>
        <c:axId val="91318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33407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142875</xdr:colOff>
      <xdr:row>2</xdr:row>
      <xdr:rowOff>152400</xdr:rowOff>
    </xdr:from>
    <xdr:ext cx="5353050" cy="3314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15"/>
  <sheetViews>
    <sheetView tabSelected="1" workbookViewId="0">
      <pane xSplit="2" ySplit="1" topLeftCell="C286" activePane="bottomRight" state="frozen"/>
      <selection pane="topRight" activeCell="C1" sqref="C1"/>
      <selection pane="bottomLeft" activeCell="A2" sqref="A2"/>
      <selection pane="bottomRight" activeCell="F503" sqref="F503"/>
    </sheetView>
  </sheetViews>
  <sheetFormatPr defaultColWidth="12.6328125" defaultRowHeight="15.75" customHeight="1"/>
  <cols>
    <col min="1" max="1" width="21.6328125" customWidth="1"/>
    <col min="2" max="2" width="21.90625" customWidth="1"/>
    <col min="7" max="7" width="11.7265625" customWidth="1"/>
    <col min="9" max="9" width="16.36328125" customWidth="1"/>
    <col min="10" max="10" width="16" customWidth="1"/>
    <col min="11" max="11" width="19.08984375" customWidth="1"/>
    <col min="13" max="13" width="11.7265625" bestFit="1" customWidth="1"/>
    <col min="14" max="14" width="15.90625" bestFit="1" customWidth="1"/>
    <col min="15" max="16" width="5.81640625" bestFit="1" customWidth="1"/>
    <col min="17" max="17" width="4.81640625" bestFit="1" customWidth="1"/>
    <col min="18" max="18" width="5.81640625" bestFit="1" customWidth="1"/>
    <col min="19" max="19" width="4.81640625" bestFit="1" customWidth="1"/>
    <col min="20" max="22" width="5.81640625" bestFit="1" customWidth="1"/>
    <col min="23" max="23" width="2.81640625" bestFit="1" customWidth="1"/>
    <col min="24" max="35" width="5.81640625" bestFit="1" customWidth="1"/>
    <col min="36" max="36" width="4.81640625" bestFit="1" customWidth="1"/>
    <col min="37" max="54" width="5.81640625" bestFit="1" customWidth="1"/>
    <col min="55" max="55" width="4.81640625" bestFit="1" customWidth="1"/>
    <col min="56" max="61" width="5.81640625" bestFit="1" customWidth="1"/>
    <col min="62" max="63" width="4.81640625" bestFit="1" customWidth="1"/>
    <col min="64" max="75" width="5.81640625" bestFit="1" customWidth="1"/>
    <col min="76" max="76" width="4.81640625" bestFit="1" customWidth="1"/>
    <col min="77" max="81" width="5.81640625" bestFit="1" customWidth="1"/>
    <col min="82" max="82" width="4.81640625" bestFit="1" customWidth="1"/>
    <col min="83" max="84" width="5.81640625" bestFit="1" customWidth="1"/>
    <col min="85" max="85" width="4.81640625" bestFit="1" customWidth="1"/>
    <col min="86" max="88" width="5.81640625" bestFit="1" customWidth="1"/>
    <col min="89" max="89" width="4.81640625" bestFit="1" customWidth="1"/>
    <col min="90" max="107" width="5.81640625" bestFit="1" customWidth="1"/>
    <col min="108" max="108" width="4.81640625" bestFit="1" customWidth="1"/>
    <col min="109" max="111" width="5.81640625" bestFit="1" customWidth="1"/>
    <col min="112" max="112" width="4.81640625" bestFit="1" customWidth="1"/>
    <col min="113" max="128" width="5.81640625" bestFit="1" customWidth="1"/>
    <col min="129" max="129" width="2.81640625" bestFit="1" customWidth="1"/>
    <col min="130" max="136" width="5.81640625" bestFit="1" customWidth="1"/>
    <col min="137" max="137" width="4.81640625" bestFit="1" customWidth="1"/>
    <col min="138" max="139" width="5.81640625" bestFit="1" customWidth="1"/>
    <col min="140" max="140" width="4.81640625" bestFit="1" customWidth="1"/>
    <col min="141" max="142" width="5.81640625" bestFit="1" customWidth="1"/>
    <col min="143" max="143" width="4.81640625" bestFit="1" customWidth="1"/>
    <col min="144" max="150" width="5.81640625" bestFit="1" customWidth="1"/>
    <col min="151" max="151" width="4.81640625" bestFit="1" customWidth="1"/>
    <col min="152" max="174" width="5.81640625" bestFit="1" customWidth="1"/>
    <col min="175" max="175" width="2.81640625" bestFit="1" customWidth="1"/>
    <col min="176" max="179" width="5.81640625" bestFit="1" customWidth="1"/>
    <col min="180" max="180" width="4.81640625" bestFit="1" customWidth="1"/>
    <col min="181" max="187" width="5.81640625" bestFit="1" customWidth="1"/>
    <col min="188" max="188" width="4.81640625" bestFit="1" customWidth="1"/>
    <col min="189" max="205" width="5.81640625" bestFit="1" customWidth="1"/>
    <col min="206" max="207" width="4.81640625" bestFit="1" customWidth="1"/>
    <col min="208" max="265" width="5.81640625" bestFit="1" customWidth="1"/>
    <col min="266" max="266" width="4.81640625" bestFit="1" customWidth="1"/>
    <col min="267" max="312" width="5.81640625" bestFit="1" customWidth="1"/>
    <col min="313" max="313" width="4.81640625" bestFit="1" customWidth="1"/>
    <col min="314" max="324" width="5.81640625" bestFit="1" customWidth="1"/>
    <col min="325" max="325" width="4.81640625" bestFit="1" customWidth="1"/>
    <col min="326" max="331" width="5.81640625" bestFit="1" customWidth="1"/>
    <col min="332" max="332" width="4.81640625" bestFit="1" customWidth="1"/>
    <col min="333" max="360" width="5.81640625" bestFit="1" customWidth="1"/>
    <col min="361" max="361" width="4.81640625" bestFit="1" customWidth="1"/>
    <col min="362" max="371" width="5.81640625" bestFit="1" customWidth="1"/>
    <col min="372" max="372" width="4.81640625" bestFit="1" customWidth="1"/>
    <col min="373" max="379" width="5.81640625" bestFit="1" customWidth="1"/>
    <col min="380" max="380" width="2.81640625" bestFit="1" customWidth="1"/>
    <col min="381" max="407" width="5.81640625" bestFit="1" customWidth="1"/>
    <col min="408" max="408" width="4.81640625" bestFit="1" customWidth="1"/>
    <col min="409" max="409" width="5.81640625" bestFit="1" customWidth="1"/>
    <col min="410" max="410" width="4.81640625" bestFit="1" customWidth="1"/>
    <col min="411" max="417" width="5.81640625" bestFit="1" customWidth="1"/>
    <col min="418" max="418" width="4.81640625" bestFit="1" customWidth="1"/>
    <col min="419" max="419" width="5.81640625" bestFit="1" customWidth="1"/>
    <col min="420" max="420" width="2.81640625" bestFit="1" customWidth="1"/>
    <col min="421" max="426" width="5.81640625" bestFit="1" customWidth="1"/>
    <col min="427" max="427" width="4.81640625" bestFit="1" customWidth="1"/>
    <col min="428" max="428" width="5.81640625" bestFit="1" customWidth="1"/>
    <col min="429" max="429" width="4.81640625" bestFit="1" customWidth="1"/>
    <col min="430" max="437" width="5.81640625" bestFit="1" customWidth="1"/>
    <col min="438" max="438" width="4.81640625" bestFit="1" customWidth="1"/>
    <col min="439" max="442" width="5.81640625" bestFit="1" customWidth="1"/>
    <col min="443" max="443" width="4.81640625" bestFit="1" customWidth="1"/>
    <col min="444" max="452" width="5.81640625" bestFit="1" customWidth="1"/>
    <col min="453" max="453" width="4.81640625" bestFit="1" customWidth="1"/>
    <col min="454" max="456" width="5.81640625" bestFit="1" customWidth="1"/>
    <col min="457" max="457" width="4.81640625" bestFit="1" customWidth="1"/>
    <col min="458" max="479" width="5.81640625" bestFit="1" customWidth="1"/>
    <col min="480" max="480" width="2.81640625" bestFit="1" customWidth="1"/>
    <col min="481" max="483" width="5.81640625" bestFit="1" customWidth="1"/>
    <col min="484" max="484" width="4.81640625" bestFit="1" customWidth="1"/>
    <col min="485" max="491" width="5.81640625" bestFit="1" customWidth="1"/>
    <col min="492" max="493" width="4.81640625" bestFit="1" customWidth="1"/>
    <col min="494" max="494" width="11.08984375" bestFit="1" customWidth="1"/>
  </cols>
  <sheetData>
    <row r="1" spans="1:12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3" t="s">
        <v>1142</v>
      </c>
    </row>
    <row r="2" spans="1:12" ht="15.5">
      <c r="A2" s="4" t="s">
        <v>11</v>
      </c>
      <c r="B2" s="5" t="s">
        <v>12</v>
      </c>
      <c r="C2" s="5" t="s">
        <v>13</v>
      </c>
      <c r="D2" s="5">
        <v>2023</v>
      </c>
      <c r="E2" s="5">
        <v>72.510000000000005</v>
      </c>
      <c r="F2" s="5">
        <v>273</v>
      </c>
      <c r="G2" s="5">
        <v>5</v>
      </c>
      <c r="H2" s="6">
        <v>25805.55</v>
      </c>
      <c r="I2" s="6">
        <v>99.87</v>
      </c>
      <c r="J2" s="7">
        <v>4.63</v>
      </c>
      <c r="K2" s="8">
        <v>10.91</v>
      </c>
      <c r="L2" t="s">
        <v>1140</v>
      </c>
    </row>
    <row r="3" spans="1:12" ht="15.5">
      <c r="A3" s="9" t="s">
        <v>11</v>
      </c>
      <c r="B3" s="7" t="s">
        <v>16</v>
      </c>
      <c r="C3" s="7" t="s">
        <v>13</v>
      </c>
      <c r="D3" s="7">
        <v>2023</v>
      </c>
      <c r="E3" s="7">
        <v>47.06</v>
      </c>
      <c r="F3" s="7">
        <v>390</v>
      </c>
      <c r="G3" s="7">
        <v>2</v>
      </c>
      <c r="H3" s="6">
        <v>2775.11</v>
      </c>
      <c r="I3" s="6">
        <v>99.73</v>
      </c>
      <c r="J3" s="7">
        <v>3.52</v>
      </c>
      <c r="K3" s="8">
        <v>7.31</v>
      </c>
      <c r="L3" t="s">
        <v>1140</v>
      </c>
    </row>
    <row r="4" spans="1:12" ht="15.5">
      <c r="A4" s="9" t="s">
        <v>11</v>
      </c>
      <c r="B4" s="7" t="s">
        <v>19</v>
      </c>
      <c r="C4" s="7" t="s">
        <v>13</v>
      </c>
      <c r="D4" s="7">
        <v>2023</v>
      </c>
      <c r="E4" s="7">
        <v>71.11</v>
      </c>
      <c r="F4" s="7">
        <v>287</v>
      </c>
      <c r="G4" s="7">
        <v>5</v>
      </c>
      <c r="H4" s="6">
        <v>49504.18</v>
      </c>
      <c r="I4" s="6">
        <v>100</v>
      </c>
      <c r="J4" s="7">
        <v>4.2</v>
      </c>
      <c r="K4" s="8">
        <v>13.7</v>
      </c>
      <c r="L4" t="s">
        <v>1140</v>
      </c>
    </row>
    <row r="5" spans="1:12" ht="15.5">
      <c r="A5" s="9" t="s">
        <v>11</v>
      </c>
      <c r="B5" s="7" t="s">
        <v>21</v>
      </c>
      <c r="C5" s="7" t="s">
        <v>13</v>
      </c>
      <c r="D5" s="7">
        <v>2023</v>
      </c>
      <c r="E5" s="7">
        <v>78.47</v>
      </c>
      <c r="F5" s="7">
        <v>184</v>
      </c>
      <c r="G5" s="7">
        <v>6</v>
      </c>
      <c r="H5" s="6">
        <v>67761.649999999994</v>
      </c>
      <c r="I5" s="6">
        <v>100</v>
      </c>
      <c r="J5" s="7">
        <v>3.04</v>
      </c>
      <c r="K5" s="8">
        <v>12.97</v>
      </c>
      <c r="L5" t="s">
        <v>1141</v>
      </c>
    </row>
    <row r="6" spans="1:12" ht="15.5">
      <c r="A6" s="9" t="s">
        <v>11</v>
      </c>
      <c r="B6" s="7" t="s">
        <v>23</v>
      </c>
      <c r="C6" s="7" t="s">
        <v>13</v>
      </c>
      <c r="D6" s="7">
        <v>2023</v>
      </c>
      <c r="E6" s="7">
        <v>75.78</v>
      </c>
      <c r="F6" s="7">
        <v>232</v>
      </c>
      <c r="G6" s="7">
        <v>6</v>
      </c>
      <c r="H6" s="6">
        <v>107275.12</v>
      </c>
      <c r="I6" s="6">
        <v>99.37</v>
      </c>
      <c r="J6" s="7">
        <v>2.09</v>
      </c>
      <c r="K6" s="8">
        <v>8.61</v>
      </c>
      <c r="L6" t="s">
        <v>1141</v>
      </c>
    </row>
    <row r="7" spans="1:12" ht="15.5">
      <c r="A7" s="9" t="s">
        <v>11</v>
      </c>
      <c r="B7" s="7" t="s">
        <v>26</v>
      </c>
      <c r="C7" s="7" t="s">
        <v>13</v>
      </c>
      <c r="D7" s="7">
        <v>2023</v>
      </c>
      <c r="E7" s="7">
        <v>65.569999999999993</v>
      </c>
      <c r="F7" s="7">
        <v>327</v>
      </c>
      <c r="G7" s="7">
        <v>4</v>
      </c>
      <c r="H7" s="6">
        <v>14793.04</v>
      </c>
      <c r="I7" s="6">
        <v>99.92</v>
      </c>
      <c r="J7" s="7">
        <v>5.6</v>
      </c>
      <c r="K7" s="8">
        <v>8.61</v>
      </c>
      <c r="L7" t="s">
        <v>1140</v>
      </c>
    </row>
    <row r="8" spans="1:12" ht="15.5">
      <c r="A8" s="9" t="s">
        <v>11</v>
      </c>
      <c r="B8" s="7" t="s">
        <v>29</v>
      </c>
      <c r="C8" s="7" t="s">
        <v>13</v>
      </c>
      <c r="D8" s="7">
        <v>2023</v>
      </c>
      <c r="E8" s="7">
        <v>79.95</v>
      </c>
      <c r="F8" s="7">
        <v>159</v>
      </c>
      <c r="G8" s="7">
        <v>6</v>
      </c>
      <c r="H8" s="6">
        <v>52366.64</v>
      </c>
      <c r="I8" s="6">
        <v>100</v>
      </c>
      <c r="J8" s="7">
        <v>4.08</v>
      </c>
      <c r="K8" s="8">
        <v>6.16</v>
      </c>
      <c r="L8" t="s">
        <v>1141</v>
      </c>
    </row>
    <row r="9" spans="1:12" ht="15.5">
      <c r="A9" s="9" t="s">
        <v>11</v>
      </c>
      <c r="B9" s="7" t="s">
        <v>31</v>
      </c>
      <c r="C9" s="7" t="s">
        <v>13</v>
      </c>
      <c r="D9" s="7">
        <v>2023</v>
      </c>
      <c r="E9" s="7">
        <v>85.62</v>
      </c>
      <c r="F9" s="7">
        <v>43</v>
      </c>
      <c r="G9" s="7">
        <v>6</v>
      </c>
      <c r="H9" s="6">
        <v>155477.39000000001</v>
      </c>
      <c r="I9" s="6">
        <v>99.57</v>
      </c>
      <c r="J9" s="7">
        <v>4.2699999999999996</v>
      </c>
      <c r="K9" s="8">
        <v>8.58</v>
      </c>
      <c r="L9" t="s">
        <v>1141</v>
      </c>
    </row>
    <row r="10" spans="1:12" ht="15.5">
      <c r="A10" s="9" t="s">
        <v>11</v>
      </c>
      <c r="B10" s="7" t="s">
        <v>34</v>
      </c>
      <c r="C10" s="7" t="s">
        <v>13</v>
      </c>
      <c r="D10" s="7">
        <v>2023</v>
      </c>
      <c r="E10" s="7">
        <v>75.69</v>
      </c>
      <c r="F10" s="7">
        <v>234</v>
      </c>
      <c r="G10" s="7">
        <v>6</v>
      </c>
      <c r="H10" s="6">
        <v>220582.38</v>
      </c>
      <c r="I10" s="6">
        <v>99.91</v>
      </c>
      <c r="J10" s="7">
        <v>3.95</v>
      </c>
      <c r="K10" s="8">
        <v>9.1199999999999992</v>
      </c>
      <c r="L10" t="s">
        <v>1141</v>
      </c>
    </row>
    <row r="11" spans="1:12" ht="15.5">
      <c r="A11" s="9" t="s">
        <v>11</v>
      </c>
      <c r="B11" s="7" t="s">
        <v>37</v>
      </c>
      <c r="C11" s="7" t="s">
        <v>13</v>
      </c>
      <c r="D11" s="7">
        <v>2023</v>
      </c>
      <c r="E11" s="7">
        <v>81.34</v>
      </c>
      <c r="F11" s="7">
        <v>135</v>
      </c>
      <c r="G11" s="7">
        <v>6</v>
      </c>
      <c r="H11" s="6">
        <v>131436.31</v>
      </c>
      <c r="I11" s="6">
        <v>99.99</v>
      </c>
      <c r="J11" s="7">
        <v>4.38</v>
      </c>
      <c r="K11" s="8">
        <v>7.62</v>
      </c>
      <c r="L11" t="s">
        <v>1141</v>
      </c>
    </row>
    <row r="12" spans="1:12" ht="15.5">
      <c r="A12" s="9" t="s">
        <v>11</v>
      </c>
      <c r="B12" s="10" t="s">
        <v>40</v>
      </c>
      <c r="C12" s="7" t="s">
        <v>13</v>
      </c>
      <c r="D12" s="7">
        <v>2023</v>
      </c>
      <c r="E12" s="7">
        <v>76.66</v>
      </c>
      <c r="F12" s="7">
        <v>219</v>
      </c>
      <c r="G12" s="7">
        <v>6</v>
      </c>
      <c r="H12" s="6">
        <v>238087.58</v>
      </c>
      <c r="I12" s="6">
        <v>99.7</v>
      </c>
      <c r="J12" s="7">
        <v>0.51</v>
      </c>
      <c r="K12" s="8">
        <v>14.24</v>
      </c>
      <c r="L12" t="s">
        <v>1141</v>
      </c>
    </row>
    <row r="13" spans="1:12" ht="15.5">
      <c r="A13" s="9" t="s">
        <v>11</v>
      </c>
      <c r="B13" s="7" t="s">
        <v>43</v>
      </c>
      <c r="C13" s="7" t="s">
        <v>13</v>
      </c>
      <c r="D13" s="7">
        <v>2023</v>
      </c>
      <c r="E13" s="7">
        <v>76.930000000000007</v>
      </c>
      <c r="F13" s="7">
        <v>211</v>
      </c>
      <c r="G13" s="7">
        <v>6</v>
      </c>
      <c r="H13" s="6">
        <v>54743.27</v>
      </c>
      <c r="I13" s="6">
        <v>100</v>
      </c>
      <c r="J13" s="7">
        <v>3.92</v>
      </c>
      <c r="K13" s="8">
        <v>9.64</v>
      </c>
      <c r="L13" t="s">
        <v>1141</v>
      </c>
    </row>
    <row r="14" spans="1:12" ht="15.5">
      <c r="A14" s="9" t="s">
        <v>11</v>
      </c>
      <c r="B14" s="7" t="s">
        <v>45</v>
      </c>
      <c r="C14" s="7" t="s">
        <v>13</v>
      </c>
      <c r="D14" s="7">
        <v>2023</v>
      </c>
      <c r="E14" s="7">
        <v>75.489999999999995</v>
      </c>
      <c r="F14" s="7">
        <v>238</v>
      </c>
      <c r="G14" s="7">
        <v>5</v>
      </c>
      <c r="H14" s="6">
        <v>24815.72</v>
      </c>
      <c r="I14" s="6">
        <v>96.39</v>
      </c>
      <c r="J14" s="7">
        <v>3.98</v>
      </c>
      <c r="K14" s="8">
        <v>9.18</v>
      </c>
      <c r="L14" t="s">
        <v>1141</v>
      </c>
    </row>
    <row r="15" spans="1:12" ht="15.5">
      <c r="A15" s="9" t="s">
        <v>11</v>
      </c>
      <c r="B15" s="7" t="s">
        <v>48</v>
      </c>
      <c r="C15" s="7" t="s">
        <v>13</v>
      </c>
      <c r="D15" s="7">
        <v>2023</v>
      </c>
      <c r="E15" s="7">
        <v>81.41</v>
      </c>
      <c r="F15" s="7">
        <v>129</v>
      </c>
      <c r="G15" s="7">
        <v>6</v>
      </c>
      <c r="H15" s="6">
        <v>62428.72</v>
      </c>
      <c r="I15" s="6">
        <v>98.79</v>
      </c>
      <c r="J15" s="7">
        <v>2.25</v>
      </c>
      <c r="K15" s="8">
        <v>12.05</v>
      </c>
      <c r="L15" t="s">
        <v>1141</v>
      </c>
    </row>
    <row r="16" spans="1:12" ht="15.5">
      <c r="A16" s="9" t="s">
        <v>11</v>
      </c>
      <c r="B16" s="7" t="s">
        <v>51</v>
      </c>
      <c r="C16" s="7" t="s">
        <v>13</v>
      </c>
      <c r="D16" s="7">
        <v>2023</v>
      </c>
      <c r="E16" s="7">
        <v>76.290000000000006</v>
      </c>
      <c r="F16" s="7">
        <v>226</v>
      </c>
      <c r="G16" s="7">
        <v>6</v>
      </c>
      <c r="H16" s="6">
        <v>42266.15</v>
      </c>
      <c r="I16" s="6">
        <v>99.87</v>
      </c>
      <c r="J16" s="7">
        <v>7.57</v>
      </c>
      <c r="K16" s="8">
        <v>3.43</v>
      </c>
      <c r="L16" t="s">
        <v>1141</v>
      </c>
    </row>
    <row r="17" spans="1:12" ht="15.5">
      <c r="A17" s="9" t="s">
        <v>11</v>
      </c>
      <c r="B17" s="7" t="s">
        <v>53</v>
      </c>
      <c r="C17" s="7" t="s">
        <v>13</v>
      </c>
      <c r="D17" s="7">
        <v>2023</v>
      </c>
      <c r="E17" s="7">
        <v>80.22</v>
      </c>
      <c r="F17" s="7">
        <v>156</v>
      </c>
      <c r="G17" s="7">
        <v>6</v>
      </c>
      <c r="H17" s="6">
        <v>46061.66</v>
      </c>
      <c r="I17" s="6">
        <v>99.86</v>
      </c>
      <c r="J17" s="7">
        <v>4.1500000000000004</v>
      </c>
      <c r="K17" s="8">
        <v>9.44</v>
      </c>
      <c r="L17" t="s">
        <v>1141</v>
      </c>
    </row>
    <row r="18" spans="1:12" ht="15.5">
      <c r="A18" s="9" t="s">
        <v>11</v>
      </c>
      <c r="B18" s="7" t="s">
        <v>56</v>
      </c>
      <c r="C18" s="7" t="s">
        <v>13</v>
      </c>
      <c r="D18" s="7">
        <v>2023</v>
      </c>
      <c r="E18" s="7">
        <v>45.67</v>
      </c>
      <c r="F18" s="7">
        <v>392</v>
      </c>
      <c r="G18" s="7">
        <v>2</v>
      </c>
      <c r="H18" s="6">
        <v>1726.42</v>
      </c>
      <c r="I18" s="6">
        <v>98.74</v>
      </c>
      <c r="J18" s="7">
        <v>5.22</v>
      </c>
      <c r="K18" s="8">
        <v>7.22</v>
      </c>
      <c r="L18" t="s">
        <v>1140</v>
      </c>
    </row>
    <row r="19" spans="1:12" ht="15.5">
      <c r="A19" s="9" t="s">
        <v>11</v>
      </c>
      <c r="B19" s="7" t="s">
        <v>59</v>
      </c>
      <c r="C19" s="7" t="s">
        <v>13</v>
      </c>
      <c r="D19" s="7">
        <v>2023</v>
      </c>
      <c r="E19" s="7">
        <v>77.69</v>
      </c>
      <c r="F19" s="7">
        <v>197</v>
      </c>
      <c r="G19" s="7">
        <v>6</v>
      </c>
      <c r="H19" s="6">
        <v>79480.06</v>
      </c>
      <c r="I19" s="6">
        <v>99.91</v>
      </c>
      <c r="J19" s="7">
        <v>4.24</v>
      </c>
      <c r="K19" s="8">
        <v>9.4700000000000006</v>
      </c>
      <c r="L19" t="s">
        <v>1141</v>
      </c>
    </row>
    <row r="20" spans="1:12" ht="15.5">
      <c r="A20" s="9" t="s">
        <v>11</v>
      </c>
      <c r="B20" s="7" t="s">
        <v>61</v>
      </c>
      <c r="C20" s="7" t="s">
        <v>62</v>
      </c>
      <c r="D20" s="7">
        <v>2023</v>
      </c>
      <c r="E20" s="7">
        <v>86.97</v>
      </c>
      <c r="F20" s="7">
        <v>35</v>
      </c>
      <c r="G20" s="7">
        <v>6</v>
      </c>
      <c r="H20" s="6">
        <v>50.14</v>
      </c>
      <c r="I20" s="6">
        <v>100</v>
      </c>
      <c r="J20" s="7">
        <v>5.0599999999999996</v>
      </c>
      <c r="K20" s="8">
        <v>5.47</v>
      </c>
      <c r="L20" t="s">
        <v>1141</v>
      </c>
    </row>
    <row r="21" spans="1:12" ht="15.5">
      <c r="A21" s="9" t="s">
        <v>11</v>
      </c>
      <c r="B21" s="7" t="s">
        <v>64</v>
      </c>
      <c r="C21" s="7" t="s">
        <v>62</v>
      </c>
      <c r="D21" s="7">
        <v>2023</v>
      </c>
      <c r="E21" s="7">
        <v>73.88</v>
      </c>
      <c r="F21" s="7">
        <v>85</v>
      </c>
      <c r="G21" s="7">
        <v>6</v>
      </c>
      <c r="H21" s="11"/>
      <c r="I21" s="6">
        <v>99.06</v>
      </c>
      <c r="J21" s="7">
        <v>2.96</v>
      </c>
      <c r="K21" s="8">
        <v>9.01</v>
      </c>
      <c r="L21" t="s">
        <v>1140</v>
      </c>
    </row>
    <row r="22" spans="1:12" ht="15.5">
      <c r="A22" s="9" t="s">
        <v>11</v>
      </c>
      <c r="B22" s="7" t="s">
        <v>67</v>
      </c>
      <c r="C22" s="7" t="s">
        <v>62</v>
      </c>
      <c r="D22" s="7">
        <v>2023</v>
      </c>
      <c r="E22" s="7">
        <v>76.95</v>
      </c>
      <c r="F22" s="7">
        <v>77</v>
      </c>
      <c r="G22" s="7">
        <v>6</v>
      </c>
      <c r="H22" s="6">
        <v>7137.31</v>
      </c>
      <c r="I22" s="6">
        <v>100</v>
      </c>
      <c r="J22" s="7">
        <v>4.22</v>
      </c>
      <c r="K22" s="8">
        <v>9.89</v>
      </c>
      <c r="L22" t="s">
        <v>1141</v>
      </c>
    </row>
    <row r="23" spans="1:12" ht="15.5">
      <c r="A23" s="9" t="s">
        <v>11</v>
      </c>
      <c r="B23" s="7" t="s">
        <v>69</v>
      </c>
      <c r="C23" s="7" t="s">
        <v>62</v>
      </c>
      <c r="D23" s="7">
        <v>2023</v>
      </c>
      <c r="E23" s="7">
        <v>80.67</v>
      </c>
      <c r="F23" s="7">
        <v>62</v>
      </c>
      <c r="G23" s="7">
        <v>6</v>
      </c>
      <c r="H23" s="6">
        <v>8796.74</v>
      </c>
      <c r="I23" s="6">
        <v>100</v>
      </c>
      <c r="J23" s="7">
        <v>4.21</v>
      </c>
      <c r="K23" s="8">
        <v>6.09</v>
      </c>
      <c r="L23" t="s">
        <v>1141</v>
      </c>
    </row>
    <row r="24" spans="1:12" ht="15.5">
      <c r="A24" s="12" t="s">
        <v>11</v>
      </c>
      <c r="B24" s="13" t="s">
        <v>71</v>
      </c>
      <c r="C24" s="13" t="s">
        <v>62</v>
      </c>
      <c r="D24" s="13">
        <v>2023</v>
      </c>
      <c r="E24" s="13">
        <v>36.090000000000003</v>
      </c>
      <c r="F24" s="13">
        <v>98</v>
      </c>
      <c r="G24" s="13">
        <v>2</v>
      </c>
      <c r="H24" s="6">
        <v>102.97</v>
      </c>
      <c r="I24" s="6">
        <v>100</v>
      </c>
      <c r="J24" s="13">
        <v>4.0599999999999996</v>
      </c>
      <c r="K24" s="14">
        <v>7.3</v>
      </c>
      <c r="L24" t="s">
        <v>1140</v>
      </c>
    </row>
    <row r="25" spans="1:12" ht="15.5">
      <c r="A25" s="4" t="s">
        <v>73</v>
      </c>
      <c r="B25" s="5" t="s">
        <v>74</v>
      </c>
      <c r="C25" s="5" t="s">
        <v>13</v>
      </c>
      <c r="D25" s="5">
        <v>2023</v>
      </c>
      <c r="E25" s="5">
        <v>86.59</v>
      </c>
      <c r="F25" s="5">
        <v>33</v>
      </c>
      <c r="G25" s="5">
        <v>6</v>
      </c>
      <c r="H25" s="5">
        <v>63854</v>
      </c>
      <c r="I25" s="15">
        <v>100</v>
      </c>
      <c r="J25" s="5">
        <v>3.66</v>
      </c>
      <c r="K25" s="8">
        <v>7.6</v>
      </c>
      <c r="L25" t="s">
        <v>1141</v>
      </c>
    </row>
    <row r="26" spans="1:12" ht="15.5">
      <c r="A26" s="9" t="s">
        <v>73</v>
      </c>
      <c r="B26" s="7" t="s">
        <v>76</v>
      </c>
      <c r="C26" s="7" t="s">
        <v>13</v>
      </c>
      <c r="D26" s="7">
        <v>2023</v>
      </c>
      <c r="E26" s="7">
        <v>90.54</v>
      </c>
      <c r="F26" s="7">
        <v>4</v>
      </c>
      <c r="G26" s="7">
        <v>6</v>
      </c>
      <c r="H26" s="7">
        <v>169512</v>
      </c>
      <c r="I26" s="6">
        <v>100</v>
      </c>
      <c r="J26" s="7">
        <v>3.56</v>
      </c>
      <c r="K26" s="8">
        <v>3.15</v>
      </c>
      <c r="L26" t="s">
        <v>1141</v>
      </c>
    </row>
    <row r="27" spans="1:12" ht="15.5">
      <c r="A27" s="9" t="s">
        <v>73</v>
      </c>
      <c r="B27" s="7" t="s">
        <v>78</v>
      </c>
      <c r="C27" s="7" t="s">
        <v>13</v>
      </c>
      <c r="D27" s="7">
        <v>2023</v>
      </c>
      <c r="E27" s="7">
        <v>91.59</v>
      </c>
      <c r="F27" s="7">
        <v>2</v>
      </c>
      <c r="G27" s="7">
        <v>6</v>
      </c>
      <c r="H27" s="7">
        <v>104711</v>
      </c>
      <c r="I27" s="6">
        <v>100</v>
      </c>
      <c r="J27" s="7">
        <v>11.29</v>
      </c>
      <c r="K27" s="8">
        <v>1.23</v>
      </c>
      <c r="L27" t="s">
        <v>1141</v>
      </c>
    </row>
    <row r="28" spans="1:12" ht="15.5">
      <c r="A28" s="9" t="s">
        <v>73</v>
      </c>
      <c r="B28" s="7" t="s">
        <v>80</v>
      </c>
      <c r="C28" s="7" t="s">
        <v>13</v>
      </c>
      <c r="D28" s="7">
        <v>2023</v>
      </c>
      <c r="E28" s="7">
        <v>92.16</v>
      </c>
      <c r="F28" s="7">
        <v>1</v>
      </c>
      <c r="G28" s="7">
        <v>6</v>
      </c>
      <c r="H28" s="7">
        <v>123420</v>
      </c>
      <c r="I28" s="6">
        <v>100</v>
      </c>
      <c r="J28" s="7">
        <v>5.0599999999999996</v>
      </c>
      <c r="K28" s="8">
        <v>1.66</v>
      </c>
      <c r="L28" t="s">
        <v>1141</v>
      </c>
    </row>
    <row r="29" spans="1:12" ht="15.5">
      <c r="A29" s="9" t="s">
        <v>73</v>
      </c>
      <c r="B29" s="7" t="s">
        <v>81</v>
      </c>
      <c r="C29" s="7" t="s">
        <v>13</v>
      </c>
      <c r="D29" s="7">
        <v>2023</v>
      </c>
      <c r="E29" s="7">
        <v>87.53</v>
      </c>
      <c r="F29" s="7">
        <v>19</v>
      </c>
      <c r="G29" s="7">
        <v>6</v>
      </c>
      <c r="H29" s="7">
        <v>28592</v>
      </c>
      <c r="I29" s="6">
        <v>100</v>
      </c>
      <c r="J29" s="7">
        <v>4.7</v>
      </c>
      <c r="K29" s="8">
        <v>4.9400000000000004</v>
      </c>
      <c r="L29" t="s">
        <v>1141</v>
      </c>
    </row>
    <row r="30" spans="1:12" ht="15.5">
      <c r="A30" s="9" t="s">
        <v>73</v>
      </c>
      <c r="B30" s="7" t="s">
        <v>83</v>
      </c>
      <c r="C30" s="7" t="s">
        <v>13</v>
      </c>
      <c r="D30" s="7">
        <v>2023</v>
      </c>
      <c r="E30" s="7">
        <v>77.349999999999994</v>
      </c>
      <c r="F30" s="7">
        <v>202</v>
      </c>
      <c r="G30" s="7">
        <v>6</v>
      </c>
      <c r="H30" s="7">
        <v>20576</v>
      </c>
      <c r="I30" s="6">
        <v>100</v>
      </c>
      <c r="J30" s="7">
        <v>3.5</v>
      </c>
      <c r="K30" s="8">
        <v>3.71</v>
      </c>
      <c r="L30" t="s">
        <v>1141</v>
      </c>
    </row>
    <row r="31" spans="1:12" ht="15.5">
      <c r="A31" s="9" t="s">
        <v>73</v>
      </c>
      <c r="B31" s="7" t="s">
        <v>85</v>
      </c>
      <c r="C31" s="7" t="s">
        <v>13</v>
      </c>
      <c r="D31" s="7">
        <v>2023</v>
      </c>
      <c r="E31" s="7">
        <v>85.28</v>
      </c>
      <c r="F31" s="7">
        <v>57</v>
      </c>
      <c r="G31" s="7">
        <v>6</v>
      </c>
      <c r="H31" s="7">
        <v>47628</v>
      </c>
      <c r="I31" s="6">
        <v>99.47</v>
      </c>
      <c r="J31" s="7">
        <v>3.1</v>
      </c>
      <c r="K31" s="8">
        <v>8.43</v>
      </c>
      <c r="L31" t="s">
        <v>1141</v>
      </c>
    </row>
    <row r="32" spans="1:12" ht="15.5">
      <c r="A32" s="9" t="s">
        <v>73</v>
      </c>
      <c r="B32" s="7" t="s">
        <v>88</v>
      </c>
      <c r="C32" s="7" t="s">
        <v>13</v>
      </c>
      <c r="D32" s="7">
        <v>2023</v>
      </c>
      <c r="E32" s="7">
        <v>82.02</v>
      </c>
      <c r="F32" s="7">
        <v>118</v>
      </c>
      <c r="G32" s="7">
        <v>6</v>
      </c>
      <c r="H32" s="7">
        <v>91383</v>
      </c>
      <c r="I32" s="6">
        <v>99.76</v>
      </c>
      <c r="J32" s="7">
        <v>3.64</v>
      </c>
      <c r="K32" s="8">
        <v>7.64</v>
      </c>
      <c r="L32" t="s">
        <v>1141</v>
      </c>
    </row>
    <row r="33" spans="1:12" ht="15.5">
      <c r="A33" s="12" t="s">
        <v>73</v>
      </c>
      <c r="B33" s="13" t="s">
        <v>91</v>
      </c>
      <c r="C33" s="13" t="s">
        <v>62</v>
      </c>
      <c r="D33" s="13">
        <v>2023</v>
      </c>
      <c r="E33" s="13">
        <v>95.8</v>
      </c>
      <c r="F33" s="13">
        <v>1</v>
      </c>
      <c r="G33" s="13">
        <v>6</v>
      </c>
      <c r="H33" s="13">
        <v>23904</v>
      </c>
      <c r="I33" s="16">
        <v>100</v>
      </c>
      <c r="J33" s="13">
        <v>5.69</v>
      </c>
      <c r="K33" s="14">
        <v>1.7</v>
      </c>
      <c r="L33" t="s">
        <v>1141</v>
      </c>
    </row>
    <row r="34" spans="1:12" ht="15.5">
      <c r="A34" s="4" t="s">
        <v>93</v>
      </c>
      <c r="B34" s="5" t="s">
        <v>94</v>
      </c>
      <c r="C34" s="5" t="s">
        <v>13</v>
      </c>
      <c r="D34" s="5">
        <v>2023</v>
      </c>
      <c r="E34" s="5">
        <v>74.87</v>
      </c>
      <c r="F34" s="5">
        <v>243</v>
      </c>
      <c r="G34" s="5">
        <v>5</v>
      </c>
      <c r="H34" s="5">
        <v>486988.28</v>
      </c>
      <c r="I34" s="6">
        <v>99.82</v>
      </c>
      <c r="J34" s="5">
        <v>2.5299999999999998</v>
      </c>
      <c r="K34" s="8">
        <v>4.6900000000000004</v>
      </c>
      <c r="L34" t="s">
        <v>1141</v>
      </c>
    </row>
    <row r="35" spans="1:12" ht="15.5">
      <c r="A35" s="9" t="s">
        <v>93</v>
      </c>
      <c r="B35" s="7" t="s">
        <v>97</v>
      </c>
      <c r="C35" s="7" t="s">
        <v>13</v>
      </c>
      <c r="D35" s="7">
        <v>2023</v>
      </c>
      <c r="E35" s="7">
        <v>72.319999999999993</v>
      </c>
      <c r="F35" s="7">
        <v>274</v>
      </c>
      <c r="G35" s="7">
        <v>5</v>
      </c>
      <c r="H35" s="7">
        <v>401429.46</v>
      </c>
      <c r="I35" s="6">
        <v>98.45</v>
      </c>
      <c r="J35" s="7">
        <v>2.8</v>
      </c>
      <c r="K35" s="8">
        <v>4.82</v>
      </c>
      <c r="L35" t="s">
        <v>1140</v>
      </c>
    </row>
    <row r="36" spans="1:12" ht="15.5">
      <c r="A36" s="9" t="s">
        <v>93</v>
      </c>
      <c r="B36" s="7" t="s">
        <v>100</v>
      </c>
      <c r="C36" s="7" t="s">
        <v>13</v>
      </c>
      <c r="D36" s="7">
        <v>2023</v>
      </c>
      <c r="E36" s="7">
        <v>76.489999999999995</v>
      </c>
      <c r="F36" s="7">
        <v>223</v>
      </c>
      <c r="G36" s="7">
        <v>6</v>
      </c>
      <c r="H36" s="7">
        <v>286244.56</v>
      </c>
      <c r="I36" s="6">
        <v>99.76</v>
      </c>
      <c r="J36" s="7">
        <v>5.18</v>
      </c>
      <c r="K36" s="8">
        <v>2.59</v>
      </c>
      <c r="L36" t="s">
        <v>1141</v>
      </c>
    </row>
    <row r="37" spans="1:12" ht="15.5">
      <c r="A37" s="9" t="s">
        <v>93</v>
      </c>
      <c r="B37" s="7" t="s">
        <v>102</v>
      </c>
      <c r="C37" s="7" t="s">
        <v>13</v>
      </c>
      <c r="D37" s="7">
        <v>2023</v>
      </c>
      <c r="E37" s="7">
        <v>79.260000000000005</v>
      </c>
      <c r="F37" s="7">
        <v>172</v>
      </c>
      <c r="G37" s="7">
        <v>6</v>
      </c>
      <c r="H37" s="7">
        <v>434244.6</v>
      </c>
      <c r="I37" s="6">
        <v>99.95</v>
      </c>
      <c r="J37" s="7">
        <v>4.8</v>
      </c>
      <c r="K37" s="8">
        <v>3.23</v>
      </c>
      <c r="L37" t="s">
        <v>1141</v>
      </c>
    </row>
    <row r="38" spans="1:12" ht="15.5">
      <c r="A38" s="9" t="s">
        <v>93</v>
      </c>
      <c r="B38" s="7" t="s">
        <v>105</v>
      </c>
      <c r="C38" s="7" t="s">
        <v>62</v>
      </c>
      <c r="D38" s="7">
        <v>2023</v>
      </c>
      <c r="E38" s="7">
        <v>86.39</v>
      </c>
      <c r="F38" s="7">
        <v>36</v>
      </c>
      <c r="G38" s="7">
        <v>6</v>
      </c>
      <c r="H38" s="7">
        <v>3031.77</v>
      </c>
      <c r="I38" s="6">
        <v>99.9</v>
      </c>
      <c r="J38" s="7">
        <v>5.57</v>
      </c>
      <c r="K38" s="8">
        <v>1.58</v>
      </c>
      <c r="L38" t="s">
        <v>1141</v>
      </c>
    </row>
    <row r="39" spans="1:12" ht="15.5">
      <c r="A39" s="9" t="s">
        <v>93</v>
      </c>
      <c r="B39" s="7" t="s">
        <v>108</v>
      </c>
      <c r="C39" s="7" t="s">
        <v>62</v>
      </c>
      <c r="D39" s="7">
        <v>2023</v>
      </c>
      <c r="E39" s="7">
        <v>81.540000000000006</v>
      </c>
      <c r="F39" s="7">
        <v>59</v>
      </c>
      <c r="G39" s="7">
        <v>6</v>
      </c>
      <c r="H39" s="7">
        <v>8576.48</v>
      </c>
      <c r="I39" s="6">
        <v>98.91</v>
      </c>
      <c r="J39" s="7">
        <v>4.82</v>
      </c>
      <c r="K39" s="8">
        <v>2.19</v>
      </c>
      <c r="L39" t="s">
        <v>1141</v>
      </c>
    </row>
    <row r="40" spans="1:12" ht="15.5">
      <c r="A40" s="9" t="s">
        <v>93</v>
      </c>
      <c r="B40" s="7" t="s">
        <v>111</v>
      </c>
      <c r="C40" s="7" t="s">
        <v>62</v>
      </c>
      <c r="D40" s="7">
        <v>2023</v>
      </c>
      <c r="E40" s="7">
        <v>71.42</v>
      </c>
      <c r="F40" s="7">
        <v>87</v>
      </c>
      <c r="G40" s="7">
        <v>6</v>
      </c>
      <c r="H40" s="7">
        <v>58250.44</v>
      </c>
      <c r="I40" s="6">
        <v>100</v>
      </c>
      <c r="J40" s="7">
        <v>4.74</v>
      </c>
      <c r="K40" s="8">
        <v>2.2999999999999998</v>
      </c>
      <c r="L40" t="s">
        <v>1140</v>
      </c>
    </row>
    <row r="41" spans="1:12" ht="15.5">
      <c r="A41" s="12" t="s">
        <v>93</v>
      </c>
      <c r="B41" s="13" t="s">
        <v>113</v>
      </c>
      <c r="C41" s="13" t="s">
        <v>62</v>
      </c>
      <c r="D41" s="13">
        <v>2023</v>
      </c>
      <c r="E41" s="13">
        <v>87.43</v>
      </c>
      <c r="F41" s="13">
        <v>30</v>
      </c>
      <c r="G41" s="13">
        <v>6</v>
      </c>
      <c r="H41" s="13"/>
      <c r="I41" s="16">
        <v>99.87</v>
      </c>
      <c r="J41" s="13">
        <v>5.36</v>
      </c>
      <c r="K41" s="14">
        <v>1.92</v>
      </c>
      <c r="L41" t="s">
        <v>1141</v>
      </c>
    </row>
    <row r="42" spans="1:12" ht="15.5">
      <c r="A42" s="4" t="s">
        <v>115</v>
      </c>
      <c r="B42" s="5" t="s">
        <v>116</v>
      </c>
      <c r="C42" s="5" t="s">
        <v>13</v>
      </c>
      <c r="D42" s="5">
        <v>2023</v>
      </c>
      <c r="E42" s="5">
        <v>74.63</v>
      </c>
      <c r="F42" s="5">
        <v>245</v>
      </c>
      <c r="G42" s="5">
        <v>5</v>
      </c>
      <c r="H42" s="5">
        <v>50248.79</v>
      </c>
      <c r="I42" s="6">
        <v>99.35</v>
      </c>
      <c r="J42" s="5">
        <v>3.18</v>
      </c>
      <c r="K42" s="8">
        <v>9.16</v>
      </c>
      <c r="L42" t="s">
        <v>1141</v>
      </c>
    </row>
    <row r="43" spans="1:12" ht="15.5">
      <c r="A43" s="9" t="s">
        <v>115</v>
      </c>
      <c r="B43" s="7" t="s">
        <v>119</v>
      </c>
      <c r="C43" s="7" t="s">
        <v>13</v>
      </c>
      <c r="D43" s="7">
        <v>2023</v>
      </c>
      <c r="E43" s="7">
        <v>72.67</v>
      </c>
      <c r="F43" s="7">
        <v>271</v>
      </c>
      <c r="G43" s="7">
        <v>5</v>
      </c>
      <c r="H43" s="7">
        <v>36888.769999999997</v>
      </c>
      <c r="I43" s="6">
        <v>99.01</v>
      </c>
      <c r="J43" s="7">
        <v>4.05</v>
      </c>
      <c r="K43" s="8">
        <v>11.66</v>
      </c>
      <c r="L43" t="s">
        <v>1140</v>
      </c>
    </row>
    <row r="44" spans="1:12" ht="15.5">
      <c r="A44" s="9" t="s">
        <v>115</v>
      </c>
      <c r="B44" s="7" t="s">
        <v>122</v>
      </c>
      <c r="C44" s="7" t="s">
        <v>13</v>
      </c>
      <c r="D44" s="7">
        <v>2023</v>
      </c>
      <c r="E44" s="7">
        <v>70.739999999999995</v>
      </c>
      <c r="F44" s="7">
        <v>291</v>
      </c>
      <c r="G44" s="7">
        <v>5</v>
      </c>
      <c r="H44" s="7">
        <v>19184.36</v>
      </c>
      <c r="I44" s="6">
        <v>100</v>
      </c>
      <c r="J44" s="7">
        <v>4.18</v>
      </c>
      <c r="K44" s="8">
        <v>7.49</v>
      </c>
      <c r="L44" t="s">
        <v>1140</v>
      </c>
    </row>
    <row r="45" spans="1:12" ht="15.5">
      <c r="A45" s="9" t="s">
        <v>115</v>
      </c>
      <c r="B45" s="7" t="s">
        <v>124</v>
      </c>
      <c r="C45" s="7" t="s">
        <v>13</v>
      </c>
      <c r="D45" s="7">
        <v>2023</v>
      </c>
      <c r="E45" s="7">
        <v>73.900000000000006</v>
      </c>
      <c r="F45" s="7">
        <v>255</v>
      </c>
      <c r="G45" s="7">
        <v>5</v>
      </c>
      <c r="H45" s="7">
        <v>26239.3</v>
      </c>
      <c r="I45" s="6">
        <v>98.36</v>
      </c>
      <c r="J45" s="7">
        <v>3.4</v>
      </c>
      <c r="K45" s="8">
        <v>9.52</v>
      </c>
      <c r="L45" t="s">
        <v>1140</v>
      </c>
    </row>
    <row r="46" spans="1:12" ht="15.5">
      <c r="A46" s="9" t="s">
        <v>115</v>
      </c>
      <c r="B46" s="7" t="s">
        <v>127</v>
      </c>
      <c r="C46" s="7" t="s">
        <v>13</v>
      </c>
      <c r="D46" s="7">
        <v>2023</v>
      </c>
      <c r="E46" s="7">
        <v>71.64</v>
      </c>
      <c r="F46" s="7">
        <v>282</v>
      </c>
      <c r="G46" s="7">
        <v>5</v>
      </c>
      <c r="H46" s="7">
        <v>43233.52</v>
      </c>
      <c r="I46" s="6">
        <v>99.13</v>
      </c>
      <c r="J46" s="7">
        <v>2.61</v>
      </c>
      <c r="K46" s="8">
        <v>9.06</v>
      </c>
      <c r="L46" t="s">
        <v>1140</v>
      </c>
    </row>
    <row r="47" spans="1:12" ht="15.5">
      <c r="A47" s="9" t="s">
        <v>115</v>
      </c>
      <c r="B47" s="7" t="s">
        <v>130</v>
      </c>
      <c r="C47" s="7" t="s">
        <v>13</v>
      </c>
      <c r="D47" s="7">
        <v>2023</v>
      </c>
      <c r="E47" s="7">
        <v>76.63</v>
      </c>
      <c r="F47" s="7">
        <v>221</v>
      </c>
      <c r="G47" s="7">
        <v>6</v>
      </c>
      <c r="H47" s="7">
        <v>26983.74</v>
      </c>
      <c r="I47" s="6">
        <v>99.52</v>
      </c>
      <c r="J47" s="7">
        <v>3.69</v>
      </c>
      <c r="K47" s="8">
        <v>4.8600000000000003</v>
      </c>
      <c r="L47" t="s">
        <v>1141</v>
      </c>
    </row>
    <row r="48" spans="1:12" ht="15.5">
      <c r="A48" s="9" t="s">
        <v>115</v>
      </c>
      <c r="B48" s="7" t="s">
        <v>133</v>
      </c>
      <c r="C48" s="7" t="s">
        <v>13</v>
      </c>
      <c r="D48" s="7">
        <v>2023</v>
      </c>
      <c r="E48" s="7">
        <v>75.84</v>
      </c>
      <c r="F48" s="7">
        <v>231</v>
      </c>
      <c r="G48" s="7">
        <v>6</v>
      </c>
      <c r="H48" s="7">
        <v>45412.56</v>
      </c>
      <c r="I48" s="6">
        <v>99.96</v>
      </c>
      <c r="J48" s="7">
        <v>2.84</v>
      </c>
      <c r="K48" s="8">
        <v>9.94</v>
      </c>
      <c r="L48" t="s">
        <v>1141</v>
      </c>
    </row>
    <row r="49" spans="1:12" ht="15.5">
      <c r="A49" s="9" t="s">
        <v>115</v>
      </c>
      <c r="B49" s="7" t="s">
        <v>136</v>
      </c>
      <c r="C49" s="7" t="s">
        <v>13</v>
      </c>
      <c r="D49" s="7">
        <v>2023</v>
      </c>
      <c r="E49" s="7">
        <v>69.41</v>
      </c>
      <c r="F49" s="7">
        <v>305</v>
      </c>
      <c r="G49" s="7">
        <v>5</v>
      </c>
      <c r="H49" s="7">
        <v>19066.43</v>
      </c>
      <c r="I49" s="6">
        <v>98.82</v>
      </c>
      <c r="J49" s="7">
        <v>4.01</v>
      </c>
      <c r="K49" s="8">
        <v>13.17</v>
      </c>
      <c r="L49" t="s">
        <v>1140</v>
      </c>
    </row>
    <row r="50" spans="1:12" ht="15.5">
      <c r="A50" s="9" t="s">
        <v>115</v>
      </c>
      <c r="B50" s="7" t="s">
        <v>139</v>
      </c>
      <c r="C50" s="7" t="s">
        <v>13</v>
      </c>
      <c r="D50" s="7">
        <v>2023</v>
      </c>
      <c r="E50" s="7">
        <v>61.54</v>
      </c>
      <c r="F50" s="7">
        <v>342</v>
      </c>
      <c r="G50" s="7">
        <v>4</v>
      </c>
      <c r="H50" s="7">
        <v>4817.8900000000003</v>
      </c>
      <c r="I50" s="6">
        <v>99.49</v>
      </c>
      <c r="J50" s="7">
        <v>3.82</v>
      </c>
      <c r="K50" s="8">
        <v>7.89</v>
      </c>
      <c r="L50" t="s">
        <v>1140</v>
      </c>
    </row>
    <row r="51" spans="1:12" ht="15.5">
      <c r="A51" s="12" t="s">
        <v>115</v>
      </c>
      <c r="B51" s="13" t="s">
        <v>142</v>
      </c>
      <c r="C51" s="13" t="s">
        <v>62</v>
      </c>
      <c r="D51" s="13">
        <v>2023</v>
      </c>
      <c r="E51" s="13">
        <v>75.680000000000007</v>
      </c>
      <c r="F51" s="13">
        <v>82</v>
      </c>
      <c r="G51" s="13">
        <v>6</v>
      </c>
      <c r="H51" s="13">
        <v>5234.6499999999996</v>
      </c>
      <c r="I51" s="16">
        <v>99.95</v>
      </c>
      <c r="J51" s="13">
        <v>5.53</v>
      </c>
      <c r="K51" s="14">
        <v>9.81</v>
      </c>
      <c r="L51" t="s">
        <v>1141</v>
      </c>
    </row>
    <row r="52" spans="1:12" ht="15.5">
      <c r="A52" s="4" t="s">
        <v>144</v>
      </c>
      <c r="B52" s="5" t="s">
        <v>145</v>
      </c>
      <c r="C52" s="5" t="s">
        <v>13</v>
      </c>
      <c r="D52" s="5">
        <v>2023</v>
      </c>
      <c r="E52" s="5">
        <v>85.54</v>
      </c>
      <c r="F52" s="5">
        <v>46</v>
      </c>
      <c r="G52" s="5">
        <v>6</v>
      </c>
      <c r="H52" s="5">
        <v>102615.55</v>
      </c>
      <c r="I52" s="6">
        <v>100</v>
      </c>
      <c r="J52" s="5">
        <v>5.65</v>
      </c>
      <c r="K52" s="8">
        <v>13.44</v>
      </c>
      <c r="L52" t="s">
        <v>1141</v>
      </c>
    </row>
    <row r="53" spans="1:12" ht="15.5">
      <c r="A53" s="9" t="s">
        <v>144</v>
      </c>
      <c r="B53" s="7" t="s">
        <v>147</v>
      </c>
      <c r="C53" s="7" t="s">
        <v>13</v>
      </c>
      <c r="D53" s="7">
        <v>2023</v>
      </c>
      <c r="E53" s="7">
        <v>82.07</v>
      </c>
      <c r="F53" s="7">
        <v>116</v>
      </c>
      <c r="G53" s="7">
        <v>6</v>
      </c>
      <c r="H53" s="7">
        <v>123334.35</v>
      </c>
      <c r="I53" s="6">
        <v>100</v>
      </c>
      <c r="J53" s="7">
        <v>5.0599999999999996</v>
      </c>
      <c r="K53" s="8">
        <v>9.75</v>
      </c>
      <c r="L53" t="s">
        <v>1141</v>
      </c>
    </row>
    <row r="54" spans="1:12" ht="15.5">
      <c r="A54" s="9" t="s">
        <v>144</v>
      </c>
      <c r="B54" s="7" t="s">
        <v>148</v>
      </c>
      <c r="C54" s="7" t="s">
        <v>13</v>
      </c>
      <c r="D54" s="7">
        <v>2023</v>
      </c>
      <c r="E54" s="7">
        <v>81.98</v>
      </c>
      <c r="F54" s="7">
        <v>119</v>
      </c>
      <c r="G54" s="7">
        <v>6</v>
      </c>
      <c r="H54" s="7">
        <v>191652.15</v>
      </c>
      <c r="I54" s="6">
        <v>100</v>
      </c>
      <c r="J54" s="7">
        <v>5.04</v>
      </c>
      <c r="K54" s="8">
        <v>14.67</v>
      </c>
      <c r="L54" t="s">
        <v>1141</v>
      </c>
    </row>
    <row r="55" spans="1:12" ht="15.5">
      <c r="A55" s="9" t="s">
        <v>144</v>
      </c>
      <c r="B55" s="7" t="s">
        <v>150</v>
      </c>
      <c r="C55" s="7" t="s">
        <v>13</v>
      </c>
      <c r="D55" s="7">
        <v>2023</v>
      </c>
      <c r="E55" s="7">
        <v>83.16</v>
      </c>
      <c r="F55" s="7">
        <v>94</v>
      </c>
      <c r="G55" s="7">
        <v>6</v>
      </c>
      <c r="H55" s="7">
        <v>115162.23</v>
      </c>
      <c r="I55" s="6">
        <v>100</v>
      </c>
      <c r="J55" s="7">
        <v>5.09</v>
      </c>
      <c r="K55" s="8">
        <v>6.64</v>
      </c>
      <c r="L55" t="s">
        <v>1141</v>
      </c>
    </row>
    <row r="56" spans="1:12" ht="15.5">
      <c r="A56" s="12" t="s">
        <v>144</v>
      </c>
      <c r="B56" s="13" t="s">
        <v>152</v>
      </c>
      <c r="C56" s="13" t="s">
        <v>62</v>
      </c>
      <c r="D56" s="13">
        <v>2023</v>
      </c>
      <c r="E56" s="13">
        <v>83.11</v>
      </c>
      <c r="F56" s="13">
        <v>54</v>
      </c>
      <c r="G56" s="13">
        <v>6</v>
      </c>
      <c r="H56" s="13">
        <v>40.98</v>
      </c>
      <c r="I56" s="16">
        <v>100</v>
      </c>
      <c r="J56" s="13">
        <v>5.08</v>
      </c>
      <c r="K56" s="14">
        <v>8.74</v>
      </c>
      <c r="L56" t="s">
        <v>1141</v>
      </c>
    </row>
    <row r="57" spans="1:12" ht="15.5">
      <c r="A57" s="4" t="s">
        <v>154</v>
      </c>
      <c r="B57" s="5" t="s">
        <v>155</v>
      </c>
      <c r="C57" s="5" t="s">
        <v>13</v>
      </c>
      <c r="D57" s="5">
        <v>2023</v>
      </c>
      <c r="E57" s="5">
        <v>56.63</v>
      </c>
      <c r="F57" s="5">
        <v>363</v>
      </c>
      <c r="G57" s="5">
        <v>3</v>
      </c>
      <c r="H57" s="5"/>
      <c r="I57" s="6">
        <v>100</v>
      </c>
      <c r="J57" s="5">
        <v>-7.85</v>
      </c>
      <c r="K57" s="8">
        <v>3.63</v>
      </c>
      <c r="L57" t="s">
        <v>1140</v>
      </c>
    </row>
    <row r="58" spans="1:12" ht="15.5">
      <c r="A58" s="9" t="s">
        <v>154</v>
      </c>
      <c r="B58" s="7" t="s">
        <v>157</v>
      </c>
      <c r="C58" s="7" t="s">
        <v>62</v>
      </c>
      <c r="D58" s="7">
        <v>2023</v>
      </c>
      <c r="E58" s="7">
        <v>88.64</v>
      </c>
      <c r="F58" s="7">
        <v>23</v>
      </c>
      <c r="G58" s="7">
        <v>6</v>
      </c>
      <c r="I58" s="6">
        <v>100</v>
      </c>
      <c r="J58" s="7">
        <v>5.32</v>
      </c>
      <c r="K58" s="8">
        <v>2.2799999999999998</v>
      </c>
      <c r="L58" t="s">
        <v>1141</v>
      </c>
    </row>
    <row r="59" spans="1:12" ht="15.5">
      <c r="A59" s="9" t="s">
        <v>154</v>
      </c>
      <c r="B59" s="7" t="s">
        <v>159</v>
      </c>
      <c r="C59" s="7" t="s">
        <v>62</v>
      </c>
      <c r="D59" s="7">
        <v>2023</v>
      </c>
      <c r="E59" s="7">
        <v>90.21</v>
      </c>
      <c r="F59" s="7">
        <v>14</v>
      </c>
      <c r="G59" s="7">
        <v>6</v>
      </c>
      <c r="H59" s="7">
        <v>238.76</v>
      </c>
      <c r="I59" s="6">
        <v>99.86</v>
      </c>
      <c r="J59" s="7">
        <v>5.15</v>
      </c>
      <c r="K59" s="8">
        <v>3.08</v>
      </c>
      <c r="L59" t="s">
        <v>1141</v>
      </c>
    </row>
    <row r="60" spans="1:12" ht="15.5">
      <c r="A60" s="9" t="s">
        <v>154</v>
      </c>
      <c r="B60" s="7" t="s">
        <v>161</v>
      </c>
      <c r="C60" s="7" t="s">
        <v>62</v>
      </c>
      <c r="D60" s="7">
        <v>2023</v>
      </c>
      <c r="E60" s="7">
        <v>91</v>
      </c>
      <c r="F60" s="7">
        <v>11</v>
      </c>
      <c r="G60" s="7">
        <v>6</v>
      </c>
      <c r="I60" s="6">
        <v>99.81</v>
      </c>
      <c r="J60" s="7">
        <v>5.0999999999999996</v>
      </c>
      <c r="K60" s="8">
        <v>2.91</v>
      </c>
      <c r="L60" t="s">
        <v>1141</v>
      </c>
    </row>
    <row r="61" spans="1:12" ht="15.5">
      <c r="A61" s="9" t="s">
        <v>154</v>
      </c>
      <c r="B61" s="7" t="s">
        <v>164</v>
      </c>
      <c r="C61" s="7" t="s">
        <v>62</v>
      </c>
      <c r="D61" s="7">
        <v>2023</v>
      </c>
      <c r="E61" s="7">
        <v>90.84</v>
      </c>
      <c r="F61" s="7">
        <v>12</v>
      </c>
      <c r="G61" s="7">
        <v>6</v>
      </c>
      <c r="H61" s="7">
        <v>155.24</v>
      </c>
      <c r="I61" s="6">
        <v>100</v>
      </c>
      <c r="J61" s="7">
        <v>5.3</v>
      </c>
      <c r="K61" s="8">
        <v>2.0299999999999998</v>
      </c>
      <c r="L61" t="s">
        <v>1141</v>
      </c>
    </row>
    <row r="62" spans="1:12" ht="15.5">
      <c r="A62" s="12" t="s">
        <v>154</v>
      </c>
      <c r="B62" s="13" t="s">
        <v>166</v>
      </c>
      <c r="C62" s="13" t="s">
        <v>62</v>
      </c>
      <c r="D62" s="13">
        <v>2023</v>
      </c>
      <c r="E62" s="13">
        <v>85.46</v>
      </c>
      <c r="F62" s="13">
        <v>41</v>
      </c>
      <c r="G62" s="13">
        <v>6</v>
      </c>
      <c r="H62" s="13">
        <v>2409.2399999999998</v>
      </c>
      <c r="I62" s="16">
        <v>99.82</v>
      </c>
      <c r="J62" s="13">
        <v>4.16</v>
      </c>
      <c r="K62" s="14">
        <v>7.41</v>
      </c>
      <c r="L62" t="s">
        <v>1141</v>
      </c>
    </row>
    <row r="63" spans="1:12" ht="15.5">
      <c r="A63" s="4" t="s">
        <v>168</v>
      </c>
      <c r="B63" s="5" t="s">
        <v>169</v>
      </c>
      <c r="C63" s="5" t="s">
        <v>13</v>
      </c>
      <c r="D63" s="5">
        <v>2023</v>
      </c>
      <c r="E63" s="5">
        <v>81.41</v>
      </c>
      <c r="F63" s="5">
        <v>131</v>
      </c>
      <c r="G63" s="5">
        <v>6</v>
      </c>
      <c r="H63" s="5">
        <v>33208.89</v>
      </c>
      <c r="I63" s="6">
        <v>98.74</v>
      </c>
      <c r="J63" s="5">
        <v>4.42</v>
      </c>
      <c r="K63" s="8">
        <v>13.99</v>
      </c>
      <c r="L63" t="s">
        <v>1141</v>
      </c>
    </row>
    <row r="64" spans="1:12" ht="15.5">
      <c r="A64" s="9" t="s">
        <v>168</v>
      </c>
      <c r="B64" s="7" t="s">
        <v>168</v>
      </c>
      <c r="C64" s="7" t="s">
        <v>13</v>
      </c>
      <c r="D64" s="7">
        <v>2023</v>
      </c>
      <c r="E64" s="7">
        <v>80.13</v>
      </c>
      <c r="F64" s="7">
        <v>157</v>
      </c>
      <c r="G64" s="7">
        <v>6</v>
      </c>
      <c r="H64" s="7">
        <v>121644.22</v>
      </c>
      <c r="I64" s="6">
        <v>97.08</v>
      </c>
      <c r="J64" s="7">
        <v>4.51</v>
      </c>
      <c r="K64" s="8">
        <v>14.97</v>
      </c>
      <c r="L64" t="s">
        <v>1141</v>
      </c>
    </row>
    <row r="65" spans="1:12" ht="15.5">
      <c r="A65" s="9" t="s">
        <v>168</v>
      </c>
      <c r="B65" s="7" t="s">
        <v>173</v>
      </c>
      <c r="C65" s="7" t="s">
        <v>13</v>
      </c>
      <c r="D65" s="7">
        <v>2023</v>
      </c>
      <c r="E65" s="7">
        <v>83.34</v>
      </c>
      <c r="F65" s="7">
        <v>91</v>
      </c>
      <c r="G65" s="7">
        <v>6</v>
      </c>
      <c r="H65" s="7">
        <v>21436.07</v>
      </c>
      <c r="I65" s="6">
        <v>99.87</v>
      </c>
      <c r="J65" s="7">
        <v>4.4000000000000004</v>
      </c>
      <c r="K65" s="8">
        <v>18.72</v>
      </c>
      <c r="L65" t="s">
        <v>1141</v>
      </c>
    </row>
    <row r="66" spans="1:12" ht="15.5">
      <c r="A66" s="9" t="s">
        <v>168</v>
      </c>
      <c r="B66" s="7" t="s">
        <v>175</v>
      </c>
      <c r="C66" s="7" t="s">
        <v>13</v>
      </c>
      <c r="D66" s="7">
        <v>2023</v>
      </c>
      <c r="E66" s="7">
        <v>78.27</v>
      </c>
      <c r="F66" s="7">
        <v>185</v>
      </c>
      <c r="G66" s="7">
        <v>6</v>
      </c>
      <c r="H66" s="7">
        <v>28690.84</v>
      </c>
      <c r="I66" s="6">
        <v>99.29</v>
      </c>
      <c r="J66" s="7">
        <v>4.47</v>
      </c>
      <c r="K66" s="8">
        <v>16.03</v>
      </c>
      <c r="L66" t="s">
        <v>1141</v>
      </c>
    </row>
    <row r="67" spans="1:12" ht="15.5">
      <c r="A67" s="9" t="s">
        <v>168</v>
      </c>
      <c r="B67" s="7" t="s">
        <v>178</v>
      </c>
      <c r="C67" s="7" t="s">
        <v>13</v>
      </c>
      <c r="D67" s="7">
        <v>2023</v>
      </c>
      <c r="E67" s="7">
        <v>79.069999999999993</v>
      </c>
      <c r="F67" s="7">
        <v>175</v>
      </c>
      <c r="G67" s="7">
        <v>6</v>
      </c>
      <c r="H67" s="7">
        <v>25256.15</v>
      </c>
      <c r="I67" s="6">
        <v>96.66</v>
      </c>
      <c r="J67" s="7">
        <v>4.3099999999999996</v>
      </c>
      <c r="K67" s="8">
        <v>18.899999999999999</v>
      </c>
      <c r="L67" t="s">
        <v>1141</v>
      </c>
    </row>
    <row r="68" spans="1:12" ht="15.5">
      <c r="A68" s="12" t="s">
        <v>168</v>
      </c>
      <c r="B68" s="13" t="s">
        <v>181</v>
      </c>
      <c r="C68" s="13" t="s">
        <v>62</v>
      </c>
      <c r="D68" s="13">
        <v>2023</v>
      </c>
      <c r="E68" s="13">
        <v>87.59</v>
      </c>
      <c r="F68" s="13">
        <v>29</v>
      </c>
      <c r="G68" s="13">
        <v>6</v>
      </c>
      <c r="H68" s="13">
        <v>12957.32</v>
      </c>
      <c r="I68" s="16">
        <v>100</v>
      </c>
      <c r="J68" s="13">
        <v>4.5199999999999996</v>
      </c>
      <c r="K68" s="14">
        <v>10.84</v>
      </c>
      <c r="L68" t="s">
        <v>1141</v>
      </c>
    </row>
    <row r="69" spans="1:12" ht="15.5">
      <c r="A69" s="4" t="s">
        <v>183</v>
      </c>
      <c r="B69" s="5" t="s">
        <v>184</v>
      </c>
      <c r="C69" s="5" t="s">
        <v>13</v>
      </c>
      <c r="D69" s="5">
        <v>2023</v>
      </c>
      <c r="E69" s="5">
        <v>82.42</v>
      </c>
      <c r="F69" s="5">
        <v>109</v>
      </c>
      <c r="G69" s="5">
        <v>6</v>
      </c>
      <c r="H69" s="5">
        <v>81362.86</v>
      </c>
      <c r="I69" s="6">
        <v>95.86</v>
      </c>
      <c r="J69" s="5">
        <v>5.73</v>
      </c>
      <c r="K69" s="8">
        <v>15.09</v>
      </c>
      <c r="L69" t="s">
        <v>1141</v>
      </c>
    </row>
    <row r="70" spans="1:12" ht="15.5">
      <c r="A70" s="9" t="s">
        <v>183</v>
      </c>
      <c r="B70" s="7" t="s">
        <v>187</v>
      </c>
      <c r="C70" s="7" t="s">
        <v>13</v>
      </c>
      <c r="D70" s="7">
        <v>2023</v>
      </c>
      <c r="E70" s="7">
        <v>71.66</v>
      </c>
      <c r="F70" s="7">
        <v>281</v>
      </c>
      <c r="G70" s="7">
        <v>5</v>
      </c>
      <c r="H70" s="7">
        <v>24497.57</v>
      </c>
      <c r="I70" s="6">
        <v>97.64</v>
      </c>
      <c r="J70" s="7">
        <v>5.28</v>
      </c>
      <c r="K70" s="8">
        <v>15.14</v>
      </c>
      <c r="L70" t="s">
        <v>1140</v>
      </c>
    </row>
    <row r="71" spans="1:12" ht="15.5">
      <c r="A71" s="9" t="s">
        <v>183</v>
      </c>
      <c r="B71" s="7" t="s">
        <v>190</v>
      </c>
      <c r="C71" s="7" t="s">
        <v>13</v>
      </c>
      <c r="D71" s="7">
        <v>2023</v>
      </c>
      <c r="E71" s="7">
        <v>64.010000000000005</v>
      </c>
      <c r="F71" s="7">
        <v>332</v>
      </c>
      <c r="G71" s="7">
        <v>4</v>
      </c>
      <c r="H71" s="7">
        <v>12377.58</v>
      </c>
      <c r="I71" s="6">
        <v>98.99</v>
      </c>
      <c r="J71" s="7">
        <v>4.0199999999999996</v>
      </c>
      <c r="K71" s="8">
        <v>12.77</v>
      </c>
      <c r="L71" t="s">
        <v>1140</v>
      </c>
    </row>
    <row r="72" spans="1:12" ht="15.5">
      <c r="A72" s="9" t="s">
        <v>183</v>
      </c>
      <c r="B72" s="7" t="s">
        <v>193</v>
      </c>
      <c r="C72" s="7" t="s">
        <v>13</v>
      </c>
      <c r="D72" s="7">
        <v>2023</v>
      </c>
      <c r="E72" s="7">
        <v>70.790000000000006</v>
      </c>
      <c r="F72" s="7">
        <v>290</v>
      </c>
      <c r="G72" s="7">
        <v>5</v>
      </c>
      <c r="H72" s="7">
        <v>19942.84</v>
      </c>
      <c r="I72" s="6">
        <v>97.89</v>
      </c>
      <c r="J72" s="7">
        <v>3.7</v>
      </c>
      <c r="K72" s="8">
        <v>15.48</v>
      </c>
      <c r="L72" t="s">
        <v>1140</v>
      </c>
    </row>
    <row r="73" spans="1:12" ht="15.5">
      <c r="A73" s="9" t="s">
        <v>183</v>
      </c>
      <c r="B73" s="7" t="s">
        <v>196</v>
      </c>
      <c r="C73" s="7" t="s">
        <v>13</v>
      </c>
      <c r="D73" s="7">
        <v>2023</v>
      </c>
      <c r="E73" s="7">
        <v>65.900000000000006</v>
      </c>
      <c r="F73" s="7">
        <v>323</v>
      </c>
      <c r="G73" s="7">
        <v>4</v>
      </c>
      <c r="H73" s="7">
        <v>17206.82</v>
      </c>
      <c r="I73" s="6">
        <v>98.51</v>
      </c>
      <c r="J73" s="7">
        <v>6.28</v>
      </c>
      <c r="K73" s="8">
        <v>11.14</v>
      </c>
      <c r="L73" t="s">
        <v>1140</v>
      </c>
    </row>
    <row r="74" spans="1:12" ht="15.5">
      <c r="A74" s="9" t="s">
        <v>183</v>
      </c>
      <c r="B74" s="7" t="s">
        <v>199</v>
      </c>
      <c r="C74" s="7" t="s">
        <v>13</v>
      </c>
      <c r="D74" s="7">
        <v>2023</v>
      </c>
      <c r="E74" s="7">
        <v>71.22</v>
      </c>
      <c r="F74" s="7">
        <v>286</v>
      </c>
      <c r="G74" s="7">
        <v>5</v>
      </c>
      <c r="H74" s="7">
        <v>23454.39</v>
      </c>
      <c r="I74" s="6">
        <v>98.66</v>
      </c>
      <c r="J74" s="7">
        <v>2.17</v>
      </c>
      <c r="K74" s="8">
        <v>12.32</v>
      </c>
      <c r="L74" t="s">
        <v>1140</v>
      </c>
    </row>
    <row r="75" spans="1:12" ht="15.5">
      <c r="A75" s="9" t="s">
        <v>183</v>
      </c>
      <c r="B75" s="7" t="s">
        <v>202</v>
      </c>
      <c r="C75" s="7" t="s">
        <v>13</v>
      </c>
      <c r="D75" s="7">
        <v>2023</v>
      </c>
      <c r="E75" s="7">
        <v>63.59</v>
      </c>
      <c r="F75" s="7">
        <v>334</v>
      </c>
      <c r="G75" s="7">
        <v>4</v>
      </c>
      <c r="H75" s="7">
        <v>24899.32</v>
      </c>
      <c r="I75" s="6">
        <v>98.14</v>
      </c>
      <c r="J75" s="7">
        <v>3.51</v>
      </c>
      <c r="K75" s="8">
        <v>14.32</v>
      </c>
      <c r="L75" t="s">
        <v>1140</v>
      </c>
    </row>
    <row r="76" spans="1:12" ht="15.5">
      <c r="A76" s="9" t="s">
        <v>183</v>
      </c>
      <c r="B76" s="7" t="s">
        <v>205</v>
      </c>
      <c r="C76" s="7" t="s">
        <v>13</v>
      </c>
      <c r="D76" s="7">
        <v>2023</v>
      </c>
      <c r="E76" s="7">
        <v>70.89</v>
      </c>
      <c r="F76" s="7">
        <v>289</v>
      </c>
      <c r="G76" s="7">
        <v>5</v>
      </c>
      <c r="H76" s="7">
        <v>18369.72</v>
      </c>
      <c r="I76" s="6">
        <v>99.67</v>
      </c>
      <c r="J76" s="7">
        <v>4.5</v>
      </c>
      <c r="K76" s="8">
        <v>13.98</v>
      </c>
      <c r="L76" t="s">
        <v>1140</v>
      </c>
    </row>
    <row r="77" spans="1:12" ht="15.5">
      <c r="A77" s="9" t="s">
        <v>183</v>
      </c>
      <c r="B77" s="7" t="s">
        <v>208</v>
      </c>
      <c r="C77" s="7" t="s">
        <v>13</v>
      </c>
      <c r="D77" s="7">
        <v>2023</v>
      </c>
      <c r="E77" s="7">
        <v>65.599999999999994</v>
      </c>
      <c r="F77" s="7">
        <v>326</v>
      </c>
      <c r="G77" s="7">
        <v>4</v>
      </c>
      <c r="H77" s="7">
        <v>20188.599999999999</v>
      </c>
      <c r="I77" s="6">
        <v>99.6</v>
      </c>
      <c r="J77" s="7">
        <v>4.66</v>
      </c>
      <c r="K77" s="8">
        <v>9.5399999999999991</v>
      </c>
      <c r="L77" t="s">
        <v>1140</v>
      </c>
    </row>
    <row r="78" spans="1:12" ht="15.5">
      <c r="A78" s="9" t="s">
        <v>183</v>
      </c>
      <c r="B78" s="7" t="s">
        <v>211</v>
      </c>
      <c r="C78" s="7" t="s">
        <v>62</v>
      </c>
      <c r="D78" s="7">
        <v>2023</v>
      </c>
      <c r="E78" s="7">
        <v>84.66</v>
      </c>
      <c r="F78" s="7">
        <v>45</v>
      </c>
      <c r="G78" s="7">
        <v>6</v>
      </c>
      <c r="H78" s="7">
        <v>1281.94</v>
      </c>
      <c r="I78" s="6">
        <v>100</v>
      </c>
      <c r="J78" s="7">
        <v>6.61</v>
      </c>
      <c r="K78" s="8">
        <v>10.66</v>
      </c>
      <c r="L78" t="s">
        <v>1141</v>
      </c>
    </row>
    <row r="79" spans="1:12" ht="15.5">
      <c r="A79" s="12" t="s">
        <v>183</v>
      </c>
      <c r="B79" s="13" t="s">
        <v>213</v>
      </c>
      <c r="C79" s="13" t="s">
        <v>62</v>
      </c>
      <c r="D79" s="13">
        <v>2023</v>
      </c>
      <c r="E79" s="13">
        <v>83.14</v>
      </c>
      <c r="F79" s="13">
        <v>53</v>
      </c>
      <c r="G79" s="13">
        <v>6</v>
      </c>
      <c r="H79" s="13">
        <v>30975.45</v>
      </c>
      <c r="I79" s="16">
        <v>100</v>
      </c>
      <c r="J79" s="13">
        <v>4.92</v>
      </c>
      <c r="K79" s="14">
        <v>15.75</v>
      </c>
      <c r="L79" t="s">
        <v>1141</v>
      </c>
    </row>
    <row r="80" spans="1:12" ht="15.5">
      <c r="A80" s="4" t="s">
        <v>215</v>
      </c>
      <c r="B80" s="5" t="s">
        <v>216</v>
      </c>
      <c r="C80" s="5" t="s">
        <v>13</v>
      </c>
      <c r="D80" s="5">
        <v>2023</v>
      </c>
      <c r="E80" s="5">
        <v>70.569999999999993</v>
      </c>
      <c r="F80" s="5">
        <v>292</v>
      </c>
      <c r="G80" s="5">
        <v>5</v>
      </c>
      <c r="H80" s="5">
        <v>281152.68</v>
      </c>
      <c r="I80" s="6">
        <v>100</v>
      </c>
      <c r="J80" s="5">
        <v>5.19</v>
      </c>
      <c r="K80" s="8">
        <v>5.3</v>
      </c>
      <c r="L80" t="s">
        <v>1140</v>
      </c>
    </row>
    <row r="81" spans="1:12" ht="15.5">
      <c r="A81" s="9" t="s">
        <v>215</v>
      </c>
      <c r="B81" s="7" t="s">
        <v>218</v>
      </c>
      <c r="C81" s="7" t="s">
        <v>13</v>
      </c>
      <c r="D81" s="7">
        <v>2023</v>
      </c>
      <c r="E81" s="7">
        <v>77.650000000000006</v>
      </c>
      <c r="F81" s="7">
        <v>199</v>
      </c>
      <c r="G81" s="7">
        <v>6</v>
      </c>
      <c r="H81" s="7">
        <v>515136.17</v>
      </c>
      <c r="I81" s="6">
        <v>99.89</v>
      </c>
      <c r="J81" s="7">
        <v>5.17</v>
      </c>
      <c r="K81" s="8">
        <v>5.98</v>
      </c>
      <c r="L81" t="s">
        <v>1141</v>
      </c>
    </row>
    <row r="82" spans="1:12" ht="15.5">
      <c r="A82" s="9" t="s">
        <v>215</v>
      </c>
      <c r="B82" s="7" t="s">
        <v>221</v>
      </c>
      <c r="C82" s="7" t="s">
        <v>13</v>
      </c>
      <c r="D82" s="7">
        <v>2023</v>
      </c>
      <c r="E82" s="7">
        <v>78.989999999999995</v>
      </c>
      <c r="F82" s="7">
        <v>178</v>
      </c>
      <c r="G82" s="7">
        <v>6</v>
      </c>
      <c r="H82" s="7">
        <v>639006.05000000005</v>
      </c>
      <c r="I82" s="6">
        <v>99.79</v>
      </c>
      <c r="J82" s="7">
        <v>5.16</v>
      </c>
      <c r="K82" s="8">
        <v>7.02</v>
      </c>
      <c r="L82" t="s">
        <v>1141</v>
      </c>
    </row>
    <row r="83" spans="1:12" ht="15.5">
      <c r="A83" s="9" t="s">
        <v>215</v>
      </c>
      <c r="B83" s="7" t="s">
        <v>224</v>
      </c>
      <c r="C83" s="7" t="s">
        <v>13</v>
      </c>
      <c r="D83" s="7">
        <v>2023</v>
      </c>
      <c r="E83" s="7">
        <v>82.48</v>
      </c>
      <c r="F83" s="7">
        <v>108</v>
      </c>
      <c r="G83" s="7">
        <v>6</v>
      </c>
      <c r="H83" s="7">
        <v>303918.7</v>
      </c>
      <c r="I83" s="6">
        <v>100</v>
      </c>
      <c r="J83" s="7">
        <v>4.97</v>
      </c>
      <c r="K83" s="8">
        <v>5.19</v>
      </c>
      <c r="L83" t="s">
        <v>1141</v>
      </c>
    </row>
    <row r="84" spans="1:12" ht="15.5">
      <c r="A84" s="9" t="s">
        <v>215</v>
      </c>
      <c r="B84" s="7" t="s">
        <v>226</v>
      </c>
      <c r="C84" s="7" t="s">
        <v>13</v>
      </c>
      <c r="D84" s="7">
        <v>2023</v>
      </c>
      <c r="E84" s="7">
        <v>78.040000000000006</v>
      </c>
      <c r="F84" s="7">
        <v>190</v>
      </c>
      <c r="G84" s="7">
        <v>6</v>
      </c>
      <c r="H84" s="7">
        <v>452259.65</v>
      </c>
      <c r="I84" s="6">
        <v>100</v>
      </c>
      <c r="J84" s="7">
        <v>4.9400000000000004</v>
      </c>
      <c r="K84" s="8">
        <v>5.76</v>
      </c>
      <c r="L84" t="s">
        <v>1141</v>
      </c>
    </row>
    <row r="85" spans="1:12" ht="15.5">
      <c r="A85" s="9" t="s">
        <v>215</v>
      </c>
      <c r="B85" s="7" t="s">
        <v>228</v>
      </c>
      <c r="C85" s="7" t="s">
        <v>13</v>
      </c>
      <c r="D85" s="7">
        <v>2023</v>
      </c>
      <c r="E85" s="7">
        <v>75.680000000000007</v>
      </c>
      <c r="F85" s="7">
        <v>235</v>
      </c>
      <c r="G85" s="7">
        <v>6</v>
      </c>
      <c r="H85" s="7">
        <v>407493.86</v>
      </c>
      <c r="I85" s="6">
        <v>99.84</v>
      </c>
      <c r="J85" s="7">
        <v>4.6900000000000004</v>
      </c>
      <c r="K85" s="8">
        <v>8.65</v>
      </c>
      <c r="L85" t="s">
        <v>1141</v>
      </c>
    </row>
    <row r="86" spans="1:12" ht="15.5">
      <c r="A86" s="9" t="s">
        <v>215</v>
      </c>
      <c r="B86" s="7" t="s">
        <v>231</v>
      </c>
      <c r="C86" s="7" t="s">
        <v>13</v>
      </c>
      <c r="D86" s="7">
        <v>2023</v>
      </c>
      <c r="E86" s="7">
        <v>82.36</v>
      </c>
      <c r="F86" s="7">
        <v>110</v>
      </c>
      <c r="G86" s="7">
        <v>6</v>
      </c>
      <c r="H86" s="7">
        <v>295876.40000000002</v>
      </c>
      <c r="I86" s="6">
        <v>99.93</v>
      </c>
      <c r="J86" s="7">
        <v>4.99</v>
      </c>
      <c r="K86" s="8">
        <v>6.1</v>
      </c>
      <c r="L86" t="s">
        <v>1141</v>
      </c>
    </row>
    <row r="87" spans="1:12" ht="15.5">
      <c r="A87" s="9" t="s">
        <v>215</v>
      </c>
      <c r="B87" s="7" t="s">
        <v>234</v>
      </c>
      <c r="C87" s="7" t="s">
        <v>13</v>
      </c>
      <c r="D87" s="7">
        <v>2023</v>
      </c>
      <c r="E87" s="7">
        <v>80.95</v>
      </c>
      <c r="F87" s="7">
        <v>141</v>
      </c>
      <c r="G87" s="7">
        <v>6</v>
      </c>
      <c r="H87" s="7">
        <v>256847.69</v>
      </c>
      <c r="I87" s="6">
        <v>99.96</v>
      </c>
      <c r="J87" s="7">
        <v>5.25</v>
      </c>
      <c r="K87" s="8">
        <v>6.43</v>
      </c>
      <c r="L87" t="s">
        <v>1141</v>
      </c>
    </row>
    <row r="88" spans="1:12" ht="15.5">
      <c r="A88" s="9" t="s">
        <v>215</v>
      </c>
      <c r="B88" s="7" t="s">
        <v>236</v>
      </c>
      <c r="C88" s="7" t="s">
        <v>13</v>
      </c>
      <c r="D88" s="7">
        <v>2023</v>
      </c>
      <c r="E88" s="7">
        <v>82.03</v>
      </c>
      <c r="F88" s="7">
        <v>117</v>
      </c>
      <c r="G88" s="7">
        <v>6</v>
      </c>
      <c r="H88" s="7">
        <v>488476.01</v>
      </c>
      <c r="I88" s="6">
        <v>100</v>
      </c>
      <c r="J88" s="7">
        <v>4.8499999999999996</v>
      </c>
      <c r="K88" s="8">
        <v>7.28</v>
      </c>
      <c r="L88" t="s">
        <v>1141</v>
      </c>
    </row>
    <row r="89" spans="1:12" ht="15.5">
      <c r="A89" s="9" t="s">
        <v>215</v>
      </c>
      <c r="B89" s="7" t="s">
        <v>238</v>
      </c>
      <c r="C89" s="7" t="s">
        <v>13</v>
      </c>
      <c r="D89" s="7">
        <v>2023</v>
      </c>
      <c r="E89" s="7">
        <v>81.39</v>
      </c>
      <c r="F89" s="7">
        <v>132</v>
      </c>
      <c r="G89" s="7">
        <v>6</v>
      </c>
      <c r="H89" s="7">
        <v>556781.75</v>
      </c>
      <c r="I89" s="6">
        <v>100</v>
      </c>
      <c r="J89" s="7">
        <v>6.15</v>
      </c>
      <c r="K89" s="8">
        <v>7.9</v>
      </c>
      <c r="L89" t="s">
        <v>1141</v>
      </c>
    </row>
    <row r="90" spans="1:12" ht="15.5">
      <c r="A90" s="9" t="s">
        <v>215</v>
      </c>
      <c r="B90" s="7" t="s">
        <v>240</v>
      </c>
      <c r="C90" s="7" t="s">
        <v>13</v>
      </c>
      <c r="D90" s="7">
        <v>2023</v>
      </c>
      <c r="E90" s="7">
        <v>84.88</v>
      </c>
      <c r="F90" s="7">
        <v>62</v>
      </c>
      <c r="G90" s="7">
        <v>6</v>
      </c>
      <c r="H90" s="7">
        <v>287826.46999999997</v>
      </c>
      <c r="I90" s="6">
        <v>100</v>
      </c>
      <c r="J90" s="7">
        <v>5.01</v>
      </c>
      <c r="K90" s="8">
        <v>5.55</v>
      </c>
      <c r="L90" t="s">
        <v>1141</v>
      </c>
    </row>
    <row r="91" spans="1:12" ht="15.5">
      <c r="A91" s="9" t="s">
        <v>215</v>
      </c>
      <c r="B91" s="7" t="s">
        <v>242</v>
      </c>
      <c r="C91" s="7" t="s">
        <v>13</v>
      </c>
      <c r="D91" s="7">
        <v>2023</v>
      </c>
      <c r="E91" s="7">
        <v>84.52</v>
      </c>
      <c r="F91" s="7">
        <v>67</v>
      </c>
      <c r="G91" s="7">
        <v>6</v>
      </c>
      <c r="H91" s="7">
        <v>1419735.58</v>
      </c>
      <c r="I91" s="6">
        <v>99.76</v>
      </c>
      <c r="J91" s="7">
        <v>9.76</v>
      </c>
      <c r="K91" s="8">
        <v>5.4</v>
      </c>
      <c r="L91" t="s">
        <v>1141</v>
      </c>
    </row>
    <row r="92" spans="1:12" ht="15.5">
      <c r="A92" s="9" t="s">
        <v>215</v>
      </c>
      <c r="B92" s="7" t="s">
        <v>244</v>
      </c>
      <c r="C92" s="7" t="s">
        <v>13</v>
      </c>
      <c r="D92" s="7">
        <v>2023</v>
      </c>
      <c r="E92" s="7">
        <v>85.31</v>
      </c>
      <c r="F92" s="7">
        <v>55</v>
      </c>
      <c r="G92" s="7">
        <v>6</v>
      </c>
      <c r="H92" s="7">
        <v>1016077.04</v>
      </c>
      <c r="I92" s="6">
        <v>100</v>
      </c>
      <c r="J92" s="7">
        <v>4.6399999999999997</v>
      </c>
      <c r="K92" s="8">
        <v>6.23</v>
      </c>
      <c r="L92" t="s">
        <v>1141</v>
      </c>
    </row>
    <row r="93" spans="1:12" ht="15.5">
      <c r="A93" s="9" t="s">
        <v>215</v>
      </c>
      <c r="B93" s="7" t="s">
        <v>246</v>
      </c>
      <c r="C93" s="7" t="s">
        <v>13</v>
      </c>
      <c r="D93" s="7">
        <v>2023</v>
      </c>
      <c r="E93" s="7">
        <v>80.42</v>
      </c>
      <c r="F93" s="7">
        <v>152</v>
      </c>
      <c r="G93" s="7">
        <v>6</v>
      </c>
      <c r="H93" s="7">
        <v>184326.98</v>
      </c>
      <c r="I93" s="6">
        <v>100</v>
      </c>
      <c r="J93" s="7">
        <v>4.97</v>
      </c>
      <c r="K93" s="8">
        <v>5.07</v>
      </c>
      <c r="L93" t="s">
        <v>1141</v>
      </c>
    </row>
    <row r="94" spans="1:12" ht="15.5">
      <c r="A94" s="9" t="s">
        <v>215</v>
      </c>
      <c r="B94" s="7" t="s">
        <v>247</v>
      </c>
      <c r="C94" s="7" t="s">
        <v>13</v>
      </c>
      <c r="D94" s="7">
        <v>2023</v>
      </c>
      <c r="E94" s="7">
        <v>88.48</v>
      </c>
      <c r="F94" s="7">
        <v>10</v>
      </c>
      <c r="G94" s="7">
        <v>6</v>
      </c>
      <c r="H94" s="7">
        <v>1096656.79</v>
      </c>
      <c r="I94" s="6">
        <v>99.99</v>
      </c>
      <c r="J94" s="7">
        <v>5.4</v>
      </c>
      <c r="K94" s="8">
        <v>5.93</v>
      </c>
      <c r="L94" t="s">
        <v>1141</v>
      </c>
    </row>
    <row r="95" spans="1:12" ht="15.5">
      <c r="A95" s="9" t="s">
        <v>215</v>
      </c>
      <c r="B95" s="7" t="s">
        <v>249</v>
      </c>
      <c r="C95" s="7" t="s">
        <v>13</v>
      </c>
      <c r="D95" s="7">
        <v>2023</v>
      </c>
      <c r="E95" s="7">
        <v>88.05</v>
      </c>
      <c r="F95" s="7">
        <v>13</v>
      </c>
      <c r="G95" s="7">
        <v>6</v>
      </c>
      <c r="H95" s="7">
        <v>507361.07</v>
      </c>
      <c r="I95" s="6">
        <v>99.59</v>
      </c>
      <c r="J95" s="7">
        <v>5.32</v>
      </c>
      <c r="K95" s="8">
        <v>4.3600000000000003</v>
      </c>
      <c r="L95" t="s">
        <v>1141</v>
      </c>
    </row>
    <row r="96" spans="1:12" ht="15.5">
      <c r="A96" s="9" t="s">
        <v>215</v>
      </c>
      <c r="B96" s="7" t="s">
        <v>251</v>
      </c>
      <c r="C96" s="7" t="s">
        <v>13</v>
      </c>
      <c r="D96" s="7">
        <v>2023</v>
      </c>
      <c r="E96" s="7">
        <v>74.19</v>
      </c>
      <c r="F96" s="7">
        <v>251</v>
      </c>
      <c r="G96" s="7">
        <v>5</v>
      </c>
      <c r="H96" s="7">
        <v>146164.76999999999</v>
      </c>
      <c r="I96" s="6">
        <v>99.88</v>
      </c>
      <c r="J96" s="7">
        <v>5</v>
      </c>
      <c r="K96" s="8">
        <v>7.48</v>
      </c>
      <c r="L96" t="s">
        <v>1140</v>
      </c>
    </row>
    <row r="97" spans="1:12" ht="15.5">
      <c r="A97" s="9" t="s">
        <v>215</v>
      </c>
      <c r="B97" s="7" t="s">
        <v>254</v>
      </c>
      <c r="C97" s="7" t="s">
        <v>13</v>
      </c>
      <c r="D97" s="7">
        <v>2023</v>
      </c>
      <c r="E97" s="7">
        <v>83.57</v>
      </c>
      <c r="F97" s="7">
        <v>86</v>
      </c>
      <c r="G97" s="7">
        <v>6</v>
      </c>
      <c r="H97" s="7">
        <v>141465.49</v>
      </c>
      <c r="I97" s="6">
        <v>99.68</v>
      </c>
      <c r="J97" s="7">
        <v>5.26</v>
      </c>
      <c r="K97" s="8">
        <v>6.04</v>
      </c>
      <c r="L97" t="s">
        <v>1141</v>
      </c>
    </row>
    <row r="98" spans="1:12" ht="15.5">
      <c r="A98" s="9" t="s">
        <v>215</v>
      </c>
      <c r="B98" s="7" t="s">
        <v>257</v>
      </c>
      <c r="C98" s="7" t="s">
        <v>62</v>
      </c>
      <c r="D98" s="7">
        <v>2023</v>
      </c>
      <c r="E98" s="7">
        <v>83.78</v>
      </c>
      <c r="F98" s="7">
        <v>47</v>
      </c>
      <c r="G98" s="7">
        <v>6</v>
      </c>
      <c r="H98" s="7">
        <v>117.84</v>
      </c>
      <c r="I98" s="7">
        <v>100</v>
      </c>
      <c r="J98" s="7">
        <v>5.0999999999999996</v>
      </c>
      <c r="K98" s="8">
        <v>4.8600000000000003</v>
      </c>
      <c r="L98" t="s">
        <v>1141</v>
      </c>
    </row>
    <row r="99" spans="1:12" ht="15.5">
      <c r="A99" s="9" t="s">
        <v>215</v>
      </c>
      <c r="B99" s="7" t="s">
        <v>258</v>
      </c>
      <c r="C99" s="7" t="s">
        <v>62</v>
      </c>
      <c r="D99" s="7">
        <v>2023</v>
      </c>
      <c r="E99" s="7">
        <v>79.08</v>
      </c>
      <c r="F99" s="7">
        <v>71</v>
      </c>
      <c r="G99" s="7">
        <v>6</v>
      </c>
      <c r="H99" s="7">
        <v>16229.01</v>
      </c>
      <c r="I99" s="7">
        <v>100</v>
      </c>
      <c r="J99" s="7">
        <v>5.12</v>
      </c>
      <c r="K99" s="8">
        <v>5.23</v>
      </c>
      <c r="L99" t="s">
        <v>1141</v>
      </c>
    </row>
    <row r="100" spans="1:12" ht="15.5">
      <c r="A100" s="9" t="s">
        <v>215</v>
      </c>
      <c r="B100" s="7" t="s">
        <v>260</v>
      </c>
      <c r="C100" s="7" t="s">
        <v>62</v>
      </c>
      <c r="D100" s="7">
        <v>2023</v>
      </c>
      <c r="E100" s="7">
        <v>90.46</v>
      </c>
      <c r="F100" s="7">
        <v>13</v>
      </c>
      <c r="G100" s="7">
        <v>6</v>
      </c>
      <c r="H100" s="7">
        <v>6178.5</v>
      </c>
      <c r="I100" s="7">
        <v>99.86</v>
      </c>
      <c r="J100" s="7">
        <v>5.07</v>
      </c>
      <c r="K100" s="8">
        <v>3.64</v>
      </c>
      <c r="L100" t="s">
        <v>1141</v>
      </c>
    </row>
    <row r="101" spans="1:12" ht="15.5">
      <c r="A101" s="9" t="s">
        <v>215</v>
      </c>
      <c r="B101" s="7" t="s">
        <v>262</v>
      </c>
      <c r="C101" s="7" t="s">
        <v>62</v>
      </c>
      <c r="D101" s="7">
        <v>2023</v>
      </c>
      <c r="E101" s="7">
        <v>83.77</v>
      </c>
      <c r="F101" s="7">
        <v>48</v>
      </c>
      <c r="G101" s="7">
        <v>6</v>
      </c>
      <c r="H101" s="7">
        <v>765.87</v>
      </c>
      <c r="I101" s="7">
        <v>99.99</v>
      </c>
      <c r="J101" s="7">
        <v>5.01</v>
      </c>
      <c r="K101" s="8">
        <v>6.85</v>
      </c>
      <c r="L101" t="s">
        <v>1141</v>
      </c>
    </row>
    <row r="102" spans="1:12" ht="15.5">
      <c r="A102" s="9" t="s">
        <v>215</v>
      </c>
      <c r="B102" s="7" t="s">
        <v>263</v>
      </c>
      <c r="C102" s="7" t="s">
        <v>62</v>
      </c>
      <c r="D102" s="7">
        <v>2023</v>
      </c>
      <c r="E102" s="7">
        <v>93.55</v>
      </c>
      <c r="F102" s="7">
        <v>3</v>
      </c>
      <c r="G102" s="7">
        <v>6</v>
      </c>
      <c r="H102" s="7">
        <v>1310.45</v>
      </c>
      <c r="I102" s="7">
        <v>99.99</v>
      </c>
      <c r="J102" s="7">
        <v>5.43</v>
      </c>
      <c r="K102" s="8">
        <v>2.27</v>
      </c>
      <c r="L102" t="s">
        <v>1141</v>
      </c>
    </row>
    <row r="103" spans="1:12" ht="15.5">
      <c r="A103" s="9" t="s">
        <v>215</v>
      </c>
      <c r="B103" s="7" t="s">
        <v>265</v>
      </c>
      <c r="C103" s="7" t="s">
        <v>62</v>
      </c>
      <c r="D103" s="7">
        <v>2023</v>
      </c>
      <c r="E103" s="7">
        <v>89.47</v>
      </c>
      <c r="F103" s="7">
        <v>19</v>
      </c>
      <c r="G103" s="7">
        <v>6</v>
      </c>
      <c r="H103" s="7">
        <v>33.119999999999997</v>
      </c>
      <c r="I103" s="7">
        <v>100</v>
      </c>
      <c r="J103" s="7">
        <v>5.05</v>
      </c>
      <c r="K103" s="8">
        <v>1.99</v>
      </c>
      <c r="L103" t="s">
        <v>1141</v>
      </c>
    </row>
    <row r="104" spans="1:12" ht="15.5">
      <c r="A104" s="9" t="s">
        <v>215</v>
      </c>
      <c r="B104" s="7" t="s">
        <v>267</v>
      </c>
      <c r="C104" s="7" t="s">
        <v>62</v>
      </c>
      <c r="D104" s="7">
        <v>2023</v>
      </c>
      <c r="E104" s="7">
        <v>87.17</v>
      </c>
      <c r="F104" s="7">
        <v>34</v>
      </c>
      <c r="G104" s="7">
        <v>6</v>
      </c>
      <c r="H104" s="7">
        <v>445.52</v>
      </c>
      <c r="I104" s="7">
        <v>100</v>
      </c>
      <c r="J104" s="7">
        <v>5.19</v>
      </c>
      <c r="K104" s="8">
        <v>2.98</v>
      </c>
      <c r="L104" t="s">
        <v>1141</v>
      </c>
    </row>
    <row r="105" spans="1:12" ht="15.5">
      <c r="A105" s="9" t="s">
        <v>215</v>
      </c>
      <c r="B105" s="7" t="s">
        <v>268</v>
      </c>
      <c r="C105" s="7" t="s">
        <v>62</v>
      </c>
      <c r="D105" s="7">
        <v>2023</v>
      </c>
      <c r="E105" s="7">
        <v>72.709999999999994</v>
      </c>
      <c r="F105" s="7">
        <v>86</v>
      </c>
      <c r="G105" s="7">
        <v>6</v>
      </c>
      <c r="H105" s="7">
        <v>42032.34</v>
      </c>
      <c r="I105" s="7">
        <v>100</v>
      </c>
      <c r="J105" s="7">
        <v>5.96</v>
      </c>
      <c r="K105" s="8">
        <v>5.14</v>
      </c>
      <c r="L105" t="s">
        <v>1140</v>
      </c>
    </row>
    <row r="106" spans="1:12" ht="15.5">
      <c r="A106" s="12" t="s">
        <v>215</v>
      </c>
      <c r="B106" s="13" t="s">
        <v>270</v>
      </c>
      <c r="C106" s="13" t="s">
        <v>62</v>
      </c>
      <c r="D106" s="13">
        <v>2023</v>
      </c>
      <c r="E106" s="13">
        <v>79.55</v>
      </c>
      <c r="F106" s="13">
        <v>69</v>
      </c>
      <c r="G106" s="13">
        <v>6</v>
      </c>
      <c r="H106" s="13">
        <v>32262.23</v>
      </c>
      <c r="I106" s="13">
        <v>100</v>
      </c>
      <c r="J106" s="13">
        <v>4.63</v>
      </c>
      <c r="K106" s="14">
        <v>5.55</v>
      </c>
      <c r="L106" t="s">
        <v>1141</v>
      </c>
    </row>
    <row r="107" spans="1:12" ht="15.5">
      <c r="A107" s="4" t="s">
        <v>271</v>
      </c>
      <c r="B107" s="5" t="s">
        <v>272</v>
      </c>
      <c r="C107" s="5" t="s">
        <v>13</v>
      </c>
      <c r="D107" s="5">
        <v>2023</v>
      </c>
      <c r="E107" s="5">
        <v>84.13</v>
      </c>
      <c r="F107" s="5">
        <v>76</v>
      </c>
      <c r="G107" s="5">
        <v>6</v>
      </c>
      <c r="H107" s="5">
        <v>766923.48</v>
      </c>
      <c r="I107" s="6">
        <v>100</v>
      </c>
      <c r="J107" s="5">
        <v>5.34</v>
      </c>
      <c r="K107" s="8">
        <v>12.29</v>
      </c>
      <c r="L107" t="s">
        <v>1141</v>
      </c>
    </row>
    <row r="108" spans="1:12" ht="15.5">
      <c r="A108" s="9" t="s">
        <v>271</v>
      </c>
      <c r="B108" s="7" t="s">
        <v>274</v>
      </c>
      <c r="C108" s="7" t="s">
        <v>13</v>
      </c>
      <c r="D108" s="7">
        <v>2023</v>
      </c>
      <c r="E108" s="7">
        <v>79.81</v>
      </c>
      <c r="F108" s="7">
        <v>164</v>
      </c>
      <c r="G108" s="7">
        <v>6</v>
      </c>
      <c r="H108" s="7">
        <v>279426.07</v>
      </c>
      <c r="I108" s="6">
        <v>100</v>
      </c>
      <c r="J108" s="7">
        <v>5.4</v>
      </c>
      <c r="K108" s="8">
        <v>10.84</v>
      </c>
      <c r="L108" t="s">
        <v>1141</v>
      </c>
    </row>
    <row r="109" spans="1:12" ht="15.5">
      <c r="A109" s="9" t="s">
        <v>271</v>
      </c>
      <c r="B109" s="7" t="s">
        <v>275</v>
      </c>
      <c r="C109" s="7" t="s">
        <v>13</v>
      </c>
      <c r="D109" s="7">
        <v>2023</v>
      </c>
      <c r="E109" s="7">
        <v>78.05</v>
      </c>
      <c r="F109" s="7">
        <v>189</v>
      </c>
      <c r="G109" s="7">
        <v>6</v>
      </c>
      <c r="H109" s="7">
        <v>140772.31</v>
      </c>
      <c r="I109" s="6">
        <v>99.88</v>
      </c>
      <c r="J109" s="7">
        <v>4.51</v>
      </c>
      <c r="K109" s="8">
        <v>10.08</v>
      </c>
      <c r="L109" t="s">
        <v>1141</v>
      </c>
    </row>
    <row r="110" spans="1:12" ht="15.5">
      <c r="A110" s="9" t="s">
        <v>271</v>
      </c>
      <c r="B110" s="7" t="s">
        <v>276</v>
      </c>
      <c r="C110" s="7" t="s">
        <v>13</v>
      </c>
      <c r="D110" s="7">
        <v>2023</v>
      </c>
      <c r="E110" s="7">
        <v>80.28</v>
      </c>
      <c r="F110" s="7">
        <v>155</v>
      </c>
      <c r="G110" s="7">
        <v>6</v>
      </c>
      <c r="H110" s="7">
        <v>100417.99</v>
      </c>
      <c r="I110" s="6">
        <v>99.92</v>
      </c>
      <c r="J110" s="7">
        <v>4.9800000000000004</v>
      </c>
      <c r="K110" s="8">
        <v>12.14</v>
      </c>
      <c r="L110" t="s">
        <v>1141</v>
      </c>
    </row>
    <row r="111" spans="1:12" ht="15.5">
      <c r="A111" s="9" t="s">
        <v>271</v>
      </c>
      <c r="B111" s="7" t="s">
        <v>278</v>
      </c>
      <c r="C111" s="7" t="s">
        <v>13</v>
      </c>
      <c r="D111" s="7">
        <v>2023</v>
      </c>
      <c r="E111" s="7">
        <v>80.34</v>
      </c>
      <c r="F111" s="7">
        <v>153</v>
      </c>
      <c r="G111" s="7">
        <v>6</v>
      </c>
      <c r="H111" s="7">
        <v>403756.99</v>
      </c>
      <c r="I111" s="6">
        <v>100</v>
      </c>
      <c r="J111" s="7">
        <v>5.66</v>
      </c>
      <c r="K111" s="8">
        <v>12</v>
      </c>
      <c r="L111" t="s">
        <v>1141</v>
      </c>
    </row>
    <row r="112" spans="1:12" ht="15.5">
      <c r="A112" s="9" t="s">
        <v>271</v>
      </c>
      <c r="B112" s="7" t="s">
        <v>280</v>
      </c>
      <c r="C112" s="7" t="s">
        <v>13</v>
      </c>
      <c r="D112" s="7">
        <v>2023</v>
      </c>
      <c r="E112" s="7">
        <v>84.74</v>
      </c>
      <c r="F112" s="7">
        <v>64</v>
      </c>
      <c r="G112" s="7">
        <v>6</v>
      </c>
      <c r="H112" s="7">
        <v>287702.75</v>
      </c>
      <c r="I112" s="6">
        <v>100</v>
      </c>
      <c r="J112" s="7">
        <v>5.07</v>
      </c>
      <c r="K112" s="8">
        <v>14.71</v>
      </c>
      <c r="L112" t="s">
        <v>1141</v>
      </c>
    </row>
    <row r="113" spans="1:12" ht="15.5">
      <c r="A113" s="9" t="s">
        <v>271</v>
      </c>
      <c r="B113" s="7" t="s">
        <v>281</v>
      </c>
      <c r="C113" s="7" t="s">
        <v>13</v>
      </c>
      <c r="D113" s="7">
        <v>2023</v>
      </c>
      <c r="E113" s="7">
        <v>77.819999999999993</v>
      </c>
      <c r="F113" s="7">
        <v>195</v>
      </c>
      <c r="G113" s="7">
        <v>6</v>
      </c>
      <c r="H113" s="7">
        <v>63487.05</v>
      </c>
      <c r="I113" s="6">
        <v>100</v>
      </c>
      <c r="J113" s="7">
        <v>4.3</v>
      </c>
      <c r="K113" s="8">
        <v>12.89</v>
      </c>
      <c r="L113" t="s">
        <v>1141</v>
      </c>
    </row>
    <row r="114" spans="1:12" ht="15.5">
      <c r="A114" s="9" t="s">
        <v>271</v>
      </c>
      <c r="B114" s="7" t="s">
        <v>283</v>
      </c>
      <c r="C114" s="7" t="s">
        <v>13</v>
      </c>
      <c r="D114" s="7">
        <v>2023</v>
      </c>
      <c r="E114" s="7">
        <v>79.91</v>
      </c>
      <c r="F114" s="7">
        <v>161</v>
      </c>
      <c r="G114" s="7">
        <v>6</v>
      </c>
      <c r="H114" s="7">
        <v>161747.04999999999</v>
      </c>
      <c r="I114" s="6">
        <v>99.87</v>
      </c>
      <c r="J114" s="7">
        <v>5.04</v>
      </c>
      <c r="K114" s="8">
        <v>11.23</v>
      </c>
      <c r="L114" t="s">
        <v>1141</v>
      </c>
    </row>
    <row r="115" spans="1:12" ht="15.5">
      <c r="A115" s="9" t="s">
        <v>271</v>
      </c>
      <c r="B115" s="7" t="s">
        <v>284</v>
      </c>
      <c r="C115" s="7" t="s">
        <v>13</v>
      </c>
      <c r="D115" s="7">
        <v>2023</v>
      </c>
      <c r="E115" s="7">
        <v>87.31</v>
      </c>
      <c r="F115" s="7">
        <v>24</v>
      </c>
      <c r="G115" s="7">
        <v>6</v>
      </c>
      <c r="H115" s="7">
        <v>278957.96000000002</v>
      </c>
      <c r="I115" s="6">
        <v>99.85</v>
      </c>
      <c r="J115" s="7">
        <v>5.63</v>
      </c>
      <c r="K115" s="8">
        <v>12.73</v>
      </c>
      <c r="L115" t="s">
        <v>1141</v>
      </c>
    </row>
    <row r="116" spans="1:12" ht="15.5">
      <c r="A116" s="9" t="s">
        <v>271</v>
      </c>
      <c r="B116" s="7" t="s">
        <v>287</v>
      </c>
      <c r="C116" s="7" t="s">
        <v>13</v>
      </c>
      <c r="D116" s="7">
        <v>2023</v>
      </c>
      <c r="E116" s="7">
        <v>85.5</v>
      </c>
      <c r="F116" s="7">
        <v>48</v>
      </c>
      <c r="G116" s="7">
        <v>6</v>
      </c>
      <c r="H116" s="7">
        <v>355717.1</v>
      </c>
      <c r="I116" s="6">
        <v>100</v>
      </c>
      <c r="J116" s="7">
        <v>5.7</v>
      </c>
      <c r="K116" s="8">
        <v>14.46</v>
      </c>
      <c r="L116" t="s">
        <v>1141</v>
      </c>
    </row>
    <row r="117" spans="1:12" ht="15.5">
      <c r="A117" s="9" t="s">
        <v>271</v>
      </c>
      <c r="B117" s="7" t="s">
        <v>289</v>
      </c>
      <c r="C117" s="7" t="s">
        <v>13</v>
      </c>
      <c r="D117" s="7">
        <v>2023</v>
      </c>
      <c r="E117" s="7">
        <v>91.02</v>
      </c>
      <c r="F117" s="7">
        <v>3</v>
      </c>
      <c r="G117" s="7">
        <v>6</v>
      </c>
      <c r="H117" s="7">
        <v>320221.12</v>
      </c>
      <c r="I117" s="6">
        <v>100</v>
      </c>
      <c r="J117" s="7">
        <v>5.0599999999999996</v>
      </c>
      <c r="K117" s="8">
        <v>10.31</v>
      </c>
      <c r="L117" t="s">
        <v>1141</v>
      </c>
    </row>
    <row r="118" spans="1:12" ht="15.5">
      <c r="A118" s="9" t="s">
        <v>271</v>
      </c>
      <c r="B118" s="7" t="s">
        <v>290</v>
      </c>
      <c r="C118" s="7" t="s">
        <v>13</v>
      </c>
      <c r="D118" s="7">
        <v>2023</v>
      </c>
      <c r="E118" s="7">
        <v>87.79</v>
      </c>
      <c r="F118" s="7">
        <v>16</v>
      </c>
      <c r="G118" s="7">
        <v>6</v>
      </c>
      <c r="H118" s="7">
        <v>376817.05</v>
      </c>
      <c r="I118" s="6">
        <v>99.86</v>
      </c>
      <c r="J118" s="7">
        <v>4.9800000000000004</v>
      </c>
      <c r="K118" s="8">
        <v>10.8</v>
      </c>
      <c r="L118" t="s">
        <v>1141</v>
      </c>
    </row>
    <row r="119" spans="1:12" ht="15.5">
      <c r="A119" s="9" t="s">
        <v>271</v>
      </c>
      <c r="B119" s="7" t="s">
        <v>291</v>
      </c>
      <c r="C119" s="7" t="s">
        <v>13</v>
      </c>
      <c r="D119" s="7">
        <v>2023</v>
      </c>
      <c r="E119" s="7">
        <v>88.48</v>
      </c>
      <c r="F119" s="7">
        <v>9</v>
      </c>
      <c r="G119" s="7">
        <v>6</v>
      </c>
      <c r="H119" s="7">
        <v>251816.48</v>
      </c>
      <c r="I119" s="6">
        <v>100</v>
      </c>
      <c r="J119" s="7">
        <v>5.53</v>
      </c>
      <c r="K119" s="8">
        <v>10.63</v>
      </c>
      <c r="L119" t="s">
        <v>1141</v>
      </c>
    </row>
    <row r="120" spans="1:12" ht="15.5">
      <c r="A120" s="9" t="s">
        <v>271</v>
      </c>
      <c r="B120" s="7" t="s">
        <v>292</v>
      </c>
      <c r="C120" s="7" t="s">
        <v>13</v>
      </c>
      <c r="D120" s="7">
        <v>2023</v>
      </c>
      <c r="E120" s="7">
        <v>88.17</v>
      </c>
      <c r="F120" s="7">
        <v>11</v>
      </c>
      <c r="G120" s="7">
        <v>6</v>
      </c>
      <c r="H120" s="7">
        <v>641060.25</v>
      </c>
      <c r="I120" s="6">
        <v>100</v>
      </c>
      <c r="J120" s="7">
        <v>5.23</v>
      </c>
      <c r="K120" s="8">
        <v>10.8</v>
      </c>
      <c r="L120" t="s">
        <v>1141</v>
      </c>
    </row>
    <row r="121" spans="1:12" ht="15.5">
      <c r="A121" s="9" t="s">
        <v>271</v>
      </c>
      <c r="B121" s="7" t="s">
        <v>294</v>
      </c>
      <c r="C121" s="7" t="s">
        <v>13</v>
      </c>
      <c r="D121" s="7">
        <v>2023</v>
      </c>
      <c r="E121" s="7">
        <v>87.18</v>
      </c>
      <c r="F121" s="7">
        <v>27</v>
      </c>
      <c r="G121" s="7">
        <v>6</v>
      </c>
      <c r="H121" s="7">
        <v>679393.06</v>
      </c>
      <c r="I121" s="6">
        <v>100</v>
      </c>
      <c r="J121" s="7">
        <v>4.9800000000000004</v>
      </c>
      <c r="K121" s="8">
        <v>13.23</v>
      </c>
      <c r="L121" t="s">
        <v>1141</v>
      </c>
    </row>
    <row r="122" spans="1:12" ht="15.5">
      <c r="A122" s="9" t="s">
        <v>271</v>
      </c>
      <c r="B122" s="7" t="s">
        <v>295</v>
      </c>
      <c r="C122" s="7" t="s">
        <v>13</v>
      </c>
      <c r="D122" s="7">
        <v>2023</v>
      </c>
      <c r="E122" s="7">
        <v>86.94</v>
      </c>
      <c r="F122" s="7">
        <v>28</v>
      </c>
      <c r="G122" s="7">
        <v>6</v>
      </c>
      <c r="H122" s="7">
        <v>470880</v>
      </c>
      <c r="I122" s="7">
        <v>100</v>
      </c>
      <c r="J122" s="7">
        <v>3.1</v>
      </c>
      <c r="K122" s="8">
        <v>11.27</v>
      </c>
      <c r="L122" t="s">
        <v>1141</v>
      </c>
    </row>
    <row r="123" spans="1:12" ht="15.5">
      <c r="A123" s="9" t="s">
        <v>271</v>
      </c>
      <c r="B123" s="7" t="s">
        <v>296</v>
      </c>
      <c r="C123" s="7" t="s">
        <v>13</v>
      </c>
      <c r="D123" s="7">
        <v>2023</v>
      </c>
      <c r="E123" s="7">
        <v>84.45</v>
      </c>
      <c r="F123" s="7">
        <v>69</v>
      </c>
      <c r="G123" s="7">
        <v>6</v>
      </c>
      <c r="H123" s="7">
        <v>214958.29</v>
      </c>
      <c r="I123" s="6">
        <v>100</v>
      </c>
      <c r="J123" s="7">
        <v>5.2</v>
      </c>
      <c r="K123" s="8">
        <v>10.15</v>
      </c>
      <c r="L123" t="s">
        <v>1141</v>
      </c>
    </row>
    <row r="124" spans="1:12" ht="15.5">
      <c r="A124" s="9" t="s">
        <v>271</v>
      </c>
      <c r="B124" s="7" t="s">
        <v>298</v>
      </c>
      <c r="C124" s="7" t="s">
        <v>13</v>
      </c>
      <c r="D124" s="7">
        <v>2023</v>
      </c>
      <c r="E124" s="7">
        <v>89.27</v>
      </c>
      <c r="F124" s="7">
        <v>6</v>
      </c>
      <c r="G124" s="7">
        <v>6</v>
      </c>
      <c r="H124" s="7">
        <v>513325.78</v>
      </c>
      <c r="I124" s="6">
        <v>99.9</v>
      </c>
      <c r="J124" s="7">
        <v>5.0199999999999996</v>
      </c>
      <c r="K124" s="8">
        <v>7.78</v>
      </c>
      <c r="L124" t="s">
        <v>1141</v>
      </c>
    </row>
    <row r="125" spans="1:12" ht="15.5">
      <c r="A125" s="9" t="s">
        <v>271</v>
      </c>
      <c r="B125" s="7" t="s">
        <v>300</v>
      </c>
      <c r="C125" s="7" t="s">
        <v>13</v>
      </c>
      <c r="D125" s="7">
        <v>2023</v>
      </c>
      <c r="E125" s="7">
        <v>88.91</v>
      </c>
      <c r="F125" s="7">
        <v>8</v>
      </c>
      <c r="G125" s="7">
        <v>6</v>
      </c>
      <c r="H125" s="7">
        <v>162224.25</v>
      </c>
      <c r="I125" s="6">
        <v>100</v>
      </c>
      <c r="J125" s="7">
        <v>2.19</v>
      </c>
      <c r="K125" s="8">
        <v>8.36</v>
      </c>
      <c r="L125" t="s">
        <v>1141</v>
      </c>
    </row>
    <row r="126" spans="1:12" ht="15.5">
      <c r="A126" s="9" t="s">
        <v>271</v>
      </c>
      <c r="B126" s="7" t="s">
        <v>302</v>
      </c>
      <c r="C126" s="7" t="s">
        <v>13</v>
      </c>
      <c r="D126" s="7">
        <v>2023</v>
      </c>
      <c r="E126" s="7">
        <v>86.91</v>
      </c>
      <c r="F126" s="7">
        <v>29</v>
      </c>
      <c r="G126" s="7">
        <v>6</v>
      </c>
      <c r="H126" s="7">
        <v>190986.34</v>
      </c>
      <c r="I126" s="6">
        <v>99.63</v>
      </c>
      <c r="J126" s="7">
        <v>5.17</v>
      </c>
      <c r="K126" s="8">
        <v>10.02</v>
      </c>
      <c r="L126" t="s">
        <v>1141</v>
      </c>
    </row>
    <row r="127" spans="1:12" ht="15.5">
      <c r="A127" s="9" t="s">
        <v>271</v>
      </c>
      <c r="B127" s="7" t="s">
        <v>304</v>
      </c>
      <c r="C127" s="7" t="s">
        <v>13</v>
      </c>
      <c r="D127" s="7">
        <v>2023</v>
      </c>
      <c r="E127" s="7">
        <v>89.03</v>
      </c>
      <c r="F127" s="7">
        <v>7</v>
      </c>
      <c r="G127" s="7">
        <v>6</v>
      </c>
      <c r="H127" s="7">
        <v>566006.1</v>
      </c>
      <c r="I127" s="6">
        <v>100</v>
      </c>
      <c r="J127" s="7">
        <v>5.01</v>
      </c>
      <c r="K127" s="8">
        <v>7.77</v>
      </c>
      <c r="L127" t="s">
        <v>1141</v>
      </c>
    </row>
    <row r="128" spans="1:12" ht="15.5">
      <c r="A128" s="9" t="s">
        <v>271</v>
      </c>
      <c r="B128" s="7" t="s">
        <v>305</v>
      </c>
      <c r="C128" s="7" t="s">
        <v>13</v>
      </c>
      <c r="D128" s="7">
        <v>2023</v>
      </c>
      <c r="E128" s="7">
        <v>85.35</v>
      </c>
      <c r="F128" s="7">
        <v>52</v>
      </c>
      <c r="G128" s="7">
        <v>6</v>
      </c>
      <c r="H128" s="7">
        <v>142656.6</v>
      </c>
      <c r="I128" s="6">
        <v>100</v>
      </c>
      <c r="J128" s="7">
        <v>4.74</v>
      </c>
      <c r="K128" s="8">
        <v>8.2799999999999994</v>
      </c>
      <c r="L128" t="s">
        <v>1141</v>
      </c>
    </row>
    <row r="129" spans="1:12" ht="15.5">
      <c r="A129" s="9" t="s">
        <v>271</v>
      </c>
      <c r="B129" s="7" t="s">
        <v>306</v>
      </c>
      <c r="C129" s="7" t="s">
        <v>13</v>
      </c>
      <c r="D129" s="7">
        <v>2023</v>
      </c>
      <c r="E129" s="7">
        <v>77.84</v>
      </c>
      <c r="F129" s="7">
        <v>193</v>
      </c>
      <c r="G129" s="7">
        <v>6</v>
      </c>
      <c r="H129" s="7">
        <v>47992.3</v>
      </c>
      <c r="I129" s="6">
        <v>100</v>
      </c>
      <c r="J129" s="7">
        <v>5</v>
      </c>
      <c r="K129" s="8">
        <v>10.26</v>
      </c>
      <c r="L129" t="s">
        <v>1141</v>
      </c>
    </row>
    <row r="130" spans="1:12" ht="15.5">
      <c r="A130" s="9" t="s">
        <v>271</v>
      </c>
      <c r="B130" s="7" t="s">
        <v>307</v>
      </c>
      <c r="C130" s="7" t="s">
        <v>13</v>
      </c>
      <c r="D130" s="7">
        <v>2023</v>
      </c>
      <c r="E130" s="7">
        <v>85.58</v>
      </c>
      <c r="F130" s="7">
        <v>44</v>
      </c>
      <c r="G130" s="7">
        <v>6</v>
      </c>
      <c r="H130" s="7">
        <v>167076.95000000001</v>
      </c>
      <c r="I130" s="6">
        <v>99.78</v>
      </c>
      <c r="J130" s="7">
        <v>5.56</v>
      </c>
      <c r="K130" s="8">
        <v>11.9</v>
      </c>
      <c r="L130" t="s">
        <v>1141</v>
      </c>
    </row>
    <row r="131" spans="1:12" ht="15.5">
      <c r="A131" s="9" t="s">
        <v>271</v>
      </c>
      <c r="B131" s="7" t="s">
        <v>310</v>
      </c>
      <c r="C131" s="7" t="s">
        <v>13</v>
      </c>
      <c r="D131" s="7">
        <v>2023</v>
      </c>
      <c r="E131" s="7">
        <v>83.15</v>
      </c>
      <c r="F131" s="7">
        <v>95</v>
      </c>
      <c r="G131" s="7">
        <v>6</v>
      </c>
      <c r="H131" s="7">
        <v>142147.51999999999</v>
      </c>
      <c r="I131" s="6">
        <v>100</v>
      </c>
      <c r="J131" s="7">
        <v>5.53</v>
      </c>
      <c r="K131" s="8">
        <v>9.3800000000000008</v>
      </c>
      <c r="L131" t="s">
        <v>1141</v>
      </c>
    </row>
    <row r="132" spans="1:12" ht="15.5">
      <c r="A132" s="9" t="s">
        <v>271</v>
      </c>
      <c r="B132" s="7" t="s">
        <v>311</v>
      </c>
      <c r="C132" s="7" t="s">
        <v>13</v>
      </c>
      <c r="D132" s="7">
        <v>2023</v>
      </c>
      <c r="E132" s="7">
        <v>81.81</v>
      </c>
      <c r="F132" s="7">
        <v>123</v>
      </c>
      <c r="G132" s="7">
        <v>6</v>
      </c>
      <c r="H132" s="7">
        <v>168024.58</v>
      </c>
      <c r="I132" s="6">
        <v>100</v>
      </c>
      <c r="J132" s="7">
        <v>5.14</v>
      </c>
      <c r="K132" s="8">
        <v>6.73</v>
      </c>
      <c r="L132" t="s">
        <v>1141</v>
      </c>
    </row>
    <row r="133" spans="1:12" ht="15.5">
      <c r="A133" s="9" t="s">
        <v>271</v>
      </c>
      <c r="B133" s="7" t="s">
        <v>313</v>
      </c>
      <c r="C133" s="7" t="s">
        <v>13</v>
      </c>
      <c r="D133" s="7">
        <v>2023</v>
      </c>
      <c r="E133" s="7">
        <v>80.84</v>
      </c>
      <c r="F133" s="7">
        <v>144</v>
      </c>
      <c r="G133" s="7">
        <v>6</v>
      </c>
      <c r="H133" s="7">
        <v>388744.86</v>
      </c>
      <c r="I133" s="6">
        <v>100</v>
      </c>
      <c r="J133" s="7">
        <v>4.1399999999999997</v>
      </c>
      <c r="K133" s="8">
        <v>9.4700000000000006</v>
      </c>
      <c r="L133" t="s">
        <v>1141</v>
      </c>
    </row>
    <row r="134" spans="1:12" ht="15.5">
      <c r="A134" s="9" t="s">
        <v>271</v>
      </c>
      <c r="B134" s="7" t="s">
        <v>315</v>
      </c>
      <c r="C134" s="7" t="s">
        <v>13</v>
      </c>
      <c r="D134" s="7">
        <v>2023</v>
      </c>
      <c r="E134" s="7">
        <v>82.84</v>
      </c>
      <c r="F134" s="7">
        <v>105</v>
      </c>
      <c r="G134" s="7">
        <v>6</v>
      </c>
      <c r="H134" s="7">
        <v>322591.57</v>
      </c>
      <c r="I134" s="6">
        <v>100</v>
      </c>
      <c r="J134" s="7">
        <v>4.93</v>
      </c>
      <c r="K134" s="8">
        <v>12.25</v>
      </c>
      <c r="L134" t="s">
        <v>1141</v>
      </c>
    </row>
    <row r="135" spans="1:12" ht="15.5">
      <c r="A135" s="9" t="s">
        <v>271</v>
      </c>
      <c r="B135" s="7" t="s">
        <v>317</v>
      </c>
      <c r="C135" s="7" t="s">
        <v>13</v>
      </c>
      <c r="D135" s="7">
        <v>2023</v>
      </c>
      <c r="E135" s="7">
        <v>77.209999999999994</v>
      </c>
      <c r="F135" s="7">
        <v>205</v>
      </c>
      <c r="G135" s="7">
        <v>6</v>
      </c>
      <c r="H135" s="7">
        <v>424806.94</v>
      </c>
      <c r="I135" s="6">
        <v>99.89</v>
      </c>
      <c r="J135" s="7">
        <v>3.74</v>
      </c>
      <c r="K135" s="8">
        <v>9.3699999999999992</v>
      </c>
      <c r="L135" t="s">
        <v>1141</v>
      </c>
    </row>
    <row r="136" spans="1:12" ht="15.5">
      <c r="A136" s="9" t="s">
        <v>271</v>
      </c>
      <c r="B136" s="7" t="s">
        <v>319</v>
      </c>
      <c r="C136" s="7" t="s">
        <v>62</v>
      </c>
      <c r="D136" s="7">
        <v>2023</v>
      </c>
      <c r="E136" s="7">
        <v>91.18</v>
      </c>
      <c r="F136" s="7">
        <v>10</v>
      </c>
      <c r="G136" s="7">
        <v>6</v>
      </c>
      <c r="H136" s="7">
        <v>640.25</v>
      </c>
      <c r="I136" s="6">
        <v>100</v>
      </c>
      <c r="J136" s="7">
        <v>5.45</v>
      </c>
      <c r="K136" s="8">
        <v>10.34</v>
      </c>
      <c r="L136" t="s">
        <v>1141</v>
      </c>
    </row>
    <row r="137" spans="1:12" ht="15.5">
      <c r="A137" s="9" t="s">
        <v>271</v>
      </c>
      <c r="B137" s="7" t="s">
        <v>321</v>
      </c>
      <c r="C137" s="7" t="s">
        <v>62</v>
      </c>
      <c r="D137" s="7">
        <v>2023</v>
      </c>
      <c r="E137" s="7">
        <v>85.8</v>
      </c>
      <c r="F137" s="7">
        <v>39</v>
      </c>
      <c r="G137" s="7">
        <v>6</v>
      </c>
      <c r="H137" s="7">
        <v>160.9</v>
      </c>
      <c r="I137" s="6">
        <v>100</v>
      </c>
      <c r="J137" s="7">
        <v>5.57</v>
      </c>
      <c r="K137" s="8">
        <v>7.92</v>
      </c>
      <c r="L137" t="s">
        <v>1141</v>
      </c>
    </row>
    <row r="138" spans="1:12" ht="15.5">
      <c r="A138" s="9" t="s">
        <v>271</v>
      </c>
      <c r="B138" s="7" t="s">
        <v>322</v>
      </c>
      <c r="C138" s="7" t="s">
        <v>62</v>
      </c>
      <c r="D138" s="7">
        <v>2023</v>
      </c>
      <c r="E138" s="7">
        <v>94.2</v>
      </c>
      <c r="F138" s="7">
        <v>2</v>
      </c>
      <c r="G138" s="7">
        <v>6</v>
      </c>
      <c r="H138" s="7">
        <v>3331.73</v>
      </c>
      <c r="I138" s="6">
        <v>100</v>
      </c>
      <c r="J138" s="7">
        <v>5.34</v>
      </c>
      <c r="K138" s="8">
        <v>5.83</v>
      </c>
      <c r="L138" t="s">
        <v>1141</v>
      </c>
    </row>
    <row r="139" spans="1:12" ht="15.5">
      <c r="A139" s="9" t="s">
        <v>271</v>
      </c>
      <c r="B139" s="7" t="s">
        <v>323</v>
      </c>
      <c r="C139" s="7" t="s">
        <v>62</v>
      </c>
      <c r="D139" s="7">
        <v>2023</v>
      </c>
      <c r="E139" s="7">
        <v>91.31</v>
      </c>
      <c r="F139" s="7">
        <v>9</v>
      </c>
      <c r="G139" s="7">
        <v>6</v>
      </c>
      <c r="H139" s="7">
        <v>16212.1</v>
      </c>
      <c r="I139" s="6">
        <v>100</v>
      </c>
      <c r="J139" s="7">
        <v>5.79</v>
      </c>
      <c r="K139" s="8">
        <v>6.81</v>
      </c>
      <c r="L139" t="s">
        <v>1141</v>
      </c>
    </row>
    <row r="140" spans="1:12" ht="15.5">
      <c r="A140" s="9" t="s">
        <v>271</v>
      </c>
      <c r="B140" s="7" t="s">
        <v>325</v>
      </c>
      <c r="C140" s="7" t="s">
        <v>62</v>
      </c>
      <c r="D140" s="7">
        <v>2023</v>
      </c>
      <c r="E140" s="7">
        <v>78.94</v>
      </c>
      <c r="F140" s="7">
        <v>72</v>
      </c>
      <c r="G140" s="7">
        <v>6</v>
      </c>
      <c r="H140" s="7">
        <v>7570.84</v>
      </c>
      <c r="I140" s="6">
        <v>100</v>
      </c>
      <c r="J140" s="7">
        <v>5.44</v>
      </c>
      <c r="K140" s="8">
        <v>7.76</v>
      </c>
      <c r="L140" t="s">
        <v>1141</v>
      </c>
    </row>
    <row r="141" spans="1:12" ht="15.5">
      <c r="A141" s="12" t="s">
        <v>271</v>
      </c>
      <c r="B141" s="13" t="s">
        <v>327</v>
      </c>
      <c r="C141" s="13" t="s">
        <v>62</v>
      </c>
      <c r="D141" s="13">
        <v>2023</v>
      </c>
      <c r="E141" s="13">
        <v>86</v>
      </c>
      <c r="F141" s="13">
        <v>38</v>
      </c>
      <c r="G141" s="13">
        <v>6</v>
      </c>
      <c r="H141" s="13">
        <v>3160.24</v>
      </c>
      <c r="I141" s="16">
        <v>99.89</v>
      </c>
      <c r="J141" s="13">
        <v>5.01</v>
      </c>
      <c r="K141" s="14">
        <v>7.16</v>
      </c>
      <c r="L141" t="s">
        <v>1141</v>
      </c>
    </row>
    <row r="142" spans="1:12" ht="15.5">
      <c r="A142" s="4" t="s">
        <v>328</v>
      </c>
      <c r="B142" s="5" t="s">
        <v>329</v>
      </c>
      <c r="C142" s="5" t="s">
        <v>13</v>
      </c>
      <c r="D142" s="5">
        <v>2023</v>
      </c>
      <c r="E142" s="5">
        <v>80.78</v>
      </c>
      <c r="F142" s="5">
        <v>145</v>
      </c>
      <c r="G142" s="5">
        <v>6</v>
      </c>
      <c r="H142" s="5">
        <v>89887.14</v>
      </c>
      <c r="I142" s="6">
        <v>99.88</v>
      </c>
      <c r="J142" s="5">
        <v>4.46</v>
      </c>
      <c r="K142" s="8">
        <v>11.36</v>
      </c>
      <c r="L142" t="s">
        <v>1141</v>
      </c>
    </row>
    <row r="143" spans="1:12" ht="15.5">
      <c r="A143" s="9" t="s">
        <v>328</v>
      </c>
      <c r="B143" s="7" t="s">
        <v>331</v>
      </c>
      <c r="C143" s="7" t="s">
        <v>13</v>
      </c>
      <c r="D143" s="7">
        <v>2023</v>
      </c>
      <c r="E143" s="7">
        <v>87.91</v>
      </c>
      <c r="F143" s="7">
        <v>14</v>
      </c>
      <c r="G143" s="7">
        <v>6</v>
      </c>
      <c r="H143" s="7">
        <v>382852.05</v>
      </c>
      <c r="I143" s="6">
        <v>100</v>
      </c>
      <c r="J143" s="7">
        <v>5.14</v>
      </c>
      <c r="K143" s="8">
        <v>9.19</v>
      </c>
      <c r="L143" t="s">
        <v>1141</v>
      </c>
    </row>
    <row r="144" spans="1:12" ht="15.5">
      <c r="A144" s="9" t="s">
        <v>328</v>
      </c>
      <c r="B144" s="7" t="s">
        <v>332</v>
      </c>
      <c r="C144" s="7" t="s">
        <v>13</v>
      </c>
      <c r="D144" s="7">
        <v>2023</v>
      </c>
      <c r="E144" s="7">
        <v>81.900000000000006</v>
      </c>
      <c r="F144" s="7">
        <v>121</v>
      </c>
      <c r="G144" s="7">
        <v>6</v>
      </c>
      <c r="H144" s="7">
        <v>112842.16</v>
      </c>
      <c r="I144" s="6">
        <v>99.6</v>
      </c>
      <c r="J144" s="7">
        <v>4.92</v>
      </c>
      <c r="K144" s="8">
        <v>11.83</v>
      </c>
      <c r="L144" t="s">
        <v>1141</v>
      </c>
    </row>
    <row r="145" spans="1:12" ht="15.5">
      <c r="A145" s="9" t="s">
        <v>328</v>
      </c>
      <c r="B145" s="7" t="s">
        <v>334</v>
      </c>
      <c r="C145" s="7" t="s">
        <v>13</v>
      </c>
      <c r="D145" s="7">
        <v>2023</v>
      </c>
      <c r="E145" s="7">
        <v>85.23</v>
      </c>
      <c r="F145" s="7">
        <v>59</v>
      </c>
      <c r="G145" s="7">
        <v>6</v>
      </c>
      <c r="H145" s="7">
        <v>229973.33</v>
      </c>
      <c r="I145" s="6">
        <v>99.76</v>
      </c>
      <c r="J145" s="7">
        <v>4.91</v>
      </c>
      <c r="K145" s="8">
        <v>7.68</v>
      </c>
      <c r="L145" t="s">
        <v>1141</v>
      </c>
    </row>
    <row r="146" spans="1:12" ht="15.5">
      <c r="A146" s="9" t="s">
        <v>328</v>
      </c>
      <c r="B146" s="7" t="s">
        <v>336</v>
      </c>
      <c r="C146" s="7" t="s">
        <v>13</v>
      </c>
      <c r="D146" s="7">
        <v>2023</v>
      </c>
      <c r="E146" s="7">
        <v>86.27</v>
      </c>
      <c r="F146" s="7">
        <v>37</v>
      </c>
      <c r="G146" s="7">
        <v>6</v>
      </c>
      <c r="H146" s="7">
        <v>233522</v>
      </c>
      <c r="I146" s="6">
        <v>100</v>
      </c>
      <c r="J146" s="7">
        <v>4.45</v>
      </c>
      <c r="K146" s="8">
        <v>10.91</v>
      </c>
      <c r="L146" t="s">
        <v>1141</v>
      </c>
    </row>
    <row r="147" spans="1:12" ht="15.5">
      <c r="A147" s="9" t="s">
        <v>328</v>
      </c>
      <c r="B147" s="7" t="s">
        <v>338</v>
      </c>
      <c r="C147" s="7" t="s">
        <v>13</v>
      </c>
      <c r="D147" s="7">
        <v>2023</v>
      </c>
      <c r="E147" s="7">
        <v>78.22</v>
      </c>
      <c r="F147" s="7">
        <v>186</v>
      </c>
      <c r="G147" s="7">
        <v>6</v>
      </c>
      <c r="H147" s="7">
        <v>182570.94</v>
      </c>
      <c r="I147" s="6">
        <v>100</v>
      </c>
      <c r="J147" s="7">
        <v>4.53</v>
      </c>
      <c r="K147" s="8">
        <v>8.3699999999999992</v>
      </c>
      <c r="L147" t="s">
        <v>1141</v>
      </c>
    </row>
    <row r="148" spans="1:12" ht="15.5">
      <c r="A148" s="9" t="s">
        <v>328</v>
      </c>
      <c r="B148" s="7" t="s">
        <v>340</v>
      </c>
      <c r="C148" s="7" t="s">
        <v>13</v>
      </c>
      <c r="D148" s="7">
        <v>2023</v>
      </c>
      <c r="E148" s="7">
        <v>79.97</v>
      </c>
      <c r="F148" s="7">
        <v>158</v>
      </c>
      <c r="G148" s="7">
        <v>6</v>
      </c>
      <c r="H148" s="7">
        <v>282626.33</v>
      </c>
      <c r="I148" s="6">
        <v>99.88</v>
      </c>
      <c r="J148" s="7">
        <v>5</v>
      </c>
      <c r="K148" s="8">
        <v>8.4700000000000006</v>
      </c>
      <c r="L148" t="s">
        <v>1141</v>
      </c>
    </row>
    <row r="149" spans="1:12" ht="15.5">
      <c r="A149" s="9" t="s">
        <v>328</v>
      </c>
      <c r="B149" s="7" t="s">
        <v>341</v>
      </c>
      <c r="C149" s="7" t="s">
        <v>13</v>
      </c>
      <c r="D149" s="7">
        <v>2023</v>
      </c>
      <c r="E149" s="7">
        <v>79.42</v>
      </c>
      <c r="F149" s="7">
        <v>169</v>
      </c>
      <c r="G149" s="7">
        <v>6</v>
      </c>
      <c r="H149" s="7">
        <v>303882.51</v>
      </c>
      <c r="I149" s="6">
        <v>9943</v>
      </c>
      <c r="J149" s="7">
        <v>5</v>
      </c>
      <c r="K149" s="8">
        <v>8.77</v>
      </c>
      <c r="L149" t="s">
        <v>1141</v>
      </c>
    </row>
    <row r="150" spans="1:12" ht="15.5">
      <c r="A150" s="9" t="s">
        <v>328</v>
      </c>
      <c r="B150" s="7" t="s">
        <v>342</v>
      </c>
      <c r="C150" s="7" t="s">
        <v>13</v>
      </c>
      <c r="D150" s="7">
        <v>2023</v>
      </c>
      <c r="E150" s="7">
        <v>77.430000000000007</v>
      </c>
      <c r="F150" s="7">
        <v>201</v>
      </c>
      <c r="G150" s="7">
        <v>6</v>
      </c>
      <c r="H150" s="7">
        <v>610683.03</v>
      </c>
      <c r="I150" s="6">
        <v>99.9</v>
      </c>
      <c r="J150" s="7">
        <v>4.93</v>
      </c>
      <c r="K150" s="8">
        <v>10.38</v>
      </c>
      <c r="L150" t="s">
        <v>1141</v>
      </c>
    </row>
    <row r="151" spans="1:12" ht="15.5">
      <c r="A151" s="9" t="s">
        <v>328</v>
      </c>
      <c r="B151" s="7" t="s">
        <v>343</v>
      </c>
      <c r="C151" s="7" t="s">
        <v>13</v>
      </c>
      <c r="D151" s="7">
        <v>2023</v>
      </c>
      <c r="E151" s="7">
        <v>84.91</v>
      </c>
      <c r="F151" s="7">
        <v>61</v>
      </c>
      <c r="G151" s="7">
        <v>6</v>
      </c>
      <c r="H151" s="7">
        <v>442324.28</v>
      </c>
      <c r="I151" s="6">
        <v>100</v>
      </c>
      <c r="J151" s="7">
        <v>5.03</v>
      </c>
      <c r="K151" s="8">
        <v>9.07</v>
      </c>
      <c r="L151" t="s">
        <v>1141</v>
      </c>
    </row>
    <row r="152" spans="1:12" ht="15.5">
      <c r="A152" s="9" t="s">
        <v>328</v>
      </c>
      <c r="B152" s="7" t="s">
        <v>345</v>
      </c>
      <c r="C152" s="7" t="s">
        <v>13</v>
      </c>
      <c r="D152" s="7">
        <v>2023</v>
      </c>
      <c r="E152" s="7">
        <v>75.5</v>
      </c>
      <c r="F152" s="7">
        <v>237</v>
      </c>
      <c r="G152" s="7">
        <v>5</v>
      </c>
      <c r="H152" s="7">
        <v>249327.47</v>
      </c>
      <c r="I152" s="6">
        <v>100</v>
      </c>
      <c r="J152" s="7">
        <v>4.62</v>
      </c>
      <c r="K152" s="8">
        <v>12.72</v>
      </c>
      <c r="L152" t="s">
        <v>1141</v>
      </c>
    </row>
    <row r="153" spans="1:12" ht="15.5">
      <c r="A153" s="9" t="s">
        <v>328</v>
      </c>
      <c r="B153" s="7" t="s">
        <v>347</v>
      </c>
      <c r="C153" s="7" t="s">
        <v>13</v>
      </c>
      <c r="D153" s="7">
        <v>2023</v>
      </c>
      <c r="E153" s="7">
        <v>76.64</v>
      </c>
      <c r="F153" s="7">
        <v>220</v>
      </c>
      <c r="G153" s="7">
        <v>6</v>
      </c>
      <c r="H153" s="7">
        <v>156193.53</v>
      </c>
      <c r="I153" s="6">
        <v>100</v>
      </c>
      <c r="J153" s="7">
        <v>4.9000000000000004</v>
      </c>
      <c r="K153" s="8">
        <v>13.33</v>
      </c>
      <c r="L153" t="s">
        <v>1141</v>
      </c>
    </row>
    <row r="154" spans="1:12" ht="15.5">
      <c r="A154" s="9" t="s">
        <v>328</v>
      </c>
      <c r="B154" s="7" t="s">
        <v>349</v>
      </c>
      <c r="C154" s="7" t="s">
        <v>13</v>
      </c>
      <c r="D154" s="7">
        <v>2023</v>
      </c>
      <c r="E154" s="7">
        <v>73.27</v>
      </c>
      <c r="F154" s="7">
        <v>263</v>
      </c>
      <c r="G154" s="7">
        <v>5</v>
      </c>
      <c r="H154" s="7">
        <v>198675.42</v>
      </c>
      <c r="I154" s="6">
        <v>99.51</v>
      </c>
      <c r="J154" s="7">
        <v>4.7300000000000004</v>
      </c>
      <c r="K154" s="8">
        <v>10.43</v>
      </c>
      <c r="L154" t="s">
        <v>1140</v>
      </c>
    </row>
    <row r="155" spans="1:12" ht="15.5">
      <c r="A155" s="9" t="s">
        <v>328</v>
      </c>
      <c r="B155" s="7" t="s">
        <v>352</v>
      </c>
      <c r="C155" s="7" t="s">
        <v>13</v>
      </c>
      <c r="D155" s="7">
        <v>2023</v>
      </c>
      <c r="E155" s="7">
        <v>79.87</v>
      </c>
      <c r="F155" s="7">
        <v>162</v>
      </c>
      <c r="G155" s="7">
        <v>6</v>
      </c>
      <c r="H155" s="7">
        <v>259139.28</v>
      </c>
      <c r="I155" s="6">
        <v>99.88</v>
      </c>
      <c r="J155" s="7">
        <v>5.21</v>
      </c>
      <c r="K155" s="8">
        <v>9.0500000000000007</v>
      </c>
      <c r="L155" t="s">
        <v>1141</v>
      </c>
    </row>
    <row r="156" spans="1:12" ht="15.5">
      <c r="A156" s="9" t="s">
        <v>328</v>
      </c>
      <c r="B156" s="7" t="s">
        <v>354</v>
      </c>
      <c r="C156" s="7" t="s">
        <v>13</v>
      </c>
      <c r="D156" s="7">
        <v>2023</v>
      </c>
      <c r="E156" s="7">
        <v>83.51</v>
      </c>
      <c r="F156" s="7">
        <v>89</v>
      </c>
      <c r="G156" s="7">
        <v>6</v>
      </c>
      <c r="H156" s="7">
        <v>194704.13</v>
      </c>
      <c r="I156" s="6">
        <v>100</v>
      </c>
      <c r="J156" s="7">
        <v>6.16</v>
      </c>
      <c r="K156" s="8">
        <v>4.03</v>
      </c>
      <c r="L156" t="s">
        <v>1141</v>
      </c>
    </row>
    <row r="157" spans="1:12" ht="15.5">
      <c r="A157" s="9" t="s">
        <v>328</v>
      </c>
      <c r="B157" s="7" t="s">
        <v>356</v>
      </c>
      <c r="C157" s="7" t="s">
        <v>13</v>
      </c>
      <c r="D157" s="7">
        <v>2023</v>
      </c>
      <c r="E157" s="7">
        <v>86.7</v>
      </c>
      <c r="F157" s="7">
        <v>32</v>
      </c>
      <c r="G157" s="7">
        <v>6</v>
      </c>
      <c r="H157" s="7">
        <v>304967</v>
      </c>
      <c r="I157" s="6">
        <v>99.84</v>
      </c>
      <c r="J157" s="7">
        <v>5.15</v>
      </c>
      <c r="K157" s="8">
        <v>6.61</v>
      </c>
      <c r="L157" t="s">
        <v>1141</v>
      </c>
    </row>
    <row r="158" spans="1:12" ht="15.5">
      <c r="A158" s="9" t="s">
        <v>328</v>
      </c>
      <c r="B158" s="7" t="s">
        <v>357</v>
      </c>
      <c r="C158" s="7" t="s">
        <v>13</v>
      </c>
      <c r="D158" s="7">
        <v>2023</v>
      </c>
      <c r="E158" s="7">
        <v>83.99</v>
      </c>
      <c r="F158" s="7">
        <v>78</v>
      </c>
      <c r="G158" s="7">
        <v>6</v>
      </c>
      <c r="H158" s="7">
        <v>345490.9</v>
      </c>
      <c r="I158" s="6">
        <v>100</v>
      </c>
      <c r="J158" s="7">
        <v>5.04</v>
      </c>
      <c r="K158" s="8">
        <v>8.98</v>
      </c>
      <c r="L158" t="s">
        <v>1141</v>
      </c>
    </row>
    <row r="159" spans="1:12" ht="15.5">
      <c r="A159" s="9" t="s">
        <v>328</v>
      </c>
      <c r="B159" s="7" t="s">
        <v>358</v>
      </c>
      <c r="C159" s="7" t="s">
        <v>13</v>
      </c>
      <c r="D159" s="7">
        <v>2023</v>
      </c>
      <c r="E159" s="7">
        <v>83.68</v>
      </c>
      <c r="F159" s="7">
        <v>84</v>
      </c>
      <c r="G159" s="7">
        <v>6</v>
      </c>
      <c r="H159" s="7">
        <v>423068.39</v>
      </c>
      <c r="I159" s="6">
        <v>99.95</v>
      </c>
      <c r="J159" s="7">
        <v>5.4</v>
      </c>
      <c r="K159" s="8">
        <v>9.0299999999999994</v>
      </c>
      <c r="L159" t="s">
        <v>1141</v>
      </c>
    </row>
    <row r="160" spans="1:12" ht="15.5">
      <c r="A160" s="9" t="s">
        <v>328</v>
      </c>
      <c r="B160" s="7" t="s">
        <v>359</v>
      </c>
      <c r="C160" s="7" t="s">
        <v>13</v>
      </c>
      <c r="D160" s="7">
        <v>2023</v>
      </c>
      <c r="E160" s="7">
        <v>85.32</v>
      </c>
      <c r="F160" s="7">
        <v>54</v>
      </c>
      <c r="G160" s="7">
        <v>6</v>
      </c>
      <c r="H160" s="7">
        <v>418646.05</v>
      </c>
      <c r="I160" s="6">
        <v>99.93</v>
      </c>
      <c r="J160" s="7">
        <v>5.12</v>
      </c>
      <c r="K160" s="8">
        <v>12.46</v>
      </c>
      <c r="L160" t="s">
        <v>1141</v>
      </c>
    </row>
    <row r="161" spans="1:12" ht="15.5">
      <c r="A161" s="9" t="s">
        <v>328</v>
      </c>
      <c r="B161" s="7" t="s">
        <v>360</v>
      </c>
      <c r="C161" s="7" t="s">
        <v>13</v>
      </c>
      <c r="D161" s="7">
        <v>2023</v>
      </c>
      <c r="E161" s="7">
        <v>86.83</v>
      </c>
      <c r="F161" s="7">
        <v>30</v>
      </c>
      <c r="G161" s="7">
        <v>6</v>
      </c>
      <c r="H161" s="7">
        <v>271745.76</v>
      </c>
      <c r="I161" s="6">
        <v>100</v>
      </c>
      <c r="J161" s="7">
        <v>4.47</v>
      </c>
      <c r="K161" s="8">
        <v>9.2899999999999991</v>
      </c>
      <c r="L161" t="s">
        <v>1141</v>
      </c>
    </row>
    <row r="162" spans="1:12" ht="15.5">
      <c r="A162" s="9" t="s">
        <v>328</v>
      </c>
      <c r="B162" s="7" t="s">
        <v>361</v>
      </c>
      <c r="C162" s="7" t="s">
        <v>13</v>
      </c>
      <c r="D162" s="7">
        <v>2023</v>
      </c>
      <c r="E162" s="7">
        <v>84.98</v>
      </c>
      <c r="F162" s="7">
        <v>60</v>
      </c>
      <c r="G162" s="7">
        <v>6</v>
      </c>
      <c r="H162" s="7">
        <v>738585.81</v>
      </c>
      <c r="I162" s="6">
        <v>100</v>
      </c>
      <c r="J162" s="7">
        <v>4.49</v>
      </c>
      <c r="K162" s="8">
        <v>12.28</v>
      </c>
      <c r="L162" t="s">
        <v>1141</v>
      </c>
    </row>
    <row r="163" spans="1:12" ht="15.5">
      <c r="A163" s="9" t="s">
        <v>328</v>
      </c>
      <c r="B163" s="7" t="s">
        <v>363</v>
      </c>
      <c r="C163" s="7" t="s">
        <v>13</v>
      </c>
      <c r="D163" s="7">
        <v>2023</v>
      </c>
      <c r="E163" s="7">
        <v>85.4</v>
      </c>
      <c r="F163" s="7">
        <v>50</v>
      </c>
      <c r="G163" s="7">
        <v>6</v>
      </c>
      <c r="H163" s="7">
        <v>701420.35</v>
      </c>
      <c r="I163" s="6">
        <v>100</v>
      </c>
      <c r="J163" s="7">
        <v>2.4700000000000002</v>
      </c>
      <c r="K163" s="8">
        <v>8.09</v>
      </c>
      <c r="L163" t="s">
        <v>1141</v>
      </c>
    </row>
    <row r="164" spans="1:12" ht="15.5">
      <c r="A164" s="9" t="s">
        <v>328</v>
      </c>
      <c r="B164" s="7" t="s">
        <v>365</v>
      </c>
      <c r="C164" s="7" t="s">
        <v>13</v>
      </c>
      <c r="D164" s="7">
        <v>2023</v>
      </c>
      <c r="E164" s="7">
        <v>84.41</v>
      </c>
      <c r="F164" s="7">
        <v>70</v>
      </c>
      <c r="G164" s="7">
        <v>6</v>
      </c>
      <c r="H164" s="7">
        <v>498875.71</v>
      </c>
      <c r="I164" s="6">
        <v>100</v>
      </c>
      <c r="J164" s="7">
        <v>4.3600000000000003</v>
      </c>
      <c r="K164" s="8">
        <v>6.83</v>
      </c>
      <c r="L164" t="s">
        <v>1141</v>
      </c>
    </row>
    <row r="165" spans="1:12" ht="15.5">
      <c r="A165" s="9" t="s">
        <v>328</v>
      </c>
      <c r="B165" s="7" t="s">
        <v>367</v>
      </c>
      <c r="C165" s="7" t="s">
        <v>13</v>
      </c>
      <c r="D165" s="7">
        <v>2023</v>
      </c>
      <c r="E165" s="7">
        <v>87.28</v>
      </c>
      <c r="F165" s="7">
        <v>25</v>
      </c>
      <c r="G165" s="7">
        <v>6</v>
      </c>
      <c r="H165" s="7">
        <v>797015.13</v>
      </c>
      <c r="I165" s="6">
        <v>100</v>
      </c>
      <c r="J165" s="7">
        <v>4.28</v>
      </c>
      <c r="K165" s="8">
        <v>5.0599999999999996</v>
      </c>
      <c r="L165" t="s">
        <v>1141</v>
      </c>
    </row>
    <row r="166" spans="1:12" ht="15.5">
      <c r="A166" s="9" t="s">
        <v>328</v>
      </c>
      <c r="B166" s="7" t="s">
        <v>369</v>
      </c>
      <c r="C166" s="7" t="s">
        <v>13</v>
      </c>
      <c r="D166" s="7">
        <v>2023</v>
      </c>
      <c r="E166" s="7">
        <v>90.39</v>
      </c>
      <c r="F166" s="7">
        <v>5</v>
      </c>
      <c r="G166" s="7">
        <v>6</v>
      </c>
      <c r="H166" s="7">
        <v>416124.44</v>
      </c>
      <c r="I166" s="6">
        <v>100</v>
      </c>
      <c r="J166" s="7">
        <v>4.62</v>
      </c>
      <c r="K166" s="8">
        <v>3.67</v>
      </c>
      <c r="L166" t="s">
        <v>1141</v>
      </c>
    </row>
    <row r="167" spans="1:12" ht="15.5">
      <c r="A167" s="9" t="s">
        <v>328</v>
      </c>
      <c r="B167" s="7" t="s">
        <v>370</v>
      </c>
      <c r="C167" s="7" t="s">
        <v>13</v>
      </c>
      <c r="D167" s="7">
        <v>2023</v>
      </c>
      <c r="E167" s="7">
        <v>73.23</v>
      </c>
      <c r="F167" s="7">
        <v>264</v>
      </c>
      <c r="G167" s="7">
        <v>5</v>
      </c>
      <c r="H167" s="7">
        <v>186492.21</v>
      </c>
      <c r="I167" s="6">
        <v>99.93</v>
      </c>
      <c r="J167" s="7">
        <v>1.2</v>
      </c>
      <c r="K167" s="8">
        <v>9.19</v>
      </c>
      <c r="L167" t="s">
        <v>1140</v>
      </c>
    </row>
    <row r="168" spans="1:12" ht="15.5">
      <c r="A168" s="9" t="s">
        <v>328</v>
      </c>
      <c r="B168" s="7" t="s">
        <v>372</v>
      </c>
      <c r="C168" s="7" t="s">
        <v>13</v>
      </c>
      <c r="D168" s="7">
        <v>2023</v>
      </c>
      <c r="E168" s="7">
        <v>77.08</v>
      </c>
      <c r="F168" s="7">
        <v>207</v>
      </c>
      <c r="G168" s="7">
        <v>6</v>
      </c>
      <c r="H168" s="7">
        <v>167310.42000000001</v>
      </c>
      <c r="I168" s="6">
        <v>100</v>
      </c>
      <c r="J168" s="7">
        <v>2.56</v>
      </c>
      <c r="K168" s="8">
        <v>9.09</v>
      </c>
      <c r="L168" t="s">
        <v>1141</v>
      </c>
    </row>
    <row r="169" spans="1:12" ht="15.5">
      <c r="A169" s="9" t="s">
        <v>328</v>
      </c>
      <c r="B169" s="7" t="s">
        <v>374</v>
      </c>
      <c r="C169" s="7" t="s">
        <v>13</v>
      </c>
      <c r="D169" s="7">
        <v>2023</v>
      </c>
      <c r="E169" s="7">
        <v>79.44</v>
      </c>
      <c r="F169" s="7">
        <v>168</v>
      </c>
      <c r="G169" s="7">
        <v>6</v>
      </c>
      <c r="H169" s="7">
        <v>108339.66</v>
      </c>
      <c r="I169" s="6">
        <v>100</v>
      </c>
      <c r="J169" s="7">
        <v>4.96</v>
      </c>
      <c r="K169" s="8">
        <v>9.43</v>
      </c>
      <c r="L169" t="s">
        <v>1141</v>
      </c>
    </row>
    <row r="170" spans="1:12" ht="15.5">
      <c r="A170" s="9" t="s">
        <v>328</v>
      </c>
      <c r="B170" s="7" t="s">
        <v>376</v>
      </c>
      <c r="C170" s="7" t="s">
        <v>13</v>
      </c>
      <c r="D170" s="7">
        <v>2023</v>
      </c>
      <c r="E170" s="7">
        <v>77.02</v>
      </c>
      <c r="F170" s="7">
        <v>209</v>
      </c>
      <c r="G170" s="7">
        <v>6</v>
      </c>
      <c r="H170" s="7">
        <v>214325.95</v>
      </c>
      <c r="I170" s="6">
        <v>90.3</v>
      </c>
      <c r="J170" s="7">
        <v>5.35</v>
      </c>
      <c r="K170" s="8">
        <v>3.95</v>
      </c>
      <c r="L170" t="s">
        <v>1141</v>
      </c>
    </row>
    <row r="171" spans="1:12" ht="15.5">
      <c r="A171" s="9" t="s">
        <v>328</v>
      </c>
      <c r="B171" s="7" t="s">
        <v>379</v>
      </c>
      <c r="C171" s="7" t="s">
        <v>62</v>
      </c>
      <c r="D171" s="7">
        <v>2023</v>
      </c>
      <c r="E171" s="7">
        <v>76.42</v>
      </c>
      <c r="F171" s="7">
        <v>78</v>
      </c>
      <c r="G171" s="7">
        <v>6</v>
      </c>
      <c r="H171" s="7">
        <v>8601.19</v>
      </c>
      <c r="I171" s="6">
        <v>100</v>
      </c>
      <c r="J171" s="7">
        <v>1.92</v>
      </c>
      <c r="K171" s="8">
        <v>6.6</v>
      </c>
      <c r="L171" t="s">
        <v>1141</v>
      </c>
    </row>
    <row r="172" spans="1:12" ht="15.5">
      <c r="A172" s="9" t="s">
        <v>328</v>
      </c>
      <c r="B172" s="7" t="s">
        <v>381</v>
      </c>
      <c r="C172" s="7" t="s">
        <v>62</v>
      </c>
      <c r="D172" s="7">
        <v>2023</v>
      </c>
      <c r="E172" s="7">
        <v>79.25</v>
      </c>
      <c r="F172" s="7">
        <v>70</v>
      </c>
      <c r="G172" s="7">
        <v>6</v>
      </c>
      <c r="H172" s="7">
        <v>5635.28</v>
      </c>
      <c r="I172" s="6">
        <v>100</v>
      </c>
      <c r="J172" s="7">
        <v>5.29</v>
      </c>
      <c r="K172" s="8">
        <v>6.11</v>
      </c>
      <c r="L172" t="s">
        <v>1141</v>
      </c>
    </row>
    <row r="173" spans="1:12" ht="15.5">
      <c r="A173" s="9" t="s">
        <v>328</v>
      </c>
      <c r="B173" s="7" t="s">
        <v>383</v>
      </c>
      <c r="C173" s="7" t="s">
        <v>62</v>
      </c>
      <c r="D173" s="7">
        <v>2023</v>
      </c>
      <c r="E173" s="7">
        <v>85.27</v>
      </c>
      <c r="F173" s="7">
        <v>43</v>
      </c>
      <c r="G173" s="7">
        <v>6</v>
      </c>
      <c r="H173" s="7">
        <v>11304.43</v>
      </c>
      <c r="I173" s="6">
        <v>100</v>
      </c>
      <c r="J173" s="7">
        <v>6.07</v>
      </c>
      <c r="K173" s="8">
        <v>5.04</v>
      </c>
      <c r="L173" t="s">
        <v>1141</v>
      </c>
    </row>
    <row r="174" spans="1:12" ht="15.5">
      <c r="A174" s="9" t="s">
        <v>328</v>
      </c>
      <c r="B174" s="7" t="s">
        <v>385</v>
      </c>
      <c r="C174" s="7" t="s">
        <v>62</v>
      </c>
      <c r="D174" s="7">
        <v>2023</v>
      </c>
      <c r="E174" s="7">
        <v>80.010000000000005</v>
      </c>
      <c r="F174" s="7">
        <v>66</v>
      </c>
      <c r="G174" s="7">
        <v>6</v>
      </c>
      <c r="H174" s="7">
        <v>7520.28</v>
      </c>
      <c r="I174" s="6">
        <v>100</v>
      </c>
      <c r="J174" s="7">
        <v>6.04</v>
      </c>
      <c r="K174" s="8">
        <v>5.29</v>
      </c>
      <c r="L174" t="s">
        <v>1141</v>
      </c>
    </row>
    <row r="175" spans="1:12" ht="15.5">
      <c r="A175" s="9" t="s">
        <v>328</v>
      </c>
      <c r="B175" s="7" t="s">
        <v>387</v>
      </c>
      <c r="C175" s="7" t="s">
        <v>62</v>
      </c>
      <c r="D175" s="7">
        <v>2023</v>
      </c>
      <c r="E175" s="7">
        <v>81.45</v>
      </c>
      <c r="F175" s="7">
        <v>60</v>
      </c>
      <c r="G175" s="7">
        <v>6</v>
      </c>
      <c r="H175" s="7">
        <v>8157.33</v>
      </c>
      <c r="I175" s="6">
        <v>100</v>
      </c>
      <c r="J175" s="7">
        <v>5.65</v>
      </c>
      <c r="K175" s="8">
        <v>5.96</v>
      </c>
      <c r="L175" t="s">
        <v>1141</v>
      </c>
    </row>
    <row r="176" spans="1:12" ht="15.5">
      <c r="A176" s="9" t="s">
        <v>328</v>
      </c>
      <c r="B176" s="7" t="s">
        <v>388</v>
      </c>
      <c r="C176" s="7" t="s">
        <v>62</v>
      </c>
      <c r="D176" s="7">
        <v>2023</v>
      </c>
      <c r="E176" s="7">
        <v>89.83</v>
      </c>
      <c r="F176" s="7">
        <v>15</v>
      </c>
      <c r="G176" s="7">
        <v>6</v>
      </c>
      <c r="H176" s="7">
        <v>3405.49</v>
      </c>
      <c r="I176" s="6">
        <v>100</v>
      </c>
      <c r="J176" s="7">
        <v>2.79</v>
      </c>
      <c r="K176" s="8">
        <v>5.18</v>
      </c>
      <c r="L176" t="s">
        <v>1141</v>
      </c>
    </row>
    <row r="177" spans="1:12" ht="15.5">
      <c r="A177" s="9" t="s">
        <v>328</v>
      </c>
      <c r="B177" s="7" t="s">
        <v>390</v>
      </c>
      <c r="C177" s="7" t="s">
        <v>62</v>
      </c>
      <c r="D177" s="7">
        <v>2023</v>
      </c>
      <c r="E177" s="7">
        <v>92.49</v>
      </c>
      <c r="F177" s="7">
        <v>5</v>
      </c>
      <c r="G177" s="7">
        <v>6</v>
      </c>
      <c r="H177" s="7">
        <v>11824.85</v>
      </c>
      <c r="I177" s="6">
        <v>100</v>
      </c>
      <c r="J177" s="7">
        <v>5.8</v>
      </c>
      <c r="K177" s="8">
        <v>5.84</v>
      </c>
      <c r="L177" t="s">
        <v>1141</v>
      </c>
    </row>
    <row r="178" spans="1:12" ht="15.5">
      <c r="A178" s="9" t="s">
        <v>328</v>
      </c>
      <c r="B178" s="7" t="s">
        <v>392</v>
      </c>
      <c r="C178" s="7" t="s">
        <v>62</v>
      </c>
      <c r="D178" s="7">
        <v>2023</v>
      </c>
      <c r="E178" s="7">
        <v>92.14</v>
      </c>
      <c r="F178" s="7">
        <v>6</v>
      </c>
      <c r="G178" s="7">
        <v>6</v>
      </c>
      <c r="H178" s="7">
        <v>8075.33</v>
      </c>
      <c r="I178" s="6">
        <v>100</v>
      </c>
      <c r="J178" s="7">
        <v>5.7</v>
      </c>
      <c r="K178" s="8">
        <v>4.0599999999999996</v>
      </c>
      <c r="L178" t="s">
        <v>1141</v>
      </c>
    </row>
    <row r="179" spans="1:12" ht="15.5">
      <c r="A179" s="12" t="s">
        <v>328</v>
      </c>
      <c r="B179" s="13" t="s">
        <v>393</v>
      </c>
      <c r="C179" s="13" t="s">
        <v>62</v>
      </c>
      <c r="D179" s="13">
        <v>2023</v>
      </c>
      <c r="E179" s="13">
        <v>80.16</v>
      </c>
      <c r="F179" s="13">
        <v>64</v>
      </c>
      <c r="G179" s="13">
        <v>6</v>
      </c>
      <c r="H179" s="13">
        <v>5286.76</v>
      </c>
      <c r="I179" s="16">
        <v>100</v>
      </c>
      <c r="J179" s="13">
        <v>6.19</v>
      </c>
      <c r="K179" s="14">
        <v>5.09</v>
      </c>
      <c r="L179" t="s">
        <v>1141</v>
      </c>
    </row>
    <row r="180" spans="1:12" ht="15.5">
      <c r="A180" s="4" t="s">
        <v>395</v>
      </c>
      <c r="B180" s="5" t="s">
        <v>396</v>
      </c>
      <c r="C180" s="5" t="s">
        <v>13</v>
      </c>
      <c r="D180" s="5">
        <v>2023</v>
      </c>
      <c r="E180" s="5">
        <v>69.709999999999994</v>
      </c>
      <c r="F180" s="5">
        <v>299</v>
      </c>
      <c r="G180" s="5">
        <v>5</v>
      </c>
      <c r="H180" s="5">
        <v>171366.17</v>
      </c>
      <c r="I180" s="6">
        <v>99.34</v>
      </c>
      <c r="J180" s="5">
        <v>4.6900000000000004</v>
      </c>
      <c r="K180" s="8">
        <v>16.850000000000001</v>
      </c>
      <c r="L180" t="s">
        <v>1140</v>
      </c>
    </row>
    <row r="181" spans="1:12" ht="15.5">
      <c r="A181" s="9" t="s">
        <v>395</v>
      </c>
      <c r="B181" s="7" t="s">
        <v>398</v>
      </c>
      <c r="C181" s="7" t="s">
        <v>13</v>
      </c>
      <c r="D181" s="7">
        <v>2023</v>
      </c>
      <c r="E181" s="7">
        <v>81.36</v>
      </c>
      <c r="F181" s="7">
        <v>133</v>
      </c>
      <c r="G181" s="7">
        <v>6</v>
      </c>
      <c r="H181" s="7">
        <v>32007.22</v>
      </c>
      <c r="I181" s="6">
        <v>92.97</v>
      </c>
      <c r="J181" s="7">
        <v>4.68</v>
      </c>
      <c r="K181" s="8">
        <v>15.21</v>
      </c>
      <c r="L181" t="s">
        <v>1141</v>
      </c>
    </row>
    <row r="182" spans="1:12" ht="15.5">
      <c r="A182" s="9" t="s">
        <v>395</v>
      </c>
      <c r="B182" s="7" t="s">
        <v>401</v>
      </c>
      <c r="C182" s="7" t="s">
        <v>13</v>
      </c>
      <c r="D182" s="7">
        <v>2023</v>
      </c>
      <c r="E182" s="7">
        <v>76.89</v>
      </c>
      <c r="F182" s="7">
        <v>215</v>
      </c>
      <c r="G182" s="7">
        <v>6</v>
      </c>
      <c r="H182" s="7">
        <v>100295.11</v>
      </c>
      <c r="I182" s="6">
        <v>90.35</v>
      </c>
      <c r="J182" s="7">
        <v>4.3899999999999997</v>
      </c>
      <c r="K182" s="8">
        <v>10.43</v>
      </c>
      <c r="L182" t="s">
        <v>1141</v>
      </c>
    </row>
    <row r="183" spans="1:12" ht="15.5">
      <c r="A183" s="9" t="s">
        <v>395</v>
      </c>
      <c r="B183" s="7" t="s">
        <v>404</v>
      </c>
      <c r="C183" s="7" t="s">
        <v>13</v>
      </c>
      <c r="D183" s="7">
        <v>2023</v>
      </c>
      <c r="E183" s="7">
        <v>74.040000000000006</v>
      </c>
      <c r="F183" s="7">
        <v>252</v>
      </c>
      <c r="G183" s="7">
        <v>5</v>
      </c>
      <c r="H183" s="7">
        <v>45815.46</v>
      </c>
      <c r="I183" s="6">
        <v>99.95</v>
      </c>
      <c r="J183" s="7">
        <v>5.09</v>
      </c>
      <c r="K183" s="8">
        <v>18.88</v>
      </c>
      <c r="L183" t="s">
        <v>1140</v>
      </c>
    </row>
    <row r="184" spans="1:12" ht="15.5">
      <c r="A184" s="9" t="s">
        <v>395</v>
      </c>
      <c r="B184" s="7" t="s">
        <v>405</v>
      </c>
      <c r="C184" s="7" t="s">
        <v>13</v>
      </c>
      <c r="D184" s="7">
        <v>2023</v>
      </c>
      <c r="E184" s="7">
        <v>77.819999999999993</v>
      </c>
      <c r="F184" s="7">
        <v>194</v>
      </c>
      <c r="G184" s="7">
        <v>6</v>
      </c>
      <c r="H184" s="7">
        <v>67097.42</v>
      </c>
      <c r="I184" s="6">
        <v>90.43</v>
      </c>
      <c r="J184" s="7">
        <v>2.04</v>
      </c>
      <c r="K184" s="8">
        <v>18.52</v>
      </c>
      <c r="L184" t="s">
        <v>1141</v>
      </c>
    </row>
    <row r="185" spans="1:12" ht="15.5">
      <c r="A185" s="9" t="s">
        <v>395</v>
      </c>
      <c r="B185" s="7" t="s">
        <v>408</v>
      </c>
      <c r="C185" s="7" t="s">
        <v>13</v>
      </c>
      <c r="D185" s="7">
        <v>2023</v>
      </c>
      <c r="E185" s="7">
        <v>75.989999999999995</v>
      </c>
      <c r="F185" s="7">
        <v>230</v>
      </c>
      <c r="G185" s="7">
        <v>6</v>
      </c>
      <c r="H185" s="7">
        <v>87088.67</v>
      </c>
      <c r="I185" s="6">
        <v>88.5</v>
      </c>
      <c r="J185" s="7">
        <v>1.1000000000000001</v>
      </c>
      <c r="K185" s="8">
        <v>14.58</v>
      </c>
      <c r="L185" t="s">
        <v>1141</v>
      </c>
    </row>
    <row r="186" spans="1:12" ht="15.5">
      <c r="A186" s="9" t="s">
        <v>395</v>
      </c>
      <c r="B186" s="7" t="s">
        <v>411</v>
      </c>
      <c r="C186" s="7" t="s">
        <v>13</v>
      </c>
      <c r="D186" s="7">
        <v>2023</v>
      </c>
      <c r="E186" s="7">
        <v>75.459999999999994</v>
      </c>
      <c r="F186" s="7">
        <v>239</v>
      </c>
      <c r="G186" s="7">
        <v>5</v>
      </c>
      <c r="H186" s="7">
        <v>24149.95</v>
      </c>
      <c r="I186" s="6">
        <v>71.680000000000007</v>
      </c>
      <c r="J186" s="7">
        <v>4.68</v>
      </c>
      <c r="K186" s="8">
        <v>13.56</v>
      </c>
      <c r="L186" t="s">
        <v>1141</v>
      </c>
    </row>
    <row r="187" spans="1:12" ht="15.5">
      <c r="A187" s="9" t="s">
        <v>395</v>
      </c>
      <c r="B187" s="7" t="s">
        <v>413</v>
      </c>
      <c r="C187" s="7" t="s">
        <v>13</v>
      </c>
      <c r="D187" s="7">
        <v>2023</v>
      </c>
      <c r="E187" s="7">
        <v>69.97</v>
      </c>
      <c r="F187" s="7">
        <v>297</v>
      </c>
      <c r="G187" s="7">
        <v>5</v>
      </c>
      <c r="H187" s="7">
        <v>19530.68</v>
      </c>
      <c r="I187" s="6">
        <v>89.82</v>
      </c>
      <c r="J187" s="7">
        <v>4.62</v>
      </c>
      <c r="K187" s="8">
        <v>12.75</v>
      </c>
      <c r="L187" t="s">
        <v>1140</v>
      </c>
    </row>
    <row r="188" spans="1:12" ht="15.5">
      <c r="A188" s="9" t="s">
        <v>395</v>
      </c>
      <c r="B188" s="7" t="s">
        <v>415</v>
      </c>
      <c r="C188" s="7" t="s">
        <v>13</v>
      </c>
      <c r="D188" s="7">
        <v>2023</v>
      </c>
      <c r="E188" s="7">
        <v>71.55</v>
      </c>
      <c r="F188" s="7">
        <v>283</v>
      </c>
      <c r="G188" s="7">
        <v>5</v>
      </c>
      <c r="H188" s="7">
        <v>26481.39</v>
      </c>
      <c r="I188" s="6">
        <v>74.86</v>
      </c>
      <c r="J188" s="7">
        <v>4.6900000000000004</v>
      </c>
      <c r="K188" s="8">
        <v>20.100000000000001</v>
      </c>
      <c r="L188" t="s">
        <v>1140</v>
      </c>
    </row>
    <row r="189" spans="1:12" ht="15.5">
      <c r="A189" s="9" t="s">
        <v>395</v>
      </c>
      <c r="B189" s="7" t="s">
        <v>417</v>
      </c>
      <c r="C189" s="7" t="s">
        <v>13</v>
      </c>
      <c r="D189" s="7">
        <v>2023</v>
      </c>
      <c r="E189" s="7">
        <v>54.8</v>
      </c>
      <c r="F189" s="7">
        <v>368</v>
      </c>
      <c r="G189" s="7">
        <v>3</v>
      </c>
      <c r="H189" s="7">
        <v>9476.7199999999993</v>
      </c>
      <c r="I189" s="6">
        <v>84.81</v>
      </c>
      <c r="J189" s="7">
        <v>4.5599999999999996</v>
      </c>
      <c r="K189" s="8">
        <v>19.73</v>
      </c>
      <c r="L189" t="s">
        <v>1140</v>
      </c>
    </row>
    <row r="190" spans="1:12" ht="15.5">
      <c r="A190" s="9" t="s">
        <v>395</v>
      </c>
      <c r="B190" s="7" t="s">
        <v>420</v>
      </c>
      <c r="C190" s="7" t="s">
        <v>13</v>
      </c>
      <c r="D190" s="7">
        <v>2023</v>
      </c>
      <c r="E190" s="7">
        <v>75.27</v>
      </c>
      <c r="F190" s="7">
        <v>241</v>
      </c>
      <c r="G190" s="7">
        <v>5</v>
      </c>
      <c r="H190" s="7">
        <v>36340.300000000003</v>
      </c>
      <c r="I190" s="6">
        <v>87.86</v>
      </c>
      <c r="J190" s="7">
        <v>4.4800000000000004</v>
      </c>
      <c r="K190" s="8">
        <v>11.9</v>
      </c>
      <c r="L190" t="s">
        <v>1141</v>
      </c>
    </row>
    <row r="191" spans="1:12" ht="15.5">
      <c r="A191" s="9" t="s">
        <v>395</v>
      </c>
      <c r="B191" s="7" t="s">
        <v>423</v>
      </c>
      <c r="C191" s="7" t="s">
        <v>13</v>
      </c>
      <c r="D191" s="7">
        <v>2023</v>
      </c>
      <c r="E191" s="7">
        <v>68.61</v>
      </c>
      <c r="F191" s="7">
        <v>312</v>
      </c>
      <c r="G191" s="7">
        <v>5</v>
      </c>
      <c r="H191" s="7">
        <v>55707.44</v>
      </c>
      <c r="I191" s="6">
        <v>93.78</v>
      </c>
      <c r="J191" s="7">
        <v>4.9800000000000004</v>
      </c>
      <c r="K191" s="8">
        <v>19.55</v>
      </c>
      <c r="L191" t="s">
        <v>1140</v>
      </c>
    </row>
    <row r="192" spans="1:12" ht="15.5">
      <c r="A192" s="9" t="s">
        <v>395</v>
      </c>
      <c r="B192" s="7" t="s">
        <v>425</v>
      </c>
      <c r="C192" s="7" t="s">
        <v>62</v>
      </c>
      <c r="D192" s="7">
        <v>2023</v>
      </c>
      <c r="E192" s="7">
        <v>71.150000000000006</v>
      </c>
      <c r="F192" s="7">
        <v>88</v>
      </c>
      <c r="G192" s="7">
        <v>6</v>
      </c>
      <c r="H192" s="7">
        <v>471.11</v>
      </c>
      <c r="I192" s="6">
        <v>100</v>
      </c>
      <c r="J192" s="7">
        <v>4.76</v>
      </c>
      <c r="K192" s="8">
        <v>9.7100000000000009</v>
      </c>
      <c r="L192" t="s">
        <v>1140</v>
      </c>
    </row>
    <row r="193" spans="1:12" ht="15.5">
      <c r="A193" s="12" t="s">
        <v>395</v>
      </c>
      <c r="B193" s="13" t="s">
        <v>427</v>
      </c>
      <c r="C193" s="13" t="s">
        <v>62</v>
      </c>
      <c r="D193" s="13">
        <v>2023</v>
      </c>
      <c r="E193" s="13">
        <v>68.12</v>
      </c>
      <c r="F193" s="13">
        <v>92</v>
      </c>
      <c r="G193" s="13">
        <v>5</v>
      </c>
      <c r="H193" s="13">
        <v>12585.5</v>
      </c>
      <c r="I193" s="16">
        <v>99.21</v>
      </c>
      <c r="J193" s="13">
        <v>5.0599999999999996</v>
      </c>
      <c r="K193" s="14">
        <v>9.2899999999999991</v>
      </c>
      <c r="L193" t="s">
        <v>1140</v>
      </c>
    </row>
    <row r="194" spans="1:12" ht="15.5">
      <c r="A194" s="4" t="s">
        <v>429</v>
      </c>
      <c r="B194" s="5" t="s">
        <v>430</v>
      </c>
      <c r="C194" s="5" t="s">
        <v>13</v>
      </c>
      <c r="D194" s="5">
        <v>2023</v>
      </c>
      <c r="E194" s="5">
        <v>83.45</v>
      </c>
      <c r="F194" s="5">
        <v>90</v>
      </c>
      <c r="G194" s="5">
        <v>6</v>
      </c>
      <c r="H194" s="5">
        <v>56168</v>
      </c>
      <c r="I194" s="6">
        <v>99.42</v>
      </c>
      <c r="J194" s="5">
        <v>4.78</v>
      </c>
      <c r="K194" s="8">
        <v>4.0599999999999996</v>
      </c>
      <c r="L194" t="s">
        <v>1141</v>
      </c>
    </row>
    <row r="195" spans="1:12" ht="15.5">
      <c r="A195" s="9" t="s">
        <v>429</v>
      </c>
      <c r="B195" s="7" t="s">
        <v>433</v>
      </c>
      <c r="C195" s="7" t="s">
        <v>13</v>
      </c>
      <c r="D195" s="7">
        <v>2023</v>
      </c>
      <c r="E195" s="7">
        <v>69.84</v>
      </c>
      <c r="F195" s="7">
        <v>298</v>
      </c>
      <c r="G195" s="7">
        <v>5</v>
      </c>
      <c r="H195" s="7">
        <v>16765</v>
      </c>
      <c r="I195" s="6">
        <v>90.68</v>
      </c>
      <c r="J195" s="7">
        <v>4.29</v>
      </c>
      <c r="K195" s="8">
        <v>4.43</v>
      </c>
      <c r="L195" t="s">
        <v>1140</v>
      </c>
    </row>
    <row r="196" spans="1:12" ht="15.5">
      <c r="A196" s="9" t="s">
        <v>429</v>
      </c>
      <c r="B196" s="7" t="s">
        <v>436</v>
      </c>
      <c r="C196" s="7" t="s">
        <v>13</v>
      </c>
      <c r="D196" s="7">
        <v>2023</v>
      </c>
      <c r="E196" s="7">
        <v>81.63</v>
      </c>
      <c r="F196" s="7">
        <v>126</v>
      </c>
      <c r="G196" s="7">
        <v>6</v>
      </c>
      <c r="H196" s="7">
        <v>109319</v>
      </c>
      <c r="I196" s="6">
        <v>99.68</v>
      </c>
      <c r="J196" s="7">
        <v>4.3499999999999996</v>
      </c>
      <c r="K196" s="8">
        <v>5.61</v>
      </c>
      <c r="L196" t="s">
        <v>1141</v>
      </c>
    </row>
    <row r="197" spans="1:12" ht="15.5">
      <c r="A197" s="9" t="s">
        <v>429</v>
      </c>
      <c r="B197" s="7" t="s">
        <v>438</v>
      </c>
      <c r="C197" s="7" t="s">
        <v>13</v>
      </c>
      <c r="D197" s="7">
        <v>2023</v>
      </c>
      <c r="E197" s="7">
        <v>80.84</v>
      </c>
      <c r="F197" s="7">
        <v>143</v>
      </c>
      <c r="G197" s="7">
        <v>6</v>
      </c>
      <c r="H197" s="7">
        <v>174921</v>
      </c>
      <c r="I197" s="6">
        <v>98.91</v>
      </c>
      <c r="J197" s="7">
        <v>3.91</v>
      </c>
      <c r="K197" s="8">
        <v>6.73</v>
      </c>
      <c r="L197" t="s">
        <v>1141</v>
      </c>
    </row>
    <row r="198" spans="1:12" ht="15.5">
      <c r="A198" s="9" t="s">
        <v>429</v>
      </c>
      <c r="B198" s="7" t="s">
        <v>440</v>
      </c>
      <c r="C198" s="7" t="s">
        <v>13</v>
      </c>
      <c r="D198" s="7">
        <v>2023</v>
      </c>
      <c r="E198" s="7">
        <v>88.1</v>
      </c>
      <c r="F198" s="7">
        <v>12</v>
      </c>
      <c r="G198" s="7">
        <v>6</v>
      </c>
      <c r="H198" s="7">
        <v>103841</v>
      </c>
      <c r="I198" s="6">
        <v>99.82</v>
      </c>
      <c r="J198" s="7">
        <v>4.88</v>
      </c>
      <c r="K198" s="8">
        <v>4.0999999999999996</v>
      </c>
      <c r="L198" t="s">
        <v>1141</v>
      </c>
    </row>
    <row r="199" spans="1:12" ht="15.5">
      <c r="A199" s="9" t="s">
        <v>429</v>
      </c>
      <c r="B199" s="7" t="s">
        <v>442</v>
      </c>
      <c r="C199" s="7" t="s">
        <v>13</v>
      </c>
      <c r="D199" s="7">
        <v>2023</v>
      </c>
      <c r="E199" s="7">
        <v>81.31</v>
      </c>
      <c r="F199" s="7">
        <v>138</v>
      </c>
      <c r="G199" s="7">
        <v>6</v>
      </c>
      <c r="H199" s="7">
        <v>79650</v>
      </c>
      <c r="I199" s="6">
        <v>99.89</v>
      </c>
      <c r="J199" s="7">
        <v>5.27</v>
      </c>
      <c r="K199" s="8">
        <v>6.26</v>
      </c>
      <c r="L199" t="s">
        <v>1141</v>
      </c>
    </row>
    <row r="200" spans="1:12" ht="15.5">
      <c r="A200" s="9" t="s">
        <v>429</v>
      </c>
      <c r="B200" s="7" t="s">
        <v>444</v>
      </c>
      <c r="C200" s="7" t="s">
        <v>13</v>
      </c>
      <c r="D200" s="7">
        <v>2023</v>
      </c>
      <c r="E200" s="7">
        <v>79.06</v>
      </c>
      <c r="F200" s="7">
        <v>176</v>
      </c>
      <c r="G200" s="7">
        <v>6</v>
      </c>
      <c r="H200" s="7">
        <v>108865</v>
      </c>
      <c r="I200" s="6">
        <v>99.33</v>
      </c>
      <c r="J200" s="7">
        <v>4.1100000000000003</v>
      </c>
      <c r="K200" s="8">
        <v>5.55</v>
      </c>
      <c r="L200" t="s">
        <v>1141</v>
      </c>
    </row>
    <row r="201" spans="1:12" ht="15.5">
      <c r="A201" s="9" t="s">
        <v>429</v>
      </c>
      <c r="B201" s="7" t="s">
        <v>447</v>
      </c>
      <c r="C201" s="7" t="s">
        <v>13</v>
      </c>
      <c r="D201" s="7">
        <v>2023</v>
      </c>
      <c r="E201" s="7">
        <v>74.23</v>
      </c>
      <c r="F201" s="7">
        <v>249</v>
      </c>
      <c r="G201" s="7">
        <v>5</v>
      </c>
      <c r="H201" s="7">
        <v>66435</v>
      </c>
      <c r="I201" s="6">
        <v>99.53</v>
      </c>
      <c r="J201" s="7">
        <v>4.51</v>
      </c>
      <c r="K201" s="8">
        <v>5.63</v>
      </c>
      <c r="L201" t="s">
        <v>1140</v>
      </c>
    </row>
    <row r="202" spans="1:12" ht="15.5">
      <c r="A202" s="9" t="s">
        <v>429</v>
      </c>
      <c r="B202" s="7" t="s">
        <v>449</v>
      </c>
      <c r="C202" s="7" t="s">
        <v>13</v>
      </c>
      <c r="D202" s="7">
        <v>2023</v>
      </c>
      <c r="E202" s="7">
        <v>84.31</v>
      </c>
      <c r="F202" s="7">
        <v>74</v>
      </c>
      <c r="G202" s="7">
        <v>6</v>
      </c>
      <c r="H202" s="7">
        <v>57133</v>
      </c>
      <c r="I202" s="6">
        <v>99.89</v>
      </c>
      <c r="J202" s="7">
        <v>4.9000000000000004</v>
      </c>
      <c r="K202" s="8">
        <v>4.1500000000000004</v>
      </c>
      <c r="L202" t="s">
        <v>1141</v>
      </c>
    </row>
    <row r="203" spans="1:12" ht="15.5">
      <c r="A203" s="9" t="s">
        <v>429</v>
      </c>
      <c r="B203" s="7" t="s">
        <v>450</v>
      </c>
      <c r="C203" s="7" t="s">
        <v>13</v>
      </c>
      <c r="D203" s="7">
        <v>2023</v>
      </c>
      <c r="E203" s="7">
        <v>83.73</v>
      </c>
      <c r="F203" s="7">
        <v>82</v>
      </c>
      <c r="G203" s="7">
        <v>6</v>
      </c>
      <c r="H203" s="7">
        <v>40232</v>
      </c>
      <c r="I203" s="6">
        <v>99.49</v>
      </c>
      <c r="J203" s="7">
        <v>4.84</v>
      </c>
      <c r="K203" s="8">
        <v>2.31</v>
      </c>
      <c r="L203" t="s">
        <v>1141</v>
      </c>
    </row>
    <row r="204" spans="1:12" ht="15.5">
      <c r="A204" s="9" t="s">
        <v>429</v>
      </c>
      <c r="B204" s="7" t="s">
        <v>452</v>
      </c>
      <c r="C204" s="7" t="s">
        <v>13</v>
      </c>
      <c r="D204" s="7">
        <v>2023</v>
      </c>
      <c r="E204" s="7">
        <v>81.94</v>
      </c>
      <c r="F204" s="7">
        <v>120</v>
      </c>
      <c r="G204" s="7">
        <v>6</v>
      </c>
      <c r="H204" s="7">
        <v>16071</v>
      </c>
      <c r="I204" s="6">
        <v>99.82</v>
      </c>
      <c r="J204" s="7">
        <v>4.17</v>
      </c>
      <c r="K204" s="8">
        <v>6.04</v>
      </c>
      <c r="L204" t="s">
        <v>1141</v>
      </c>
    </row>
    <row r="205" spans="1:12" ht="15.5">
      <c r="A205" s="9" t="s">
        <v>429</v>
      </c>
      <c r="B205" s="7" t="s">
        <v>454</v>
      </c>
      <c r="C205" s="7" t="s">
        <v>62</v>
      </c>
      <c r="D205" s="7">
        <v>2023</v>
      </c>
      <c r="E205" s="7">
        <v>85.62</v>
      </c>
      <c r="F205" s="7">
        <v>40</v>
      </c>
      <c r="G205" s="7">
        <v>6</v>
      </c>
      <c r="H205" s="7">
        <v>4189</v>
      </c>
      <c r="I205" s="6">
        <v>100</v>
      </c>
      <c r="J205" s="7">
        <v>5.62</v>
      </c>
      <c r="K205" s="8">
        <v>3.56</v>
      </c>
      <c r="L205" t="s">
        <v>1141</v>
      </c>
    </row>
    <row r="206" spans="1:12" ht="15.5">
      <c r="A206" s="12" t="s">
        <v>429</v>
      </c>
      <c r="B206" s="13" t="s">
        <v>456</v>
      </c>
      <c r="C206" s="13" t="s">
        <v>62</v>
      </c>
      <c r="D206" s="13">
        <v>2023</v>
      </c>
      <c r="E206" s="13">
        <v>82.35</v>
      </c>
      <c r="F206" s="13">
        <v>57</v>
      </c>
      <c r="G206" s="13">
        <v>6</v>
      </c>
      <c r="H206" s="13">
        <v>1696</v>
      </c>
      <c r="I206" s="16">
        <v>100</v>
      </c>
      <c r="J206" s="13">
        <v>6.81</v>
      </c>
      <c r="K206" s="14">
        <v>2.31</v>
      </c>
      <c r="L206" t="s">
        <v>1141</v>
      </c>
    </row>
    <row r="207" spans="1:12" ht="15.5">
      <c r="A207" s="4" t="s">
        <v>458</v>
      </c>
      <c r="B207" s="5" t="s">
        <v>459</v>
      </c>
      <c r="C207" s="5" t="s">
        <v>13</v>
      </c>
      <c r="D207" s="5">
        <v>2023</v>
      </c>
      <c r="E207" s="5">
        <v>60.27</v>
      </c>
      <c r="F207" s="5">
        <v>347</v>
      </c>
      <c r="G207" s="5">
        <v>4</v>
      </c>
      <c r="H207" s="5">
        <v>423</v>
      </c>
      <c r="I207" s="6">
        <v>97.24</v>
      </c>
      <c r="J207" s="5">
        <v>6.1</v>
      </c>
      <c r="K207" s="8">
        <v>6.52</v>
      </c>
      <c r="L207" t="s">
        <v>1140</v>
      </c>
    </row>
    <row r="208" spans="1:12" ht="15.5">
      <c r="A208" s="9" t="s">
        <v>458</v>
      </c>
      <c r="B208" s="7" t="s">
        <v>462</v>
      </c>
      <c r="C208" s="7" t="s">
        <v>13</v>
      </c>
      <c r="D208" s="7">
        <v>2023</v>
      </c>
      <c r="E208" s="7">
        <v>73.69</v>
      </c>
      <c r="F208" s="7">
        <v>257</v>
      </c>
      <c r="G208" s="7">
        <v>5</v>
      </c>
      <c r="H208" s="7">
        <v>28378.87</v>
      </c>
      <c r="I208" s="6">
        <v>83.75</v>
      </c>
      <c r="J208" s="7">
        <v>1.81</v>
      </c>
      <c r="K208" s="8">
        <v>8.44</v>
      </c>
      <c r="L208" t="s">
        <v>1140</v>
      </c>
    </row>
    <row r="209" spans="1:12" ht="15.5">
      <c r="A209" s="9" t="s">
        <v>458</v>
      </c>
      <c r="B209" s="7" t="s">
        <v>465</v>
      </c>
      <c r="C209" s="7" t="s">
        <v>13</v>
      </c>
      <c r="D209" s="7">
        <v>2023</v>
      </c>
      <c r="E209" s="7">
        <v>80.59</v>
      </c>
      <c r="F209" s="7">
        <v>148</v>
      </c>
      <c r="G209" s="7">
        <v>6</v>
      </c>
      <c r="H209" s="7">
        <v>144898.07</v>
      </c>
      <c r="I209" s="6">
        <v>96.49</v>
      </c>
      <c r="J209" s="7">
        <v>5.71</v>
      </c>
      <c r="K209" s="8">
        <v>16.09</v>
      </c>
      <c r="L209" t="s">
        <v>1141</v>
      </c>
    </row>
    <row r="210" spans="1:12" ht="15.5">
      <c r="A210" s="9" t="s">
        <v>458</v>
      </c>
      <c r="B210" s="7" t="s">
        <v>468</v>
      </c>
      <c r="C210" s="7" t="s">
        <v>13</v>
      </c>
      <c r="D210" s="7">
        <v>2023</v>
      </c>
      <c r="E210" s="7">
        <v>66.349999999999994</v>
      </c>
      <c r="F210" s="7">
        <v>320</v>
      </c>
      <c r="G210" s="7">
        <v>4</v>
      </c>
      <c r="H210" s="7">
        <v>5924.34</v>
      </c>
      <c r="I210" s="6">
        <v>85.34</v>
      </c>
      <c r="J210" s="7">
        <v>3.27</v>
      </c>
      <c r="K210" s="8">
        <v>11.68</v>
      </c>
      <c r="L210" t="s">
        <v>1140</v>
      </c>
    </row>
    <row r="211" spans="1:12" ht="15.5">
      <c r="A211" s="9" t="s">
        <v>458</v>
      </c>
      <c r="B211" s="7" t="s">
        <v>471</v>
      </c>
      <c r="C211" s="7" t="s">
        <v>13</v>
      </c>
      <c r="D211" s="7">
        <v>2023</v>
      </c>
      <c r="E211" s="7">
        <v>83.01</v>
      </c>
      <c r="F211" s="7">
        <v>102</v>
      </c>
      <c r="G211" s="7">
        <v>6</v>
      </c>
      <c r="H211" s="7">
        <v>8236.17</v>
      </c>
      <c r="I211" s="6">
        <v>91.51</v>
      </c>
      <c r="J211" s="7">
        <v>5.49</v>
      </c>
      <c r="K211" s="8">
        <v>13.2</v>
      </c>
      <c r="L211" t="s">
        <v>1141</v>
      </c>
    </row>
    <row r="212" spans="1:12" ht="15.5">
      <c r="A212" s="9" t="s">
        <v>458</v>
      </c>
      <c r="B212" s="7" t="s">
        <v>474</v>
      </c>
      <c r="C212" s="7" t="s">
        <v>13</v>
      </c>
      <c r="D212" s="7">
        <v>2023</v>
      </c>
      <c r="E212" s="7">
        <v>60.04</v>
      </c>
      <c r="F212" s="7">
        <v>349</v>
      </c>
      <c r="G212" s="7">
        <v>4</v>
      </c>
      <c r="H212" s="7">
        <v>1618.38</v>
      </c>
      <c r="I212" s="6">
        <v>89.66</v>
      </c>
      <c r="J212" s="7">
        <v>5.64</v>
      </c>
      <c r="K212" s="8">
        <v>6.43</v>
      </c>
      <c r="L212" t="s">
        <v>1140</v>
      </c>
    </row>
    <row r="213" spans="1:12" ht="15.5">
      <c r="A213" s="9" t="s">
        <v>458</v>
      </c>
      <c r="B213" s="7" t="s">
        <v>477</v>
      </c>
      <c r="C213" s="7" t="s">
        <v>13</v>
      </c>
      <c r="D213" s="7">
        <v>2023</v>
      </c>
      <c r="E213" s="7">
        <v>58.9</v>
      </c>
      <c r="F213" s="7">
        <v>356</v>
      </c>
      <c r="G213" s="7">
        <v>3</v>
      </c>
      <c r="H213" s="7">
        <v>762.46</v>
      </c>
      <c r="I213" s="6">
        <v>72.290000000000006</v>
      </c>
      <c r="J213" s="7">
        <v>1.59</v>
      </c>
      <c r="K213" s="8">
        <v>7.13</v>
      </c>
      <c r="L213" t="s">
        <v>1140</v>
      </c>
    </row>
    <row r="214" spans="1:12" ht="15.5">
      <c r="A214" s="9" t="s">
        <v>458</v>
      </c>
      <c r="B214" s="7" t="s">
        <v>480</v>
      </c>
      <c r="C214" s="7" t="s">
        <v>13</v>
      </c>
      <c r="D214" s="7">
        <v>2023</v>
      </c>
      <c r="E214" s="7">
        <v>59.25</v>
      </c>
      <c r="F214" s="7">
        <v>353</v>
      </c>
      <c r="G214" s="7">
        <v>3</v>
      </c>
      <c r="H214" s="7">
        <v>8938.65</v>
      </c>
      <c r="I214" s="6">
        <v>71.23</v>
      </c>
      <c r="J214" s="7">
        <v>4.55</v>
      </c>
      <c r="K214" s="8">
        <v>7.11</v>
      </c>
      <c r="L214" t="s">
        <v>1140</v>
      </c>
    </row>
    <row r="215" spans="1:12" ht="15.5">
      <c r="A215" s="9" t="s">
        <v>458</v>
      </c>
      <c r="B215" s="7" t="s">
        <v>483</v>
      </c>
      <c r="C215" s="7" t="s">
        <v>13</v>
      </c>
      <c r="D215" s="7">
        <v>2023</v>
      </c>
      <c r="E215" s="7">
        <v>76.739999999999995</v>
      </c>
      <c r="F215" s="7">
        <v>218</v>
      </c>
      <c r="G215" s="7">
        <v>6</v>
      </c>
      <c r="H215" s="7">
        <v>36180.18</v>
      </c>
      <c r="I215" s="6">
        <v>82.63</v>
      </c>
      <c r="J215" s="7">
        <v>5.98</v>
      </c>
      <c r="K215" s="8">
        <v>7.47</v>
      </c>
      <c r="L215" t="s">
        <v>1141</v>
      </c>
    </row>
    <row r="216" spans="1:12" ht="15.5">
      <c r="A216" s="9" t="s">
        <v>458</v>
      </c>
      <c r="B216" s="7" t="s">
        <v>486</v>
      </c>
      <c r="C216" s="7" t="s">
        <v>13</v>
      </c>
      <c r="D216" s="7">
        <v>2023</v>
      </c>
      <c r="E216" s="7">
        <v>81.33</v>
      </c>
      <c r="F216" s="7">
        <v>136</v>
      </c>
      <c r="G216" s="7">
        <v>6</v>
      </c>
      <c r="H216" s="7">
        <v>78632.479999999996</v>
      </c>
      <c r="I216" s="6">
        <v>95.17</v>
      </c>
      <c r="J216" s="7">
        <v>4.84</v>
      </c>
      <c r="K216" s="8">
        <v>10.73</v>
      </c>
      <c r="L216" t="s">
        <v>1141</v>
      </c>
    </row>
    <row r="217" spans="1:12" ht="15.5">
      <c r="A217" s="9" t="s">
        <v>458</v>
      </c>
      <c r="B217" s="7" t="s">
        <v>488</v>
      </c>
      <c r="C217" s="7" t="s">
        <v>13</v>
      </c>
      <c r="D217" s="7">
        <v>2023</v>
      </c>
      <c r="E217" s="7">
        <v>55.49</v>
      </c>
      <c r="F217" s="7">
        <v>367</v>
      </c>
      <c r="G217" s="7">
        <v>3</v>
      </c>
      <c r="H217" s="7">
        <v>620.73</v>
      </c>
      <c r="I217" s="6">
        <v>71.42</v>
      </c>
      <c r="J217" s="7">
        <v>4.25</v>
      </c>
      <c r="K217" s="8">
        <v>8.24</v>
      </c>
      <c r="L217" t="s">
        <v>1140</v>
      </c>
    </row>
    <row r="218" spans="1:12" ht="15.5">
      <c r="A218" s="9" t="s">
        <v>458</v>
      </c>
      <c r="B218" s="7" t="s">
        <v>491</v>
      </c>
      <c r="C218" s="7" t="s">
        <v>13</v>
      </c>
      <c r="D218" s="7">
        <v>2023</v>
      </c>
      <c r="E218" s="7">
        <v>80.290000000000006</v>
      </c>
      <c r="F218" s="7">
        <v>154</v>
      </c>
      <c r="G218" s="7">
        <v>6</v>
      </c>
      <c r="H218" s="7">
        <v>18998.79</v>
      </c>
      <c r="I218" s="6">
        <v>96.57</v>
      </c>
      <c r="J218" s="7">
        <v>3.47</v>
      </c>
      <c r="K218" s="8">
        <v>10.92</v>
      </c>
      <c r="L218" t="s">
        <v>1141</v>
      </c>
    </row>
    <row r="219" spans="1:12" ht="15.5">
      <c r="A219" s="9" t="s">
        <v>458</v>
      </c>
      <c r="B219" s="7" t="s">
        <v>494</v>
      </c>
      <c r="C219" s="7" t="s">
        <v>13</v>
      </c>
      <c r="D219" s="7">
        <v>2023</v>
      </c>
      <c r="E219" s="7">
        <v>49.08</v>
      </c>
      <c r="F219" s="7">
        <v>384</v>
      </c>
      <c r="G219" s="7">
        <v>2</v>
      </c>
      <c r="H219" s="7">
        <v>1067.02</v>
      </c>
      <c r="I219" s="6">
        <v>63.75</v>
      </c>
      <c r="J219" s="7">
        <v>5.46</v>
      </c>
      <c r="K219" s="8">
        <v>8.9700000000000006</v>
      </c>
      <c r="L219" t="s">
        <v>1140</v>
      </c>
    </row>
    <row r="220" spans="1:12" ht="15.5">
      <c r="A220" s="12" t="s">
        <v>458</v>
      </c>
      <c r="B220" s="13" t="s">
        <v>497</v>
      </c>
      <c r="C220" s="13" t="s">
        <v>62</v>
      </c>
      <c r="D220" s="13">
        <v>2023</v>
      </c>
      <c r="E220" s="13">
        <v>79.61</v>
      </c>
      <c r="F220" s="13">
        <v>68</v>
      </c>
      <c r="G220" s="13">
        <v>6</v>
      </c>
      <c r="H220" s="13">
        <v>53.49</v>
      </c>
      <c r="I220" s="16">
        <v>100</v>
      </c>
      <c r="J220" s="13">
        <v>6.57</v>
      </c>
      <c r="K220" s="14">
        <v>6.34</v>
      </c>
      <c r="L220" t="s">
        <v>1141</v>
      </c>
    </row>
    <row r="221" spans="1:12" ht="15.5">
      <c r="A221" s="4" t="s">
        <v>499</v>
      </c>
      <c r="B221" s="5" t="s">
        <v>500</v>
      </c>
      <c r="C221" s="5" t="s">
        <v>13</v>
      </c>
      <c r="D221" s="5">
        <v>2023</v>
      </c>
      <c r="E221" s="5">
        <v>83.7</v>
      </c>
      <c r="F221" s="5">
        <v>83</v>
      </c>
      <c r="G221" s="5">
        <v>6</v>
      </c>
      <c r="H221" s="5">
        <v>26369.02</v>
      </c>
      <c r="I221" s="6">
        <v>98.86</v>
      </c>
      <c r="J221" s="5">
        <v>1.38</v>
      </c>
      <c r="K221" s="8">
        <v>11.99</v>
      </c>
      <c r="L221" t="s">
        <v>1141</v>
      </c>
    </row>
    <row r="222" spans="1:12" ht="15.5">
      <c r="A222" s="9" t="s">
        <v>499</v>
      </c>
      <c r="B222" s="7" t="s">
        <v>503</v>
      </c>
      <c r="C222" s="7" t="s">
        <v>13</v>
      </c>
      <c r="D222" s="7">
        <v>2023</v>
      </c>
      <c r="E222" s="7">
        <v>58.39</v>
      </c>
      <c r="F222" s="7">
        <v>359</v>
      </c>
      <c r="G222" s="7">
        <v>3</v>
      </c>
      <c r="H222" s="7">
        <v>1342.49</v>
      </c>
      <c r="I222" s="6">
        <v>91.42</v>
      </c>
      <c r="J222" s="7">
        <v>5.82</v>
      </c>
      <c r="K222" s="8">
        <v>12.63</v>
      </c>
      <c r="L222" t="s">
        <v>1140</v>
      </c>
    </row>
    <row r="223" spans="1:12" ht="15.5">
      <c r="A223" s="9" t="s">
        <v>499</v>
      </c>
      <c r="B223" s="7" t="s">
        <v>506</v>
      </c>
      <c r="C223" s="7" t="s">
        <v>13</v>
      </c>
      <c r="D223" s="7">
        <v>2023</v>
      </c>
      <c r="E223" s="7">
        <v>85.53</v>
      </c>
      <c r="F223" s="7">
        <v>47</v>
      </c>
      <c r="G223" s="7">
        <v>6</v>
      </c>
      <c r="H223" s="7">
        <v>106411.09</v>
      </c>
      <c r="I223" s="6">
        <v>97.79</v>
      </c>
      <c r="J223" s="7">
        <v>5.13</v>
      </c>
      <c r="K223" s="8">
        <v>10.59</v>
      </c>
      <c r="L223" t="s">
        <v>1141</v>
      </c>
    </row>
    <row r="224" spans="1:12" ht="15.5">
      <c r="A224" s="9" t="s">
        <v>499</v>
      </c>
      <c r="B224" s="7" t="s">
        <v>509</v>
      </c>
      <c r="C224" s="7" t="s">
        <v>13</v>
      </c>
      <c r="D224" s="7">
        <v>2023</v>
      </c>
      <c r="E224" s="7">
        <v>65.760000000000005</v>
      </c>
      <c r="F224" s="7">
        <v>324</v>
      </c>
      <c r="G224" s="7">
        <v>4</v>
      </c>
      <c r="H224" s="7">
        <v>10777.38</v>
      </c>
      <c r="I224" s="6">
        <v>75.69</v>
      </c>
      <c r="J224" s="7">
        <v>7.71</v>
      </c>
      <c r="K224" s="8">
        <v>8.6999999999999993</v>
      </c>
      <c r="L224" t="s">
        <v>1140</v>
      </c>
    </row>
    <row r="225" spans="1:12" ht="15.5">
      <c r="A225" s="9" t="s">
        <v>499</v>
      </c>
      <c r="B225" s="7" t="s">
        <v>512</v>
      </c>
      <c r="C225" s="7" t="s">
        <v>13</v>
      </c>
      <c r="D225" s="7">
        <v>2023</v>
      </c>
      <c r="E225" s="7">
        <v>85.33</v>
      </c>
      <c r="F225" s="7">
        <v>53</v>
      </c>
      <c r="G225" s="7">
        <v>6</v>
      </c>
      <c r="H225" s="7">
        <v>20274.04</v>
      </c>
      <c r="I225" s="6">
        <v>95.37</v>
      </c>
      <c r="J225" s="7">
        <v>5.44</v>
      </c>
      <c r="K225" s="8">
        <v>7.86</v>
      </c>
      <c r="L225" t="s">
        <v>1141</v>
      </c>
    </row>
    <row r="226" spans="1:12" ht="15.5">
      <c r="A226" s="9" t="s">
        <v>499</v>
      </c>
      <c r="B226" s="7" t="s">
        <v>514</v>
      </c>
      <c r="C226" s="7" t="s">
        <v>13</v>
      </c>
      <c r="D226" s="7">
        <v>2023</v>
      </c>
      <c r="E226" s="7">
        <v>87.4</v>
      </c>
      <c r="F226" s="7">
        <v>22</v>
      </c>
      <c r="G226" s="7">
        <v>6</v>
      </c>
      <c r="H226" s="7">
        <v>44123.19</v>
      </c>
      <c r="I226" s="6">
        <v>99.48</v>
      </c>
      <c r="J226" s="7">
        <v>29.85</v>
      </c>
      <c r="K226" s="8">
        <v>16.34</v>
      </c>
      <c r="L226" t="s">
        <v>1141</v>
      </c>
    </row>
    <row r="227" spans="1:12" ht="15.5">
      <c r="A227" s="9" t="s">
        <v>499</v>
      </c>
      <c r="B227" s="7" t="s">
        <v>517</v>
      </c>
      <c r="C227" s="7" t="s">
        <v>13</v>
      </c>
      <c r="D227" s="7">
        <v>2023</v>
      </c>
      <c r="E227" s="7">
        <v>57.68</v>
      </c>
      <c r="F227" s="7">
        <v>360</v>
      </c>
      <c r="G227" s="7">
        <v>3</v>
      </c>
      <c r="H227" s="7">
        <v>650.92999999999995</v>
      </c>
      <c r="I227" s="6">
        <v>72.89</v>
      </c>
      <c r="J227" s="7">
        <v>2.8</v>
      </c>
      <c r="K227" s="8">
        <v>13.82</v>
      </c>
      <c r="L227" t="s">
        <v>1140</v>
      </c>
    </row>
    <row r="228" spans="1:12" ht="15.5">
      <c r="A228" s="9" t="s">
        <v>499</v>
      </c>
      <c r="B228" s="7" t="s">
        <v>519</v>
      </c>
      <c r="C228" s="7" t="s">
        <v>62</v>
      </c>
      <c r="D228" s="7">
        <v>2023</v>
      </c>
      <c r="E228" s="7">
        <v>91.4</v>
      </c>
      <c r="F228" s="7">
        <v>8</v>
      </c>
      <c r="G228" s="7">
        <v>6</v>
      </c>
      <c r="H228" s="7">
        <v>154.88</v>
      </c>
      <c r="I228" s="6">
        <v>99.46</v>
      </c>
      <c r="J228" s="7">
        <v>6.49</v>
      </c>
      <c r="K228" s="8">
        <v>6.98</v>
      </c>
      <c r="L228" t="s">
        <v>1141</v>
      </c>
    </row>
    <row r="229" spans="1:12" ht="15.5">
      <c r="A229" s="9" t="s">
        <v>499</v>
      </c>
      <c r="B229" s="7" t="s">
        <v>522</v>
      </c>
      <c r="C229" s="7" t="s">
        <v>62</v>
      </c>
      <c r="D229" s="7">
        <v>2023</v>
      </c>
      <c r="E229" s="7">
        <v>88.97</v>
      </c>
      <c r="F229" s="7">
        <v>21</v>
      </c>
      <c r="G229" s="7">
        <v>6</v>
      </c>
      <c r="H229" s="7">
        <v>5032.7</v>
      </c>
      <c r="I229" s="6">
        <v>100</v>
      </c>
      <c r="J229" s="7">
        <v>8.6199999999999992</v>
      </c>
      <c r="K229" s="8">
        <v>7.87</v>
      </c>
      <c r="L229" t="s">
        <v>1141</v>
      </c>
    </row>
    <row r="230" spans="1:12" ht="15.5">
      <c r="A230" s="12" t="s">
        <v>499</v>
      </c>
      <c r="B230" s="13" t="s">
        <v>524</v>
      </c>
      <c r="C230" s="13" t="s">
        <v>62</v>
      </c>
      <c r="D230" s="13">
        <v>2023</v>
      </c>
      <c r="E230" s="13">
        <v>88.76</v>
      </c>
      <c r="F230" s="13">
        <v>22</v>
      </c>
      <c r="G230" s="13">
        <v>6</v>
      </c>
      <c r="H230" s="13">
        <v>154.86000000000001</v>
      </c>
      <c r="I230" s="16">
        <v>97.52</v>
      </c>
      <c r="J230" s="13">
        <v>4.16</v>
      </c>
      <c r="K230" s="14">
        <v>6.95</v>
      </c>
      <c r="L230" t="s">
        <v>1141</v>
      </c>
    </row>
    <row r="231" spans="1:12" ht="15.5">
      <c r="A231" s="4" t="s">
        <v>526</v>
      </c>
      <c r="B231" s="5" t="s">
        <v>527</v>
      </c>
      <c r="C231" s="5" t="s">
        <v>13</v>
      </c>
      <c r="D231" s="5">
        <v>2023</v>
      </c>
      <c r="E231" s="5">
        <v>73.08</v>
      </c>
      <c r="F231" s="5">
        <v>266</v>
      </c>
      <c r="G231" s="5">
        <v>5</v>
      </c>
      <c r="H231" s="5">
        <v>5372.45</v>
      </c>
      <c r="I231" s="6">
        <v>76.239999999999995</v>
      </c>
      <c r="J231" s="5">
        <v>4.18</v>
      </c>
      <c r="K231" s="8">
        <v>16.440000000000001</v>
      </c>
      <c r="L231" t="s">
        <v>1140</v>
      </c>
    </row>
    <row r="232" spans="1:12" ht="15.5">
      <c r="A232" s="9" t="s">
        <v>526</v>
      </c>
      <c r="B232" s="7" t="s">
        <v>529</v>
      </c>
      <c r="C232" s="7" t="s">
        <v>13</v>
      </c>
      <c r="D232" s="7">
        <v>2023</v>
      </c>
      <c r="E232" s="7">
        <v>77.11</v>
      </c>
      <c r="F232" s="7">
        <v>206</v>
      </c>
      <c r="G232" s="7">
        <v>6</v>
      </c>
      <c r="H232" s="7">
        <v>10347.73</v>
      </c>
      <c r="I232" s="6">
        <v>97.69</v>
      </c>
      <c r="J232" s="7">
        <v>4.5999999999999996</v>
      </c>
      <c r="K232" s="8">
        <v>15.43</v>
      </c>
      <c r="L232" t="s">
        <v>1141</v>
      </c>
    </row>
    <row r="233" spans="1:12" ht="15.5">
      <c r="A233" s="9" t="s">
        <v>526</v>
      </c>
      <c r="B233" s="7" t="s">
        <v>532</v>
      </c>
      <c r="C233" s="7" t="s">
        <v>13</v>
      </c>
      <c r="D233" s="7">
        <v>2023</v>
      </c>
      <c r="E233" s="7">
        <v>60.54</v>
      </c>
      <c r="F233" s="7">
        <v>345</v>
      </c>
      <c r="G233" s="7">
        <v>4</v>
      </c>
      <c r="H233" s="7">
        <v>411.86</v>
      </c>
      <c r="I233" s="6">
        <v>95.23</v>
      </c>
      <c r="J233" s="7">
        <v>4.3</v>
      </c>
      <c r="K233" s="8">
        <v>16.78</v>
      </c>
      <c r="L233" t="s">
        <v>1140</v>
      </c>
    </row>
    <row r="234" spans="1:12" ht="15.5">
      <c r="A234" s="9" t="s">
        <v>526</v>
      </c>
      <c r="B234" s="7" t="s">
        <v>534</v>
      </c>
      <c r="C234" s="7" t="s">
        <v>13</v>
      </c>
      <c r="D234" s="7">
        <v>2023</v>
      </c>
      <c r="E234" s="7">
        <v>76.17</v>
      </c>
      <c r="F234" s="7">
        <v>227</v>
      </c>
      <c r="G234" s="7">
        <v>6</v>
      </c>
      <c r="H234" s="7">
        <v>8167.53</v>
      </c>
      <c r="I234" s="6">
        <v>96.78</v>
      </c>
      <c r="J234" s="7">
        <v>4.16</v>
      </c>
      <c r="K234" s="8">
        <v>19.75</v>
      </c>
      <c r="L234" t="s">
        <v>1141</v>
      </c>
    </row>
    <row r="235" spans="1:12" ht="15.5">
      <c r="A235" s="12" t="s">
        <v>526</v>
      </c>
      <c r="B235" s="13" t="s">
        <v>536</v>
      </c>
      <c r="C235" s="13" t="s">
        <v>62</v>
      </c>
      <c r="D235" s="13">
        <v>2023</v>
      </c>
      <c r="E235" s="13">
        <v>86.06</v>
      </c>
      <c r="F235" s="13">
        <v>37</v>
      </c>
      <c r="G235" s="13">
        <v>6</v>
      </c>
      <c r="H235" s="13">
        <v>47.65</v>
      </c>
      <c r="I235" s="16">
        <v>100</v>
      </c>
      <c r="J235" s="13">
        <v>5.9</v>
      </c>
      <c r="K235" s="14">
        <v>12.82</v>
      </c>
      <c r="L235" t="s">
        <v>1141</v>
      </c>
    </row>
    <row r="236" spans="1:12" ht="15.5">
      <c r="A236" s="4" t="s">
        <v>538</v>
      </c>
      <c r="B236" s="5" t="s">
        <v>539</v>
      </c>
      <c r="C236" s="5" t="s">
        <v>13</v>
      </c>
      <c r="D236" s="5">
        <v>2023</v>
      </c>
      <c r="E236" s="5">
        <v>81.31</v>
      </c>
      <c r="F236" s="5">
        <v>137</v>
      </c>
      <c r="G236" s="5">
        <v>6</v>
      </c>
      <c r="H236" s="5">
        <v>4683.95</v>
      </c>
      <c r="I236" s="6">
        <v>99.19</v>
      </c>
      <c r="J236" s="5">
        <v>4.4400000000000004</v>
      </c>
      <c r="K236" s="8">
        <v>13.4</v>
      </c>
      <c r="L236" t="s">
        <v>1141</v>
      </c>
    </row>
    <row r="237" spans="1:12" ht="15.5">
      <c r="A237" s="9" t="s">
        <v>538</v>
      </c>
      <c r="B237" s="7" t="s">
        <v>542</v>
      </c>
      <c r="C237" s="7" t="s">
        <v>13</v>
      </c>
      <c r="D237" s="7">
        <v>2023</v>
      </c>
      <c r="E237" s="7">
        <v>61.83</v>
      </c>
      <c r="F237" s="7">
        <v>339</v>
      </c>
      <c r="G237" s="7">
        <v>4</v>
      </c>
      <c r="H237" s="7">
        <v>741.39</v>
      </c>
      <c r="I237" s="6">
        <v>99.86</v>
      </c>
      <c r="J237" s="7">
        <v>5.75</v>
      </c>
      <c r="K237" s="8">
        <v>13.14</v>
      </c>
      <c r="L237" t="s">
        <v>1140</v>
      </c>
    </row>
    <row r="238" spans="1:12" ht="15.5">
      <c r="A238" s="9" t="s">
        <v>538</v>
      </c>
      <c r="B238" s="7" t="s">
        <v>544</v>
      </c>
      <c r="C238" s="7" t="s">
        <v>13</v>
      </c>
      <c r="D238" s="7">
        <v>2023</v>
      </c>
      <c r="E238" s="7">
        <v>63.76</v>
      </c>
      <c r="F238" s="7">
        <v>333</v>
      </c>
      <c r="G238" s="7">
        <v>4</v>
      </c>
      <c r="H238" s="7">
        <v>2810.08</v>
      </c>
      <c r="I238" s="6">
        <v>98.38</v>
      </c>
      <c r="J238" s="7">
        <v>2.5</v>
      </c>
      <c r="K238" s="8">
        <v>13.79</v>
      </c>
      <c r="L238" t="s">
        <v>1140</v>
      </c>
    </row>
    <row r="239" spans="1:12" ht="15.5">
      <c r="A239" s="9" t="s">
        <v>538</v>
      </c>
      <c r="B239" s="7" t="s">
        <v>547</v>
      </c>
      <c r="C239" s="7" t="s">
        <v>13</v>
      </c>
      <c r="D239" s="7">
        <v>2023</v>
      </c>
      <c r="E239" s="7">
        <v>58.62</v>
      </c>
      <c r="F239" s="7">
        <v>357</v>
      </c>
      <c r="G239" s="7">
        <v>3</v>
      </c>
      <c r="H239" s="7">
        <v>398.96</v>
      </c>
      <c r="I239" s="6">
        <v>100</v>
      </c>
      <c r="J239" s="7">
        <v>5.16</v>
      </c>
      <c r="K239" s="8">
        <v>14.51</v>
      </c>
      <c r="L239" t="s">
        <v>1140</v>
      </c>
    </row>
    <row r="240" spans="1:12" ht="15.5">
      <c r="A240" s="9" t="s">
        <v>538</v>
      </c>
      <c r="B240" s="7" t="s">
        <v>548</v>
      </c>
      <c r="C240" s="7" t="s">
        <v>13</v>
      </c>
      <c r="D240" s="7">
        <v>2023</v>
      </c>
      <c r="E240" s="7">
        <v>82.94</v>
      </c>
      <c r="F240" s="7">
        <v>103</v>
      </c>
      <c r="G240" s="7">
        <v>6</v>
      </c>
      <c r="H240" s="7">
        <v>55081</v>
      </c>
      <c r="I240" s="6">
        <v>100</v>
      </c>
      <c r="J240" s="7">
        <v>3.69</v>
      </c>
      <c r="K240" s="8">
        <v>13.08</v>
      </c>
      <c r="L240" t="s">
        <v>1141</v>
      </c>
    </row>
    <row r="241" spans="1:12" ht="15.5">
      <c r="A241" s="9" t="s">
        <v>538</v>
      </c>
      <c r="B241" s="7" t="s">
        <v>549</v>
      </c>
      <c r="C241" s="7" t="s">
        <v>13</v>
      </c>
      <c r="D241" s="7">
        <v>2023</v>
      </c>
      <c r="E241" s="7">
        <v>62.09</v>
      </c>
      <c r="F241" s="7">
        <v>338</v>
      </c>
      <c r="G241" s="7">
        <v>4</v>
      </c>
      <c r="H241" s="7">
        <v>1785.47</v>
      </c>
      <c r="I241" s="6">
        <v>99.74</v>
      </c>
      <c r="J241" s="7">
        <v>4.72</v>
      </c>
      <c r="K241" s="8">
        <v>12.24</v>
      </c>
      <c r="L241" t="s">
        <v>1140</v>
      </c>
    </row>
    <row r="242" spans="1:12" ht="15.5">
      <c r="A242" s="12" t="s">
        <v>538</v>
      </c>
      <c r="B242" s="13" t="s">
        <v>552</v>
      </c>
      <c r="C242" s="13" t="s">
        <v>62</v>
      </c>
      <c r="D242" s="13">
        <v>2023</v>
      </c>
      <c r="E242" s="13">
        <v>87.42</v>
      </c>
      <c r="F242" s="13">
        <v>31</v>
      </c>
      <c r="G242" s="13">
        <v>6</v>
      </c>
      <c r="H242" s="13"/>
      <c r="I242" s="16">
        <v>100</v>
      </c>
      <c r="J242" s="13">
        <v>5.32</v>
      </c>
      <c r="K242" s="14">
        <v>12.74</v>
      </c>
      <c r="L242" t="s">
        <v>1141</v>
      </c>
    </row>
    <row r="243" spans="1:12" ht="15.5">
      <c r="A243" s="4" t="s">
        <v>553</v>
      </c>
      <c r="B243" s="5" t="s">
        <v>554</v>
      </c>
      <c r="C243" s="5" t="s">
        <v>13</v>
      </c>
      <c r="D243" s="5">
        <v>2023</v>
      </c>
      <c r="E243" s="5">
        <v>62.97</v>
      </c>
      <c r="F243" s="5">
        <v>335</v>
      </c>
      <c r="G243" s="5">
        <v>4</v>
      </c>
      <c r="H243" s="5">
        <v>3.01</v>
      </c>
      <c r="I243" s="6">
        <v>100</v>
      </c>
      <c r="J243" s="5">
        <v>5.5</v>
      </c>
      <c r="K243" s="8">
        <v>14.7</v>
      </c>
      <c r="L243" t="s">
        <v>1140</v>
      </c>
    </row>
    <row r="244" spans="1:12" ht="15.5">
      <c r="A244" s="9" t="s">
        <v>553</v>
      </c>
      <c r="B244" s="7" t="s">
        <v>556</v>
      </c>
      <c r="C244" s="7" t="s">
        <v>13</v>
      </c>
      <c r="D244" s="7">
        <v>2023</v>
      </c>
      <c r="E244" s="7">
        <v>59.58</v>
      </c>
      <c r="F244" s="7">
        <v>350</v>
      </c>
      <c r="G244" s="7">
        <v>3</v>
      </c>
      <c r="H244" s="7">
        <v>11.42</v>
      </c>
      <c r="I244" s="6">
        <v>99.82</v>
      </c>
      <c r="J244" s="7">
        <v>6.14</v>
      </c>
      <c r="K244" s="8">
        <v>15.28</v>
      </c>
      <c r="L244" t="s">
        <v>1140</v>
      </c>
    </row>
    <row r="245" spans="1:12" ht="15.5">
      <c r="A245" s="9" t="s">
        <v>553</v>
      </c>
      <c r="B245" s="7" t="s">
        <v>558</v>
      </c>
      <c r="C245" s="7" t="s">
        <v>13</v>
      </c>
      <c r="D245" s="7">
        <v>2023</v>
      </c>
      <c r="E245" s="7">
        <v>59.15</v>
      </c>
      <c r="F245" s="7">
        <v>354</v>
      </c>
      <c r="G245" s="7">
        <v>3</v>
      </c>
      <c r="H245" s="7">
        <v>186.78</v>
      </c>
      <c r="I245" s="6">
        <v>99.65</v>
      </c>
      <c r="J245" s="7">
        <v>0.96</v>
      </c>
      <c r="K245" s="8">
        <v>15.94</v>
      </c>
      <c r="L245" t="s">
        <v>1140</v>
      </c>
    </row>
    <row r="246" spans="1:12" ht="15.5">
      <c r="A246" s="9" t="s">
        <v>553</v>
      </c>
      <c r="B246" s="7" t="s">
        <v>561</v>
      </c>
      <c r="C246" s="7" t="s">
        <v>13</v>
      </c>
      <c r="D246" s="7">
        <v>2023</v>
      </c>
      <c r="E246" s="7">
        <v>52.41</v>
      </c>
      <c r="F246" s="7">
        <v>375</v>
      </c>
      <c r="G246" s="7">
        <v>3</v>
      </c>
      <c r="H246" s="7">
        <v>166.78</v>
      </c>
      <c r="I246" s="6">
        <v>93.05</v>
      </c>
      <c r="J246" s="7">
        <v>4.3</v>
      </c>
      <c r="K246" s="8">
        <v>24.11</v>
      </c>
      <c r="L246" t="s">
        <v>1140</v>
      </c>
    </row>
    <row r="247" spans="1:12" ht="15.5">
      <c r="A247" s="9" t="s">
        <v>553</v>
      </c>
      <c r="B247" s="7" t="s">
        <v>563</v>
      </c>
      <c r="C247" s="7" t="s">
        <v>13</v>
      </c>
      <c r="D247" s="7">
        <v>2023</v>
      </c>
      <c r="E247" s="7">
        <v>55.72</v>
      </c>
      <c r="F247" s="7">
        <v>366</v>
      </c>
      <c r="G247" s="7">
        <v>3</v>
      </c>
      <c r="H247" s="7">
        <v>55.12</v>
      </c>
      <c r="I247" s="6">
        <v>97.19</v>
      </c>
      <c r="J247" s="7">
        <v>0.62</v>
      </c>
      <c r="K247" s="8">
        <v>13.71</v>
      </c>
      <c r="L247" t="s">
        <v>1140</v>
      </c>
    </row>
    <row r="248" spans="1:12" ht="15.5">
      <c r="A248" s="9" t="s">
        <v>553</v>
      </c>
      <c r="B248" s="7" t="s">
        <v>566</v>
      </c>
      <c r="C248" s="7" t="s">
        <v>62</v>
      </c>
      <c r="D248" s="7">
        <v>2023</v>
      </c>
      <c r="E248" s="7">
        <v>88.1</v>
      </c>
      <c r="F248" s="7">
        <v>27</v>
      </c>
      <c r="G248" s="7">
        <v>6</v>
      </c>
      <c r="I248" s="6">
        <v>97.21</v>
      </c>
      <c r="J248" s="7">
        <v>7.04</v>
      </c>
      <c r="K248" s="8">
        <v>7.53</v>
      </c>
      <c r="L248" t="s">
        <v>1141</v>
      </c>
    </row>
    <row r="249" spans="1:12" ht="15.5">
      <c r="A249" s="12" t="s">
        <v>553</v>
      </c>
      <c r="B249" s="13" t="s">
        <v>569</v>
      </c>
      <c r="C249" s="13" t="s">
        <v>62</v>
      </c>
      <c r="D249" s="13">
        <v>2023</v>
      </c>
      <c r="E249" s="13">
        <v>77.75</v>
      </c>
      <c r="F249" s="13">
        <v>75</v>
      </c>
      <c r="G249" s="13">
        <v>6</v>
      </c>
      <c r="H249" s="13"/>
      <c r="I249" s="16">
        <v>100</v>
      </c>
      <c r="J249" s="13">
        <v>4.92</v>
      </c>
      <c r="K249" s="14">
        <v>10.07</v>
      </c>
      <c r="L249" t="s">
        <v>1141</v>
      </c>
    </row>
    <row r="250" spans="1:12" ht="15.5">
      <c r="A250" s="4" t="s">
        <v>570</v>
      </c>
      <c r="B250" s="5" t="s">
        <v>571</v>
      </c>
      <c r="C250" s="5" t="s">
        <v>13</v>
      </c>
      <c r="D250" s="5">
        <v>2023</v>
      </c>
      <c r="E250" s="5">
        <v>75.39</v>
      </c>
      <c r="F250" s="5">
        <v>240</v>
      </c>
      <c r="G250" s="5">
        <v>5</v>
      </c>
      <c r="H250" s="5">
        <v>71718.86</v>
      </c>
      <c r="I250" s="6">
        <v>94.52</v>
      </c>
      <c r="J250" s="5">
        <v>4.6900000000000004</v>
      </c>
      <c r="K250" s="8">
        <v>8.5</v>
      </c>
      <c r="L250" t="s">
        <v>1141</v>
      </c>
    </row>
    <row r="251" spans="1:12" ht="15.5">
      <c r="A251" s="9" t="s">
        <v>570</v>
      </c>
      <c r="B251" s="7" t="s">
        <v>573</v>
      </c>
      <c r="C251" s="7" t="s">
        <v>13</v>
      </c>
      <c r="D251" s="7">
        <v>2023</v>
      </c>
      <c r="E251" s="7">
        <v>74.19</v>
      </c>
      <c r="F251" s="7">
        <v>250</v>
      </c>
      <c r="G251" s="7">
        <v>5</v>
      </c>
      <c r="H251" s="7">
        <v>148401.03</v>
      </c>
      <c r="I251" s="6">
        <v>92.06</v>
      </c>
      <c r="J251" s="7">
        <v>4.7</v>
      </c>
      <c r="K251" s="8">
        <v>9.19</v>
      </c>
      <c r="L251" t="s">
        <v>1140</v>
      </c>
    </row>
    <row r="252" spans="1:12" ht="15.5">
      <c r="A252" s="9" t="s">
        <v>570</v>
      </c>
      <c r="B252" s="7" t="s">
        <v>575</v>
      </c>
      <c r="C252" s="7" t="s">
        <v>13</v>
      </c>
      <c r="D252" s="7">
        <v>2023</v>
      </c>
      <c r="E252" s="7">
        <v>85.46</v>
      </c>
      <c r="F252" s="7">
        <v>49</v>
      </c>
      <c r="G252" s="7">
        <v>6</v>
      </c>
      <c r="H252" s="7">
        <v>321364.45</v>
      </c>
      <c r="I252" s="6">
        <v>98.74</v>
      </c>
      <c r="J252" s="7">
        <v>4.82</v>
      </c>
      <c r="K252" s="8">
        <v>7.61</v>
      </c>
      <c r="L252" t="s">
        <v>1141</v>
      </c>
    </row>
    <row r="253" spans="1:12" ht="15.5">
      <c r="A253" s="9" t="s">
        <v>570</v>
      </c>
      <c r="B253" s="7" t="s">
        <v>576</v>
      </c>
      <c r="C253" s="7" t="s">
        <v>13</v>
      </c>
      <c r="D253" s="7">
        <v>2023</v>
      </c>
      <c r="E253" s="7">
        <v>83.55</v>
      </c>
      <c r="F253" s="7">
        <v>88</v>
      </c>
      <c r="G253" s="7">
        <v>6</v>
      </c>
      <c r="H253" s="7">
        <v>465102.29</v>
      </c>
      <c r="I253" s="6">
        <v>99.31</v>
      </c>
      <c r="J253" s="7">
        <v>3.51</v>
      </c>
      <c r="K253" s="8">
        <v>10.59</v>
      </c>
      <c r="L253" t="s">
        <v>1141</v>
      </c>
    </row>
    <row r="254" spans="1:12" ht="15.5">
      <c r="A254" s="9" t="s">
        <v>570</v>
      </c>
      <c r="B254" s="7" t="s">
        <v>578</v>
      </c>
      <c r="C254" s="7" t="s">
        <v>13</v>
      </c>
      <c r="D254" s="7">
        <v>2023</v>
      </c>
      <c r="E254" s="7">
        <v>84.55</v>
      </c>
      <c r="F254" s="7">
        <v>66</v>
      </c>
      <c r="G254" s="7">
        <v>6</v>
      </c>
      <c r="H254" s="7">
        <v>588384.9</v>
      </c>
      <c r="I254" s="6">
        <v>98.6</v>
      </c>
      <c r="J254" s="7">
        <v>4.7</v>
      </c>
      <c r="K254" s="8">
        <v>9.35</v>
      </c>
      <c r="L254" t="s">
        <v>1141</v>
      </c>
    </row>
    <row r="255" spans="1:12" ht="15.5">
      <c r="A255" s="9" t="s">
        <v>570</v>
      </c>
      <c r="B255" s="7" t="s">
        <v>580</v>
      </c>
      <c r="C255" s="7" t="s">
        <v>13</v>
      </c>
      <c r="D255" s="7">
        <v>2023</v>
      </c>
      <c r="E255" s="7">
        <v>74.94</v>
      </c>
      <c r="F255" s="7">
        <v>242</v>
      </c>
      <c r="G255" s="7">
        <v>5</v>
      </c>
      <c r="H255" s="7">
        <v>72961.27</v>
      </c>
      <c r="I255" s="6">
        <v>99.05</v>
      </c>
      <c r="J255" s="7">
        <v>4.22</v>
      </c>
      <c r="K255" s="8">
        <v>10.28</v>
      </c>
      <c r="L255" t="s">
        <v>1141</v>
      </c>
    </row>
    <row r="256" spans="1:12" ht="15.5">
      <c r="A256" s="9" t="s">
        <v>570</v>
      </c>
      <c r="B256" s="7" t="s">
        <v>582</v>
      </c>
      <c r="C256" s="7" t="s">
        <v>13</v>
      </c>
      <c r="D256" s="7">
        <v>2023</v>
      </c>
      <c r="E256" s="7">
        <v>79.31</v>
      </c>
      <c r="F256" s="7">
        <v>171</v>
      </c>
      <c r="G256" s="7">
        <v>6</v>
      </c>
      <c r="H256" s="7">
        <v>83706.06</v>
      </c>
      <c r="I256" s="6">
        <v>96.91</v>
      </c>
      <c r="J256" s="7">
        <v>4.63</v>
      </c>
      <c r="K256" s="8">
        <v>7.11</v>
      </c>
      <c r="L256" t="s">
        <v>1141</v>
      </c>
    </row>
    <row r="257" spans="1:12" ht="15.5">
      <c r="A257" s="9" t="s">
        <v>570</v>
      </c>
      <c r="B257" s="7" t="s">
        <v>584</v>
      </c>
      <c r="C257" s="7" t="s">
        <v>13</v>
      </c>
      <c r="D257" s="7">
        <v>2023</v>
      </c>
      <c r="E257" s="7">
        <v>87.51</v>
      </c>
      <c r="F257" s="7">
        <v>21</v>
      </c>
      <c r="G257" s="7">
        <v>6</v>
      </c>
      <c r="H257" s="7">
        <v>300258.5</v>
      </c>
      <c r="I257" s="6">
        <v>96.65</v>
      </c>
      <c r="J257" s="7">
        <v>4.2699999999999996</v>
      </c>
      <c r="K257" s="8">
        <v>8.44</v>
      </c>
      <c r="L257" t="s">
        <v>1141</v>
      </c>
    </row>
    <row r="258" spans="1:12" ht="15.5">
      <c r="A258" s="9" t="s">
        <v>570</v>
      </c>
      <c r="B258" s="7" t="s">
        <v>586</v>
      </c>
      <c r="C258" s="7" t="s">
        <v>13</v>
      </c>
      <c r="D258" s="7">
        <v>2023</v>
      </c>
      <c r="E258" s="7">
        <v>77.89</v>
      </c>
      <c r="F258" s="7">
        <v>192</v>
      </c>
      <c r="G258" s="7">
        <v>6</v>
      </c>
      <c r="H258" s="7">
        <v>128209.24</v>
      </c>
      <c r="I258" s="6">
        <v>98.3</v>
      </c>
      <c r="J258" s="7">
        <v>4.49</v>
      </c>
      <c r="K258" s="8">
        <v>8.43</v>
      </c>
      <c r="L258" t="s">
        <v>1141</v>
      </c>
    </row>
    <row r="259" spans="1:12" ht="15.5">
      <c r="A259" s="9" t="s">
        <v>570</v>
      </c>
      <c r="B259" s="7" t="s">
        <v>588</v>
      </c>
      <c r="C259" s="7" t="s">
        <v>13</v>
      </c>
      <c r="D259" s="7">
        <v>2023</v>
      </c>
      <c r="E259" s="7">
        <v>87.38</v>
      </c>
      <c r="F259" s="7">
        <v>23</v>
      </c>
      <c r="G259" s="7">
        <v>6</v>
      </c>
      <c r="H259" s="7">
        <v>124652.1</v>
      </c>
      <c r="I259" s="6">
        <v>99.17</v>
      </c>
      <c r="J259" s="7">
        <v>4.78</v>
      </c>
      <c r="K259" s="8">
        <v>10.82</v>
      </c>
      <c r="L259" t="s">
        <v>1141</v>
      </c>
    </row>
    <row r="260" spans="1:12" ht="15.5">
      <c r="A260" s="9" t="s">
        <v>570</v>
      </c>
      <c r="B260" s="7" t="s">
        <v>590</v>
      </c>
      <c r="C260" s="7" t="s">
        <v>13</v>
      </c>
      <c r="D260" s="7">
        <v>2023</v>
      </c>
      <c r="E260" s="7">
        <v>86.21</v>
      </c>
      <c r="F260" s="7">
        <v>38</v>
      </c>
      <c r="G260" s="7">
        <v>6</v>
      </c>
      <c r="H260" s="7">
        <v>284981.87</v>
      </c>
      <c r="I260" s="6">
        <v>93.15</v>
      </c>
      <c r="J260" s="7">
        <v>4.0599999999999996</v>
      </c>
      <c r="K260" s="8">
        <v>8.75</v>
      </c>
      <c r="L260" t="s">
        <v>1141</v>
      </c>
    </row>
    <row r="261" spans="1:12" ht="15.5">
      <c r="A261" s="9" t="s">
        <v>570</v>
      </c>
      <c r="B261" s="7" t="s">
        <v>592</v>
      </c>
      <c r="C261" s="7" t="s">
        <v>13</v>
      </c>
      <c r="D261" s="7">
        <v>2023</v>
      </c>
      <c r="E261" s="7">
        <v>83.59</v>
      </c>
      <c r="F261" s="7">
        <v>85</v>
      </c>
      <c r="G261" s="7">
        <v>6</v>
      </c>
      <c r="H261" s="7">
        <v>46008.86</v>
      </c>
      <c r="I261" s="6">
        <v>97.93</v>
      </c>
      <c r="J261" s="7">
        <v>4.53</v>
      </c>
      <c r="K261" s="8">
        <v>8.07</v>
      </c>
      <c r="L261" t="s">
        <v>1141</v>
      </c>
    </row>
    <row r="262" spans="1:12" ht="15.5">
      <c r="A262" s="9" t="s">
        <v>570</v>
      </c>
      <c r="B262" s="7" t="s">
        <v>594</v>
      </c>
      <c r="C262" s="7" t="s">
        <v>13</v>
      </c>
      <c r="D262" s="7">
        <v>2023</v>
      </c>
      <c r="E262" s="7">
        <v>76.319999999999993</v>
      </c>
      <c r="F262" s="7">
        <v>224</v>
      </c>
      <c r="G262" s="7">
        <v>6</v>
      </c>
      <c r="H262" s="7">
        <v>60772.59</v>
      </c>
      <c r="I262" s="6">
        <v>92.66</v>
      </c>
      <c r="J262" s="7">
        <v>3.42</v>
      </c>
      <c r="K262" s="8">
        <v>7.23</v>
      </c>
      <c r="L262" t="s">
        <v>1141</v>
      </c>
    </row>
    <row r="263" spans="1:12" ht="15.5">
      <c r="A263" s="9" t="s">
        <v>570</v>
      </c>
      <c r="B263" s="7" t="s">
        <v>597</v>
      </c>
      <c r="C263" s="7" t="s">
        <v>62</v>
      </c>
      <c r="D263" s="7">
        <v>2023</v>
      </c>
      <c r="E263" s="7">
        <v>83.37</v>
      </c>
      <c r="F263" s="7">
        <v>50</v>
      </c>
      <c r="G263" s="7">
        <v>6</v>
      </c>
      <c r="H263" s="7">
        <v>2434.1799999999998</v>
      </c>
      <c r="I263" s="6">
        <v>99.59</v>
      </c>
      <c r="J263" s="7">
        <v>4.99</v>
      </c>
      <c r="K263" s="8">
        <v>7.43</v>
      </c>
      <c r="L263" t="s">
        <v>1141</v>
      </c>
    </row>
    <row r="264" spans="1:12" ht="15.5">
      <c r="A264" s="12" t="s">
        <v>570</v>
      </c>
      <c r="B264" s="13" t="s">
        <v>598</v>
      </c>
      <c r="C264" s="13" t="s">
        <v>62</v>
      </c>
      <c r="D264" s="13">
        <v>2023</v>
      </c>
      <c r="E264" s="13">
        <v>83.66</v>
      </c>
      <c r="F264" s="13">
        <v>49</v>
      </c>
      <c r="G264" s="13">
        <v>6</v>
      </c>
      <c r="H264" s="13">
        <v>29824.400000000001</v>
      </c>
      <c r="I264" s="6">
        <v>100</v>
      </c>
      <c r="J264" s="13">
        <v>4.8600000000000003</v>
      </c>
      <c r="K264" s="14">
        <v>8.3800000000000008</v>
      </c>
      <c r="L264" t="s">
        <v>1141</v>
      </c>
    </row>
    <row r="265" spans="1:12" ht="15.5">
      <c r="A265" s="4" t="s">
        <v>600</v>
      </c>
      <c r="B265" s="5" t="s">
        <v>601</v>
      </c>
      <c r="C265" s="5" t="s">
        <v>13</v>
      </c>
      <c r="D265" s="5">
        <v>2023</v>
      </c>
      <c r="E265" s="5">
        <v>62.75</v>
      </c>
      <c r="F265" s="5">
        <v>336</v>
      </c>
      <c r="G265" s="5">
        <v>4</v>
      </c>
      <c r="H265" s="5">
        <v>905.26</v>
      </c>
      <c r="I265" s="15">
        <v>91.87</v>
      </c>
      <c r="J265" s="5">
        <v>4.41</v>
      </c>
      <c r="K265" s="8">
        <v>34.049999999999997</v>
      </c>
      <c r="L265" t="s">
        <v>1140</v>
      </c>
    </row>
    <row r="266" spans="1:12" ht="15.5">
      <c r="A266" s="9" t="s">
        <v>600</v>
      </c>
      <c r="B266" s="7" t="s">
        <v>604</v>
      </c>
      <c r="C266" s="7" t="s">
        <v>13</v>
      </c>
      <c r="D266" s="7">
        <v>2023</v>
      </c>
      <c r="E266" s="7">
        <v>56.04</v>
      </c>
      <c r="F266" s="7">
        <v>365</v>
      </c>
      <c r="G266" s="7">
        <v>3</v>
      </c>
      <c r="I266" s="6">
        <v>97.61</v>
      </c>
      <c r="J266" s="7">
        <v>4.84</v>
      </c>
      <c r="K266" s="8">
        <v>31.66</v>
      </c>
      <c r="L266" t="s">
        <v>1140</v>
      </c>
    </row>
    <row r="267" spans="1:12" ht="15.5">
      <c r="A267" s="9" t="s">
        <v>600</v>
      </c>
      <c r="B267" s="7" t="s">
        <v>606</v>
      </c>
      <c r="C267" s="7" t="s">
        <v>13</v>
      </c>
      <c r="D267" s="7">
        <v>2023</v>
      </c>
      <c r="E267" s="7">
        <v>72.209999999999994</v>
      </c>
      <c r="F267" s="7">
        <v>276</v>
      </c>
      <c r="G267" s="7">
        <v>5</v>
      </c>
      <c r="H267" s="7">
        <v>29397.17</v>
      </c>
      <c r="I267" s="6">
        <v>97.89</v>
      </c>
      <c r="J267" s="7">
        <v>4.3600000000000003</v>
      </c>
      <c r="K267" s="8">
        <v>34.619999999999997</v>
      </c>
      <c r="L267" t="s">
        <v>1140</v>
      </c>
    </row>
    <row r="268" spans="1:12" ht="15.5">
      <c r="A268" s="9" t="s">
        <v>600</v>
      </c>
      <c r="B268" s="7" t="s">
        <v>607</v>
      </c>
      <c r="C268" s="7" t="s">
        <v>13</v>
      </c>
      <c r="D268" s="7">
        <v>2023</v>
      </c>
      <c r="E268" s="7">
        <v>80.849999999999994</v>
      </c>
      <c r="F268" s="7">
        <v>142</v>
      </c>
      <c r="G268" s="7">
        <v>6</v>
      </c>
      <c r="H268" s="7">
        <v>40184.050000000003</v>
      </c>
      <c r="I268" s="6">
        <v>99.35</v>
      </c>
      <c r="J268" s="7">
        <v>4.1900000000000004</v>
      </c>
      <c r="K268" s="8">
        <v>28.23</v>
      </c>
      <c r="L268" t="s">
        <v>1141</v>
      </c>
    </row>
    <row r="269" spans="1:12" ht="15.5">
      <c r="A269" s="9" t="s">
        <v>600</v>
      </c>
      <c r="B269" s="7" t="s">
        <v>609</v>
      </c>
      <c r="C269" s="7" t="s">
        <v>13</v>
      </c>
      <c r="D269" s="7">
        <v>2023</v>
      </c>
      <c r="E269" s="7">
        <v>44.01</v>
      </c>
      <c r="F269" s="7">
        <v>394</v>
      </c>
      <c r="G269" s="7">
        <v>2</v>
      </c>
      <c r="I269" s="6">
        <v>53</v>
      </c>
      <c r="J269" s="7">
        <v>4.97</v>
      </c>
      <c r="K269" s="8">
        <v>31.68</v>
      </c>
      <c r="L269" t="s">
        <v>1140</v>
      </c>
    </row>
    <row r="270" spans="1:12" ht="15.5">
      <c r="A270" s="9" t="s">
        <v>600</v>
      </c>
      <c r="B270" s="7" t="s">
        <v>610</v>
      </c>
      <c r="C270" s="7" t="s">
        <v>13</v>
      </c>
      <c r="D270" s="7">
        <v>2023</v>
      </c>
      <c r="E270" s="7">
        <v>59.5</v>
      </c>
      <c r="F270" s="7">
        <v>351</v>
      </c>
      <c r="G270" s="7">
        <v>3</v>
      </c>
      <c r="H270" s="7">
        <v>4165.3599999999997</v>
      </c>
      <c r="I270" s="6">
        <v>96.73</v>
      </c>
      <c r="J270" s="7">
        <v>4.67</v>
      </c>
      <c r="K270" s="8">
        <v>32.700000000000003</v>
      </c>
      <c r="L270" t="s">
        <v>1140</v>
      </c>
    </row>
    <row r="271" spans="1:12" ht="15.5">
      <c r="A271" s="9" t="s">
        <v>600</v>
      </c>
      <c r="B271" s="7" t="s">
        <v>613</v>
      </c>
      <c r="C271" s="7" t="s">
        <v>13</v>
      </c>
      <c r="D271" s="7">
        <v>2023</v>
      </c>
      <c r="E271" s="7">
        <v>68.78</v>
      </c>
      <c r="F271" s="7">
        <v>311</v>
      </c>
      <c r="G271" s="7">
        <v>5</v>
      </c>
      <c r="H271" s="7">
        <v>8412.9</v>
      </c>
      <c r="I271" s="6">
        <v>84.87</v>
      </c>
      <c r="J271" s="7">
        <v>3.91</v>
      </c>
      <c r="K271" s="8">
        <v>31.79</v>
      </c>
      <c r="L271" t="s">
        <v>1140</v>
      </c>
    </row>
    <row r="272" spans="1:12" ht="15.5">
      <c r="A272" s="9" t="s">
        <v>600</v>
      </c>
      <c r="B272" s="7" t="s">
        <v>615</v>
      </c>
      <c r="C272" s="7" t="s">
        <v>13</v>
      </c>
      <c r="D272" s="7">
        <v>2023</v>
      </c>
      <c r="E272" s="7">
        <v>65.239999999999995</v>
      </c>
      <c r="F272" s="7">
        <v>330</v>
      </c>
      <c r="G272" s="7">
        <v>4</v>
      </c>
      <c r="I272" s="6">
        <v>70.680000000000007</v>
      </c>
      <c r="J272" s="7">
        <v>24.85</v>
      </c>
      <c r="K272" s="8">
        <v>26.59</v>
      </c>
      <c r="L272" t="s">
        <v>1140</v>
      </c>
    </row>
    <row r="273" spans="1:12" ht="15.5">
      <c r="A273" s="9" t="s">
        <v>600</v>
      </c>
      <c r="B273" s="7" t="s">
        <v>618</v>
      </c>
      <c r="C273" s="7" t="s">
        <v>13</v>
      </c>
      <c r="D273" s="7">
        <v>2023</v>
      </c>
      <c r="E273" s="7">
        <v>59.08</v>
      </c>
      <c r="F273" s="7">
        <v>355</v>
      </c>
      <c r="G273" s="7">
        <v>3</v>
      </c>
      <c r="I273" s="6">
        <v>83.81</v>
      </c>
      <c r="J273" s="7">
        <v>4.58</v>
      </c>
      <c r="K273" s="8">
        <v>38.869999999999997</v>
      </c>
      <c r="L273" t="s">
        <v>1140</v>
      </c>
    </row>
    <row r="274" spans="1:12" ht="15.5">
      <c r="A274" s="9" t="s">
        <v>600</v>
      </c>
      <c r="B274" s="7" t="s">
        <v>621</v>
      </c>
      <c r="C274" s="7" t="s">
        <v>62</v>
      </c>
      <c r="D274" s="7">
        <v>2023</v>
      </c>
      <c r="E274" s="7">
        <v>84.73</v>
      </c>
      <c r="F274" s="7">
        <v>44</v>
      </c>
      <c r="G274" s="7">
        <v>6</v>
      </c>
      <c r="I274" s="6">
        <v>99.72</v>
      </c>
      <c r="J274" s="7">
        <v>4.47</v>
      </c>
      <c r="K274" s="8">
        <v>24.12</v>
      </c>
      <c r="L274" t="s">
        <v>1141</v>
      </c>
    </row>
    <row r="275" spans="1:12" ht="15.5">
      <c r="A275" s="12" t="s">
        <v>600</v>
      </c>
      <c r="B275" s="13" t="s">
        <v>623</v>
      </c>
      <c r="C275" s="13" t="s">
        <v>62</v>
      </c>
      <c r="D275" s="13">
        <v>2023</v>
      </c>
      <c r="E275" s="13">
        <v>54.91</v>
      </c>
      <c r="F275" s="13">
        <v>97</v>
      </c>
      <c r="G275" s="13">
        <v>4</v>
      </c>
      <c r="H275" s="13">
        <v>0.43</v>
      </c>
      <c r="I275" s="16">
        <v>97.3</v>
      </c>
      <c r="J275" s="13">
        <v>5.81</v>
      </c>
      <c r="K275" s="14">
        <v>29.31</v>
      </c>
      <c r="L275" t="s">
        <v>1140</v>
      </c>
    </row>
    <row r="276" spans="1:12" ht="15.5">
      <c r="A276" s="4" t="s">
        <v>626</v>
      </c>
      <c r="B276" s="5" t="s">
        <v>627</v>
      </c>
      <c r="C276" s="5" t="s">
        <v>13</v>
      </c>
      <c r="D276" s="5">
        <v>2023</v>
      </c>
      <c r="E276" s="5">
        <v>52.84</v>
      </c>
      <c r="F276" s="5">
        <v>373</v>
      </c>
      <c r="G276" s="5">
        <v>3</v>
      </c>
      <c r="H276" s="5">
        <v>348.13</v>
      </c>
      <c r="I276" s="6">
        <v>95.96</v>
      </c>
      <c r="J276" s="5">
        <v>2.0499999999999998</v>
      </c>
      <c r="K276" s="8">
        <v>37.409999999999997</v>
      </c>
      <c r="L276" t="s">
        <v>1140</v>
      </c>
    </row>
    <row r="277" spans="1:12" ht="15.5">
      <c r="A277" s="9" t="s">
        <v>626</v>
      </c>
      <c r="B277" s="7" t="s">
        <v>630</v>
      </c>
      <c r="C277" s="7" t="s">
        <v>13</v>
      </c>
      <c r="D277" s="7">
        <v>2023</v>
      </c>
      <c r="E277" s="7">
        <v>50.67</v>
      </c>
      <c r="F277" s="7">
        <v>381</v>
      </c>
      <c r="G277" s="7">
        <v>2</v>
      </c>
      <c r="H277" s="7">
        <v>689.63</v>
      </c>
      <c r="I277" s="6">
        <v>99.81</v>
      </c>
      <c r="J277" s="7">
        <v>42.41</v>
      </c>
      <c r="K277" s="8">
        <v>15.3</v>
      </c>
      <c r="L277" t="s">
        <v>1140</v>
      </c>
    </row>
    <row r="278" spans="1:12" ht="15.5">
      <c r="A278" s="9" t="s">
        <v>626</v>
      </c>
      <c r="B278" s="7" t="s">
        <v>632</v>
      </c>
      <c r="C278" s="7" t="s">
        <v>13</v>
      </c>
      <c r="D278" s="7">
        <v>2023</v>
      </c>
      <c r="E278" s="7">
        <v>53.28</v>
      </c>
      <c r="F278" s="7">
        <v>371</v>
      </c>
      <c r="G278" s="7">
        <v>3</v>
      </c>
      <c r="H278" s="7">
        <v>1.42</v>
      </c>
      <c r="I278" s="6">
        <v>93.34</v>
      </c>
      <c r="J278" s="7">
        <v>2.57</v>
      </c>
      <c r="K278" s="8">
        <v>44.37</v>
      </c>
      <c r="L278" t="s">
        <v>1140</v>
      </c>
    </row>
    <row r="279" spans="1:12" ht="15.5">
      <c r="A279" s="9" t="s">
        <v>626</v>
      </c>
      <c r="B279" s="7" t="s">
        <v>635</v>
      </c>
      <c r="C279" s="7" t="s">
        <v>13</v>
      </c>
      <c r="D279" s="7">
        <v>2023</v>
      </c>
      <c r="E279" s="7">
        <v>52.4</v>
      </c>
      <c r="F279" s="7">
        <v>376</v>
      </c>
      <c r="G279" s="7">
        <v>3</v>
      </c>
      <c r="H279" s="7">
        <v>223.82</v>
      </c>
      <c r="I279" s="6">
        <v>73.849999999999994</v>
      </c>
      <c r="J279" s="7">
        <v>27.78</v>
      </c>
      <c r="K279" s="8">
        <v>30.48</v>
      </c>
      <c r="L279" t="s">
        <v>1140</v>
      </c>
    </row>
    <row r="280" spans="1:12" ht="15.5">
      <c r="A280" s="9" t="s">
        <v>626</v>
      </c>
      <c r="B280" s="7" t="s">
        <v>638</v>
      </c>
      <c r="C280" s="7" t="s">
        <v>13</v>
      </c>
      <c r="D280" s="7">
        <v>2023</v>
      </c>
      <c r="E280" s="7">
        <v>81.2</v>
      </c>
      <c r="F280" s="7">
        <v>140</v>
      </c>
      <c r="G280" s="7">
        <v>6</v>
      </c>
      <c r="H280" s="7">
        <v>4311.7700000000004</v>
      </c>
      <c r="I280" s="6">
        <v>98.08</v>
      </c>
      <c r="J280" s="7">
        <v>0.92</v>
      </c>
      <c r="K280" s="8">
        <v>31.22</v>
      </c>
      <c r="L280" t="s">
        <v>1141</v>
      </c>
    </row>
    <row r="281" spans="1:12" ht="15.5">
      <c r="A281" s="9" t="s">
        <v>626</v>
      </c>
      <c r="B281" s="7" t="s">
        <v>641</v>
      </c>
      <c r="C281" s="7" t="s">
        <v>13</v>
      </c>
      <c r="D281" s="7">
        <v>2023</v>
      </c>
      <c r="E281" s="7">
        <v>76.12</v>
      </c>
      <c r="F281" s="7">
        <v>229</v>
      </c>
      <c r="G281" s="7">
        <v>6</v>
      </c>
      <c r="H281" s="7">
        <v>20384.16</v>
      </c>
      <c r="I281" s="6">
        <v>98.75</v>
      </c>
      <c r="J281" s="7">
        <v>26.56</v>
      </c>
      <c r="K281" s="8">
        <v>32.270000000000003</v>
      </c>
      <c r="L281" t="s">
        <v>1141</v>
      </c>
    </row>
    <row r="282" spans="1:12" ht="15.5">
      <c r="A282" s="9" t="s">
        <v>626</v>
      </c>
      <c r="B282" s="7" t="s">
        <v>644</v>
      </c>
      <c r="C282" s="7" t="s">
        <v>13</v>
      </c>
      <c r="D282" s="7">
        <v>2023</v>
      </c>
      <c r="E282" s="7">
        <v>53.7</v>
      </c>
      <c r="F282" s="7">
        <v>369</v>
      </c>
      <c r="G282" s="7">
        <v>3</v>
      </c>
      <c r="H282" s="7">
        <v>2209.88</v>
      </c>
      <c r="I282" s="6">
        <v>99.77</v>
      </c>
      <c r="J282" s="7">
        <v>2.48</v>
      </c>
      <c r="K282" s="8">
        <v>30.64</v>
      </c>
      <c r="L282" t="s">
        <v>1140</v>
      </c>
    </row>
    <row r="283" spans="1:12" ht="15.5">
      <c r="A283" s="9" t="s">
        <v>626</v>
      </c>
      <c r="B283" s="7" t="s">
        <v>647</v>
      </c>
      <c r="C283" s="7" t="s">
        <v>13</v>
      </c>
      <c r="D283" s="7">
        <v>2023</v>
      </c>
      <c r="E283" s="7">
        <v>47.87</v>
      </c>
      <c r="F283" s="7">
        <v>386</v>
      </c>
      <c r="G283" s="7">
        <v>2</v>
      </c>
      <c r="I283" s="6">
        <v>45.94</v>
      </c>
      <c r="J283" s="7">
        <v>2.6</v>
      </c>
      <c r="K283" s="8">
        <v>39.21</v>
      </c>
      <c r="L283" t="s">
        <v>1140</v>
      </c>
    </row>
    <row r="284" spans="1:12" ht="15.5">
      <c r="A284" s="9" t="s">
        <v>626</v>
      </c>
      <c r="B284" s="7" t="s">
        <v>650</v>
      </c>
      <c r="C284" s="7" t="s">
        <v>62</v>
      </c>
      <c r="D284" s="7">
        <v>2023</v>
      </c>
      <c r="E284" s="7">
        <v>89.51</v>
      </c>
      <c r="F284" s="7">
        <v>18</v>
      </c>
      <c r="G284" s="7">
        <v>6</v>
      </c>
      <c r="I284" s="6">
        <v>100</v>
      </c>
      <c r="J284" s="7">
        <v>5</v>
      </c>
      <c r="K284" s="8">
        <v>17.86</v>
      </c>
      <c r="L284" t="s">
        <v>1141</v>
      </c>
    </row>
    <row r="285" spans="1:12" ht="15.5">
      <c r="A285" s="12" t="s">
        <v>626</v>
      </c>
      <c r="B285" s="13" t="s">
        <v>651</v>
      </c>
      <c r="C285" s="13" t="s">
        <v>62</v>
      </c>
      <c r="D285" s="13">
        <v>2023</v>
      </c>
      <c r="E285" s="13">
        <v>65.83</v>
      </c>
      <c r="F285" s="13">
        <v>94</v>
      </c>
      <c r="G285" s="13">
        <v>5</v>
      </c>
      <c r="H285" s="13"/>
      <c r="I285" s="6">
        <v>99.66</v>
      </c>
      <c r="J285" s="13">
        <v>2.48</v>
      </c>
      <c r="K285" s="14">
        <v>26.77</v>
      </c>
      <c r="L285" t="s">
        <v>1140</v>
      </c>
    </row>
    <row r="286" spans="1:12" ht="15.5">
      <c r="A286" s="4" t="s">
        <v>653</v>
      </c>
      <c r="B286" s="5" t="s">
        <v>654</v>
      </c>
      <c r="C286" s="5" t="s">
        <v>13</v>
      </c>
      <c r="D286" s="5">
        <v>2023</v>
      </c>
      <c r="E286" s="5">
        <v>73.44</v>
      </c>
      <c r="F286" s="5">
        <v>260</v>
      </c>
      <c r="G286" s="5">
        <v>5</v>
      </c>
      <c r="H286" s="5">
        <v>138779.10999999999</v>
      </c>
      <c r="I286" s="15">
        <v>100</v>
      </c>
      <c r="J286" s="5">
        <v>5.03</v>
      </c>
      <c r="K286" s="8">
        <v>2.42</v>
      </c>
      <c r="L286" t="s">
        <v>1140</v>
      </c>
    </row>
    <row r="287" spans="1:12" ht="15.5">
      <c r="A287" s="9" t="s">
        <v>653</v>
      </c>
      <c r="B287" s="7" t="s">
        <v>655</v>
      </c>
      <c r="C287" s="7" t="s">
        <v>13</v>
      </c>
      <c r="D287" s="7">
        <v>2023</v>
      </c>
      <c r="E287" s="7">
        <v>75.599999999999994</v>
      </c>
      <c r="F287" s="7">
        <v>236</v>
      </c>
      <c r="G287" s="7">
        <v>5</v>
      </c>
      <c r="H287" s="7">
        <v>381687.06</v>
      </c>
      <c r="I287" s="6">
        <v>99.5</v>
      </c>
      <c r="J287" s="7">
        <v>5.77</v>
      </c>
      <c r="K287" s="8">
        <v>2.98</v>
      </c>
      <c r="L287" t="s">
        <v>1141</v>
      </c>
    </row>
    <row r="288" spans="1:12" ht="15.5">
      <c r="A288" s="9" t="s">
        <v>653</v>
      </c>
      <c r="B288" s="7" t="s">
        <v>658</v>
      </c>
      <c r="C288" s="7" t="s">
        <v>13</v>
      </c>
      <c r="D288" s="7">
        <v>2023</v>
      </c>
      <c r="E288" s="7">
        <v>71.48</v>
      </c>
      <c r="F288" s="7">
        <v>284</v>
      </c>
      <c r="G288" s="7">
        <v>5</v>
      </c>
      <c r="H288" s="7">
        <v>249752.35</v>
      </c>
      <c r="I288" s="6">
        <v>99.39</v>
      </c>
      <c r="J288" s="7">
        <v>4.3099999999999996</v>
      </c>
      <c r="K288" s="8">
        <v>1.52</v>
      </c>
      <c r="L288" t="s">
        <v>1140</v>
      </c>
    </row>
    <row r="289" spans="1:12" ht="15.5">
      <c r="A289" s="9" t="s">
        <v>653</v>
      </c>
      <c r="B289" s="7" t="s">
        <v>660</v>
      </c>
      <c r="C289" s="7" t="s">
        <v>13</v>
      </c>
      <c r="D289" s="7">
        <v>2023</v>
      </c>
      <c r="E289" s="7">
        <v>84</v>
      </c>
      <c r="F289" s="7">
        <v>77</v>
      </c>
      <c r="G289" s="7">
        <v>6</v>
      </c>
      <c r="H289" s="7">
        <v>323354.05</v>
      </c>
      <c r="I289" s="6">
        <v>100</v>
      </c>
      <c r="J289" s="7">
        <v>3.61</v>
      </c>
      <c r="K289" s="8">
        <v>2.6</v>
      </c>
      <c r="L289" t="s">
        <v>1141</v>
      </c>
    </row>
    <row r="290" spans="1:12" ht="15.5">
      <c r="A290" s="9" t="s">
        <v>653</v>
      </c>
      <c r="B290" s="7" t="s">
        <v>662</v>
      </c>
      <c r="C290" s="7" t="s">
        <v>13</v>
      </c>
      <c r="D290" s="7">
        <v>2023</v>
      </c>
      <c r="E290" s="7">
        <v>78.849999999999994</v>
      </c>
      <c r="F290" s="7">
        <v>182</v>
      </c>
      <c r="G290" s="7">
        <v>6</v>
      </c>
      <c r="H290" s="7">
        <v>95529.22</v>
      </c>
      <c r="I290" s="6">
        <v>99.77</v>
      </c>
      <c r="J290" s="7">
        <v>3.17</v>
      </c>
      <c r="K290" s="8">
        <v>2.06</v>
      </c>
      <c r="L290" t="s">
        <v>1141</v>
      </c>
    </row>
    <row r="291" spans="1:12" ht="15.5">
      <c r="A291" s="9" t="s">
        <v>653</v>
      </c>
      <c r="B291" s="7" t="s">
        <v>664</v>
      </c>
      <c r="C291" s="7" t="s">
        <v>13</v>
      </c>
      <c r="D291" s="7">
        <v>2023</v>
      </c>
      <c r="E291" s="7">
        <v>77.680000000000007</v>
      </c>
      <c r="F291" s="7">
        <v>198</v>
      </c>
      <c r="G291" s="7">
        <v>6</v>
      </c>
      <c r="H291" s="7">
        <v>224732.76</v>
      </c>
      <c r="I291" s="6">
        <v>99.55</v>
      </c>
      <c r="J291" s="7">
        <v>3.93</v>
      </c>
      <c r="K291" s="8">
        <v>3.21</v>
      </c>
      <c r="L291" t="s">
        <v>1141</v>
      </c>
    </row>
    <row r="292" spans="1:12" ht="15.5">
      <c r="A292" s="9" t="s">
        <v>653</v>
      </c>
      <c r="B292" s="7" t="s">
        <v>667</v>
      </c>
      <c r="C292" s="7" t="s">
        <v>13</v>
      </c>
      <c r="D292" s="7">
        <v>2023</v>
      </c>
      <c r="E292" s="7">
        <v>86.02</v>
      </c>
      <c r="F292" s="7">
        <v>39</v>
      </c>
      <c r="G292" s="7">
        <v>6</v>
      </c>
      <c r="H292" s="7">
        <v>70371.759999999995</v>
      </c>
      <c r="I292" s="6">
        <v>100</v>
      </c>
      <c r="J292" s="7">
        <v>-10.37</v>
      </c>
      <c r="K292" s="8">
        <v>0.76</v>
      </c>
      <c r="L292" t="s">
        <v>1141</v>
      </c>
    </row>
    <row r="293" spans="1:12" ht="15.5">
      <c r="A293" s="9" t="s">
        <v>653</v>
      </c>
      <c r="B293" s="7" t="s">
        <v>669</v>
      </c>
      <c r="C293" s="7" t="s">
        <v>13</v>
      </c>
      <c r="D293" s="7">
        <v>2023</v>
      </c>
      <c r="E293" s="7">
        <v>65.92</v>
      </c>
      <c r="F293" s="7">
        <v>322</v>
      </c>
      <c r="G293" s="7">
        <v>4</v>
      </c>
      <c r="H293" s="7">
        <v>33059.699999999997</v>
      </c>
      <c r="I293" s="6">
        <v>99.78</v>
      </c>
      <c r="J293" s="7">
        <v>5.0999999999999996</v>
      </c>
      <c r="K293" s="8">
        <v>2.66</v>
      </c>
      <c r="L293" t="s">
        <v>1140</v>
      </c>
    </row>
    <row r="294" spans="1:12" ht="15.5">
      <c r="A294" s="9" t="s">
        <v>653</v>
      </c>
      <c r="B294" s="7" t="s">
        <v>670</v>
      </c>
      <c r="C294" s="7" t="s">
        <v>62</v>
      </c>
      <c r="D294" s="7">
        <v>2023</v>
      </c>
      <c r="E294" s="7">
        <v>77.790000000000006</v>
      </c>
      <c r="F294" s="7">
        <v>74</v>
      </c>
      <c r="G294" s="7">
        <v>6</v>
      </c>
      <c r="H294" s="7">
        <v>16662.96</v>
      </c>
      <c r="I294" s="6">
        <v>100</v>
      </c>
      <c r="J294" s="7">
        <v>4.51</v>
      </c>
      <c r="K294" s="8">
        <v>0.65</v>
      </c>
      <c r="L294" t="s">
        <v>1141</v>
      </c>
    </row>
    <row r="295" spans="1:12" ht="15.5">
      <c r="A295" s="12" t="s">
        <v>653</v>
      </c>
      <c r="B295" s="13" t="s">
        <v>671</v>
      </c>
      <c r="C295" s="13" t="s">
        <v>62</v>
      </c>
      <c r="D295" s="13">
        <v>2023</v>
      </c>
      <c r="E295" s="13">
        <v>74.31</v>
      </c>
      <c r="F295" s="13">
        <v>83</v>
      </c>
      <c r="G295" s="13">
        <v>6</v>
      </c>
      <c r="H295" s="13">
        <v>12890.79</v>
      </c>
      <c r="I295" s="16">
        <v>100</v>
      </c>
      <c r="J295" s="13">
        <v>5.16</v>
      </c>
      <c r="K295" s="14">
        <v>1.19</v>
      </c>
      <c r="L295" t="s">
        <v>1140</v>
      </c>
    </row>
    <row r="296" spans="1:12" ht="15.5">
      <c r="A296" s="4" t="s">
        <v>672</v>
      </c>
      <c r="B296" s="5" t="s">
        <v>673</v>
      </c>
      <c r="C296" s="5" t="s">
        <v>13</v>
      </c>
      <c r="D296" s="5">
        <v>2023</v>
      </c>
      <c r="E296" s="5">
        <v>69.459999999999994</v>
      </c>
      <c r="F296" s="5">
        <v>304</v>
      </c>
      <c r="G296" s="5">
        <v>5</v>
      </c>
      <c r="H296" s="5">
        <v>32039.14</v>
      </c>
      <c r="I296" s="6">
        <v>70.290000000000006</v>
      </c>
      <c r="J296" s="5">
        <v>3.7</v>
      </c>
      <c r="K296" s="8">
        <v>14.04</v>
      </c>
      <c r="L296" t="s">
        <v>1140</v>
      </c>
    </row>
    <row r="297" spans="1:12" ht="15.5">
      <c r="A297" s="9" t="s">
        <v>672</v>
      </c>
      <c r="B297" s="7" t="s">
        <v>675</v>
      </c>
      <c r="C297" s="7" t="s">
        <v>13</v>
      </c>
      <c r="D297" s="7">
        <v>2023</v>
      </c>
      <c r="E297" s="7">
        <v>70.209999999999994</v>
      </c>
      <c r="F297" s="7">
        <v>296</v>
      </c>
      <c r="G297" s="7">
        <v>5</v>
      </c>
      <c r="H297" s="7">
        <v>59657.42</v>
      </c>
      <c r="I297" s="6">
        <v>76.78</v>
      </c>
      <c r="J297" s="7">
        <v>3.12</v>
      </c>
      <c r="K297" s="8">
        <v>9.8699999999999992</v>
      </c>
      <c r="L297" t="s">
        <v>1140</v>
      </c>
    </row>
    <row r="298" spans="1:12" ht="15.5">
      <c r="A298" s="9" t="s">
        <v>672</v>
      </c>
      <c r="B298" s="7" t="s">
        <v>678</v>
      </c>
      <c r="C298" s="7" t="s">
        <v>13</v>
      </c>
      <c r="D298" s="7">
        <v>2023</v>
      </c>
      <c r="E298" s="7">
        <v>69.02</v>
      </c>
      <c r="F298" s="7">
        <v>308</v>
      </c>
      <c r="G298" s="7">
        <v>5</v>
      </c>
      <c r="H298" s="7">
        <v>74570.83</v>
      </c>
      <c r="I298" s="6">
        <v>89.15</v>
      </c>
      <c r="J298" s="7">
        <v>3.55</v>
      </c>
      <c r="K298" s="8">
        <v>17.14</v>
      </c>
      <c r="L298" t="s">
        <v>1140</v>
      </c>
    </row>
    <row r="299" spans="1:12" ht="15.5">
      <c r="A299" s="9" t="s">
        <v>672</v>
      </c>
      <c r="B299" s="7" t="s">
        <v>681</v>
      </c>
      <c r="C299" s="7" t="s">
        <v>13</v>
      </c>
      <c r="D299" s="7">
        <v>2023</v>
      </c>
      <c r="E299" s="7">
        <v>67.61</v>
      </c>
      <c r="F299" s="7">
        <v>313</v>
      </c>
      <c r="G299" s="7">
        <v>4</v>
      </c>
      <c r="H299" s="7">
        <v>16209.58</v>
      </c>
      <c r="I299" s="6">
        <v>82.04</v>
      </c>
      <c r="J299" s="7">
        <v>3.21</v>
      </c>
      <c r="K299" s="8">
        <v>15.45</v>
      </c>
      <c r="L299" t="s">
        <v>1140</v>
      </c>
    </row>
    <row r="300" spans="1:12" ht="15.5">
      <c r="A300" s="9" t="s">
        <v>672</v>
      </c>
      <c r="B300" s="7" t="s">
        <v>684</v>
      </c>
      <c r="C300" s="7" t="s">
        <v>13</v>
      </c>
      <c r="D300" s="7">
        <v>2023</v>
      </c>
      <c r="E300" s="7">
        <v>72.959999999999994</v>
      </c>
      <c r="F300" s="7">
        <v>268</v>
      </c>
      <c r="G300" s="7">
        <v>5</v>
      </c>
      <c r="H300" s="7">
        <v>40128.76</v>
      </c>
      <c r="I300" s="6">
        <v>96.91</v>
      </c>
      <c r="J300" s="7">
        <v>3</v>
      </c>
      <c r="K300" s="8">
        <v>17.84</v>
      </c>
      <c r="L300" t="s">
        <v>1140</v>
      </c>
    </row>
    <row r="301" spans="1:12" ht="15.5">
      <c r="A301" s="9" t="s">
        <v>672</v>
      </c>
      <c r="B301" s="7" t="s">
        <v>686</v>
      </c>
      <c r="C301" s="7" t="s">
        <v>13</v>
      </c>
      <c r="D301" s="7">
        <v>2023</v>
      </c>
      <c r="E301" s="7">
        <v>75.69</v>
      </c>
      <c r="F301" s="7">
        <v>233</v>
      </c>
      <c r="G301" s="7">
        <v>6</v>
      </c>
      <c r="H301" s="7">
        <v>13457.84</v>
      </c>
      <c r="I301" s="6">
        <v>96.27</v>
      </c>
      <c r="J301" s="7">
        <v>3.76</v>
      </c>
      <c r="K301" s="8">
        <v>16.05</v>
      </c>
      <c r="L301" t="s">
        <v>1141</v>
      </c>
    </row>
    <row r="302" spans="1:12" ht="15.5">
      <c r="A302" s="9" t="s">
        <v>672</v>
      </c>
      <c r="B302" s="7" t="s">
        <v>689</v>
      </c>
      <c r="C302" s="7" t="s">
        <v>13</v>
      </c>
      <c r="D302" s="7">
        <v>2023</v>
      </c>
      <c r="E302" s="7">
        <v>65.430000000000007</v>
      </c>
      <c r="F302" s="7">
        <v>329</v>
      </c>
      <c r="G302" s="7">
        <v>4</v>
      </c>
      <c r="H302" s="7">
        <v>2296.42</v>
      </c>
      <c r="I302" s="6">
        <v>89.88</v>
      </c>
      <c r="J302" s="7">
        <v>4.09</v>
      </c>
      <c r="K302" s="8">
        <v>16.12</v>
      </c>
      <c r="L302" t="s">
        <v>1140</v>
      </c>
    </row>
    <row r="303" spans="1:12" ht="15.5">
      <c r="A303" s="9" t="s">
        <v>672</v>
      </c>
      <c r="B303" s="7" t="s">
        <v>692</v>
      </c>
      <c r="C303" s="7" t="s">
        <v>13</v>
      </c>
      <c r="D303" s="7">
        <v>2023</v>
      </c>
      <c r="E303" s="7">
        <v>69</v>
      </c>
      <c r="F303" s="7">
        <v>309</v>
      </c>
      <c r="G303" s="7">
        <v>5</v>
      </c>
      <c r="H303" s="7">
        <v>816.87</v>
      </c>
      <c r="I303" s="6">
        <v>97.91</v>
      </c>
      <c r="J303" s="7">
        <v>2.46</v>
      </c>
      <c r="K303" s="8">
        <v>15.85</v>
      </c>
      <c r="L303" t="s">
        <v>1140</v>
      </c>
    </row>
    <row r="304" spans="1:12" ht="15.5">
      <c r="A304" s="9" t="s">
        <v>672</v>
      </c>
      <c r="B304" s="7" t="s">
        <v>695</v>
      </c>
      <c r="C304" s="7" t="s">
        <v>13</v>
      </c>
      <c r="D304" s="7">
        <v>2023</v>
      </c>
      <c r="E304" s="7">
        <v>73.540000000000006</v>
      </c>
      <c r="F304" s="7">
        <v>259</v>
      </c>
      <c r="G304" s="7">
        <v>5</v>
      </c>
      <c r="H304" s="7">
        <v>5996.71</v>
      </c>
      <c r="I304" s="6">
        <v>98.47</v>
      </c>
      <c r="J304" s="7">
        <v>3.15</v>
      </c>
      <c r="K304" s="8">
        <v>19.53</v>
      </c>
      <c r="L304" t="s">
        <v>1140</v>
      </c>
    </row>
    <row r="305" spans="1:12" ht="15.5">
      <c r="A305" s="9" t="s">
        <v>672</v>
      </c>
      <c r="B305" s="7" t="s">
        <v>698</v>
      </c>
      <c r="C305" s="7" t="s">
        <v>13</v>
      </c>
      <c r="D305" s="7">
        <v>2023</v>
      </c>
      <c r="E305" s="7">
        <v>77.069999999999993</v>
      </c>
      <c r="F305" s="7">
        <v>208</v>
      </c>
      <c r="G305" s="7">
        <v>6</v>
      </c>
      <c r="H305" s="7">
        <v>12591.32</v>
      </c>
      <c r="I305" s="6">
        <v>92.44</v>
      </c>
      <c r="J305" s="7">
        <v>3.77</v>
      </c>
      <c r="K305" s="8">
        <v>17.61</v>
      </c>
      <c r="L305" t="s">
        <v>1141</v>
      </c>
    </row>
    <row r="306" spans="1:12" ht="15.5">
      <c r="A306" s="9" t="s">
        <v>672</v>
      </c>
      <c r="B306" s="7" t="s">
        <v>701</v>
      </c>
      <c r="C306" s="7" t="s">
        <v>13</v>
      </c>
      <c r="D306" s="7">
        <v>2023</v>
      </c>
      <c r="E306" s="7">
        <v>73.42</v>
      </c>
      <c r="F306" s="7">
        <v>261</v>
      </c>
      <c r="G306" s="7">
        <v>5</v>
      </c>
      <c r="H306" s="7">
        <v>26073.95</v>
      </c>
      <c r="I306" s="6">
        <v>98.87</v>
      </c>
      <c r="J306" s="7">
        <v>3.87</v>
      </c>
      <c r="K306" s="8">
        <v>13.1</v>
      </c>
      <c r="L306" t="s">
        <v>1140</v>
      </c>
    </row>
    <row r="307" spans="1:12" ht="15.5">
      <c r="A307" s="9" t="s">
        <v>672</v>
      </c>
      <c r="B307" s="7" t="s">
        <v>704</v>
      </c>
      <c r="C307" s="7" t="s">
        <v>13</v>
      </c>
      <c r="D307" s="7">
        <v>2023</v>
      </c>
      <c r="E307" s="7">
        <v>81.739999999999995</v>
      </c>
      <c r="F307" s="7">
        <v>125</v>
      </c>
      <c r="G307" s="7">
        <v>6</v>
      </c>
      <c r="H307" s="7">
        <v>54177.89</v>
      </c>
      <c r="I307" s="6">
        <v>89.48</v>
      </c>
      <c r="J307" s="7">
        <v>3.49</v>
      </c>
      <c r="K307" s="8">
        <v>10.93</v>
      </c>
      <c r="L307" t="s">
        <v>1141</v>
      </c>
    </row>
    <row r="308" spans="1:12" ht="15.5">
      <c r="A308" s="9" t="s">
        <v>672</v>
      </c>
      <c r="B308" s="7" t="s">
        <v>707</v>
      </c>
      <c r="C308" s="7" t="s">
        <v>13</v>
      </c>
      <c r="D308" s="7">
        <v>2023</v>
      </c>
      <c r="E308" s="7">
        <v>76.930000000000007</v>
      </c>
      <c r="F308" s="7">
        <v>210</v>
      </c>
      <c r="G308" s="7">
        <v>6</v>
      </c>
      <c r="H308" s="7">
        <v>80341.41</v>
      </c>
      <c r="I308" s="6">
        <v>88.48</v>
      </c>
      <c r="J308" s="7">
        <v>3.79</v>
      </c>
      <c r="K308" s="8">
        <v>13.62</v>
      </c>
      <c r="L308" t="s">
        <v>1141</v>
      </c>
    </row>
    <row r="309" spans="1:12" ht="15.5">
      <c r="A309" s="9" t="s">
        <v>672</v>
      </c>
      <c r="B309" s="7" t="s">
        <v>710</v>
      </c>
      <c r="C309" s="7" t="s">
        <v>13</v>
      </c>
      <c r="D309" s="7">
        <v>2023</v>
      </c>
      <c r="E309" s="7">
        <v>70.430000000000007</v>
      </c>
      <c r="F309" s="7">
        <v>294</v>
      </c>
      <c r="G309" s="7">
        <v>5</v>
      </c>
      <c r="H309" s="7">
        <v>30190.58</v>
      </c>
      <c r="I309" s="6">
        <v>97.87</v>
      </c>
      <c r="J309" s="7">
        <v>2.71</v>
      </c>
      <c r="K309" s="8">
        <v>18.559999999999999</v>
      </c>
      <c r="L309" t="s">
        <v>1140</v>
      </c>
    </row>
    <row r="310" spans="1:12" ht="15.5">
      <c r="A310" s="9" t="s">
        <v>672</v>
      </c>
      <c r="B310" s="7" t="s">
        <v>713</v>
      </c>
      <c r="C310" s="7" t="s">
        <v>13</v>
      </c>
      <c r="D310" s="7">
        <v>2023</v>
      </c>
      <c r="E310" s="7">
        <v>76.760000000000005</v>
      </c>
      <c r="F310" s="7">
        <v>217</v>
      </c>
      <c r="G310" s="7">
        <v>6</v>
      </c>
      <c r="H310" s="7">
        <v>106305.17</v>
      </c>
      <c r="I310" s="6">
        <v>83.56</v>
      </c>
      <c r="J310" s="7">
        <v>4.7699999999999996</v>
      </c>
      <c r="K310" s="8">
        <v>10.39</v>
      </c>
      <c r="L310" t="s">
        <v>1141</v>
      </c>
    </row>
    <row r="311" spans="1:12" ht="15.5">
      <c r="A311" s="9" t="s">
        <v>672</v>
      </c>
      <c r="B311" s="7" t="s">
        <v>716</v>
      </c>
      <c r="C311" s="7" t="s">
        <v>13</v>
      </c>
      <c r="D311" s="7">
        <v>2023</v>
      </c>
      <c r="E311" s="7">
        <v>67.290000000000006</v>
      </c>
      <c r="F311" s="7">
        <v>315</v>
      </c>
      <c r="G311" s="7">
        <v>4</v>
      </c>
      <c r="H311" s="7">
        <v>21575.88</v>
      </c>
      <c r="I311" s="6">
        <v>57.93</v>
      </c>
      <c r="J311" s="7">
        <v>2.85</v>
      </c>
      <c r="K311" s="8">
        <v>11.55</v>
      </c>
      <c r="L311" t="s">
        <v>1140</v>
      </c>
    </row>
    <row r="312" spans="1:12" ht="15.5">
      <c r="A312" s="9" t="s">
        <v>672</v>
      </c>
      <c r="B312" s="7" t="s">
        <v>719</v>
      </c>
      <c r="C312" s="7" t="s">
        <v>13</v>
      </c>
      <c r="D312" s="7">
        <v>2023</v>
      </c>
      <c r="E312" s="7">
        <v>62.66</v>
      </c>
      <c r="F312" s="7">
        <v>337</v>
      </c>
      <c r="G312" s="7">
        <v>4</v>
      </c>
      <c r="H312" s="7">
        <v>49135.54</v>
      </c>
      <c r="I312" s="6">
        <v>61.93</v>
      </c>
      <c r="J312" s="7">
        <v>3</v>
      </c>
      <c r="K312" s="8">
        <v>7.99</v>
      </c>
      <c r="L312" t="s">
        <v>1140</v>
      </c>
    </row>
    <row r="313" spans="1:12" ht="15.5">
      <c r="A313" s="9" t="s">
        <v>672</v>
      </c>
      <c r="B313" s="7" t="s">
        <v>721</v>
      </c>
      <c r="C313" s="7" t="s">
        <v>13</v>
      </c>
      <c r="D313" s="7">
        <v>2023</v>
      </c>
      <c r="E313" s="7">
        <v>74.27</v>
      </c>
      <c r="F313" s="7">
        <v>248</v>
      </c>
      <c r="G313" s="7">
        <v>5</v>
      </c>
      <c r="H313" s="7">
        <v>22951.26</v>
      </c>
      <c r="I313" s="6">
        <v>95.51</v>
      </c>
      <c r="J313" s="7">
        <v>3.12</v>
      </c>
      <c r="K313" s="8">
        <v>13.85</v>
      </c>
      <c r="L313" t="s">
        <v>1140</v>
      </c>
    </row>
    <row r="314" spans="1:12" ht="15.5">
      <c r="A314" s="9" t="s">
        <v>672</v>
      </c>
      <c r="B314" s="7" t="s">
        <v>723</v>
      </c>
      <c r="C314" s="7" t="s">
        <v>13</v>
      </c>
      <c r="D314" s="7">
        <v>2023</v>
      </c>
      <c r="E314" s="7">
        <v>66.69</v>
      </c>
      <c r="F314" s="7">
        <v>319</v>
      </c>
      <c r="G314" s="7">
        <v>4</v>
      </c>
      <c r="H314" s="7">
        <v>72384.820000000007</v>
      </c>
      <c r="I314" s="6">
        <v>69.22</v>
      </c>
      <c r="J314" s="7">
        <v>3.5</v>
      </c>
      <c r="K314" s="8">
        <v>12.9</v>
      </c>
      <c r="L314" t="s">
        <v>1140</v>
      </c>
    </row>
    <row r="315" spans="1:12" ht="15.5">
      <c r="A315" s="9" t="s">
        <v>672</v>
      </c>
      <c r="B315" s="7" t="s">
        <v>725</v>
      </c>
      <c r="C315" s="7" t="s">
        <v>13</v>
      </c>
      <c r="D315" s="7">
        <v>2023</v>
      </c>
      <c r="E315" s="7">
        <v>58.42</v>
      </c>
      <c r="F315" s="7">
        <v>358</v>
      </c>
      <c r="G315" s="7">
        <v>3</v>
      </c>
      <c r="H315" s="7">
        <v>7276.16</v>
      </c>
      <c r="I315" s="6">
        <v>73</v>
      </c>
      <c r="J315" s="7">
        <v>2.62</v>
      </c>
      <c r="K315" s="8">
        <v>10.63</v>
      </c>
      <c r="L315" t="s">
        <v>1140</v>
      </c>
    </row>
    <row r="316" spans="1:12" ht="15.5">
      <c r="A316" s="9" t="s">
        <v>672</v>
      </c>
      <c r="B316" s="7" t="s">
        <v>727</v>
      </c>
      <c r="C316" s="7" t="s">
        <v>13</v>
      </c>
      <c r="D316" s="7">
        <v>2023</v>
      </c>
      <c r="E316" s="7">
        <v>73</v>
      </c>
      <c r="F316" s="7">
        <v>267</v>
      </c>
      <c r="G316" s="7">
        <v>5</v>
      </c>
      <c r="H316" s="7">
        <v>27749.73</v>
      </c>
      <c r="I316" s="6">
        <v>93.21</v>
      </c>
      <c r="J316" s="7">
        <v>3.77</v>
      </c>
      <c r="K316" s="8">
        <v>15.13</v>
      </c>
      <c r="L316" t="s">
        <v>1140</v>
      </c>
    </row>
    <row r="317" spans="1:12" ht="15.5">
      <c r="A317" s="12" t="s">
        <v>672</v>
      </c>
      <c r="B317" s="13" t="s">
        <v>729</v>
      </c>
      <c r="C317" s="13" t="s">
        <v>62</v>
      </c>
      <c r="D317" s="13">
        <v>2023</v>
      </c>
      <c r="E317" s="13">
        <v>75.849999999999994</v>
      </c>
      <c r="F317" s="13">
        <v>80</v>
      </c>
      <c r="G317" s="13">
        <v>6</v>
      </c>
      <c r="H317" s="13">
        <v>1578.12</v>
      </c>
      <c r="I317" s="6">
        <v>99.48</v>
      </c>
      <c r="J317" s="13">
        <v>3.93</v>
      </c>
      <c r="K317" s="14">
        <v>23.07</v>
      </c>
      <c r="L317" t="s">
        <v>1141</v>
      </c>
    </row>
    <row r="318" spans="1:12" ht="15.5">
      <c r="A318" s="4" t="s">
        <v>730</v>
      </c>
      <c r="B318" s="5" t="s">
        <v>731</v>
      </c>
      <c r="C318" s="5" t="s">
        <v>13</v>
      </c>
      <c r="D318" s="5">
        <v>2023</v>
      </c>
      <c r="E318" s="5">
        <v>83.08</v>
      </c>
      <c r="F318" s="5">
        <v>99</v>
      </c>
      <c r="G318" s="5">
        <v>6</v>
      </c>
      <c r="H318" s="5"/>
      <c r="I318" s="15">
        <v>92.85</v>
      </c>
      <c r="J318" s="5">
        <v>5.23</v>
      </c>
      <c r="K318" s="8">
        <v>23.02</v>
      </c>
      <c r="L318" t="s">
        <v>1141</v>
      </c>
    </row>
    <row r="319" spans="1:12" ht="15.5">
      <c r="A319" s="9" t="s">
        <v>733</v>
      </c>
      <c r="B319" s="7" t="s">
        <v>734</v>
      </c>
      <c r="C319" s="7" t="s">
        <v>13</v>
      </c>
      <c r="D319" s="7">
        <v>2023</v>
      </c>
      <c r="E319" s="7">
        <v>27.68</v>
      </c>
      <c r="F319" s="7">
        <v>404</v>
      </c>
      <c r="G319" s="7">
        <v>1</v>
      </c>
      <c r="I319" s="6">
        <v>65.2</v>
      </c>
      <c r="J319" s="7">
        <v>5.63</v>
      </c>
      <c r="K319" s="8">
        <v>30.07</v>
      </c>
      <c r="L319" t="s">
        <v>1140</v>
      </c>
    </row>
    <row r="320" spans="1:12" ht="15.5">
      <c r="A320" s="9" t="s">
        <v>736</v>
      </c>
      <c r="B320" s="7" t="s">
        <v>737</v>
      </c>
      <c r="C320" s="7" t="s">
        <v>13</v>
      </c>
      <c r="D320" s="7">
        <v>2023</v>
      </c>
      <c r="E320" s="7">
        <v>72.14</v>
      </c>
      <c r="F320" s="7">
        <v>278</v>
      </c>
      <c r="G320" s="7">
        <v>5</v>
      </c>
      <c r="H320" s="7">
        <v>46.12</v>
      </c>
      <c r="I320" s="6">
        <v>94.91</v>
      </c>
      <c r="J320" s="7">
        <v>2.4</v>
      </c>
      <c r="K320" s="8">
        <v>22.44</v>
      </c>
      <c r="L320" t="s">
        <v>1140</v>
      </c>
    </row>
    <row r="321" spans="1:12" ht="15.5">
      <c r="A321" s="9" t="s">
        <v>740</v>
      </c>
      <c r="B321" s="7" t="s">
        <v>741</v>
      </c>
      <c r="C321" s="7" t="s">
        <v>13</v>
      </c>
      <c r="D321" s="7">
        <v>2023</v>
      </c>
      <c r="E321" s="7">
        <v>78.069999999999993</v>
      </c>
      <c r="F321" s="7">
        <v>188</v>
      </c>
      <c r="G321" s="7">
        <v>6</v>
      </c>
      <c r="I321" s="6">
        <v>90.79</v>
      </c>
      <c r="J321" s="7">
        <v>3.78</v>
      </c>
      <c r="K321" s="8">
        <v>28.08</v>
      </c>
      <c r="L321" t="s">
        <v>1141</v>
      </c>
    </row>
    <row r="322" spans="1:12" ht="15.5">
      <c r="A322" s="9" t="s">
        <v>744</v>
      </c>
      <c r="B322" s="7" t="s">
        <v>745</v>
      </c>
      <c r="C322" s="7" t="s">
        <v>13</v>
      </c>
      <c r="D322" s="7">
        <v>2023</v>
      </c>
      <c r="E322" s="7">
        <v>69.7</v>
      </c>
      <c r="F322" s="7">
        <v>300</v>
      </c>
      <c r="G322" s="7">
        <v>5</v>
      </c>
      <c r="I322" s="6">
        <v>75.58</v>
      </c>
      <c r="J322" s="7">
        <v>2.5299999999999998</v>
      </c>
      <c r="K322" s="8">
        <v>35.24</v>
      </c>
      <c r="L322" t="s">
        <v>1140</v>
      </c>
    </row>
    <row r="323" spans="1:12" ht="15.5">
      <c r="A323" s="9" t="s">
        <v>744</v>
      </c>
      <c r="B323" s="7" t="s">
        <v>747</v>
      </c>
      <c r="C323" s="7" t="s">
        <v>13</v>
      </c>
      <c r="D323" s="7">
        <v>2023</v>
      </c>
      <c r="E323" s="7">
        <v>49.81</v>
      </c>
      <c r="F323" s="7">
        <v>383</v>
      </c>
      <c r="G323" s="7">
        <v>2</v>
      </c>
      <c r="I323" s="6">
        <v>99.94</v>
      </c>
      <c r="J323" s="7">
        <v>3.22</v>
      </c>
      <c r="K323" s="8">
        <v>32.58</v>
      </c>
      <c r="L323" t="s">
        <v>1140</v>
      </c>
    </row>
    <row r="324" spans="1:12" ht="15.5">
      <c r="A324" s="9" t="s">
        <v>740</v>
      </c>
      <c r="B324" s="7" t="s">
        <v>750</v>
      </c>
      <c r="C324" s="7" t="s">
        <v>13</v>
      </c>
      <c r="D324" s="7">
        <v>2023</v>
      </c>
      <c r="E324" s="7">
        <v>21.52</v>
      </c>
      <c r="F324" s="7">
        <v>412</v>
      </c>
      <c r="G324" s="7">
        <v>1</v>
      </c>
      <c r="I324" s="6">
        <v>13.44</v>
      </c>
      <c r="J324" s="7">
        <v>2.42</v>
      </c>
      <c r="K324" s="8">
        <v>20.100000000000001</v>
      </c>
      <c r="L324" t="s">
        <v>1140</v>
      </c>
    </row>
    <row r="325" spans="1:12" ht="15.5">
      <c r="A325" s="9" t="s">
        <v>740</v>
      </c>
      <c r="B325" s="7" t="s">
        <v>753</v>
      </c>
      <c r="C325" s="7" t="s">
        <v>13</v>
      </c>
      <c r="D325" s="7">
        <v>2023</v>
      </c>
      <c r="E325" s="7">
        <v>25.14</v>
      </c>
      <c r="F325" s="7">
        <v>405</v>
      </c>
      <c r="G325" s="7">
        <v>1</v>
      </c>
      <c r="I325" s="6">
        <v>11.94</v>
      </c>
      <c r="J325" s="7">
        <v>1.1499999999999999</v>
      </c>
      <c r="K325" s="8">
        <v>39.43</v>
      </c>
      <c r="L325" t="s">
        <v>1140</v>
      </c>
    </row>
    <row r="326" spans="1:12" ht="15.5">
      <c r="A326" s="9" t="s">
        <v>740</v>
      </c>
      <c r="B326" s="7" t="s">
        <v>756</v>
      </c>
      <c r="C326" s="7" t="s">
        <v>13</v>
      </c>
      <c r="D326" s="7">
        <v>2023</v>
      </c>
      <c r="E326" s="7">
        <v>81.83</v>
      </c>
      <c r="F326" s="7">
        <v>122</v>
      </c>
      <c r="G326" s="7">
        <v>6</v>
      </c>
      <c r="I326" s="6">
        <v>86.43</v>
      </c>
      <c r="J326" s="7">
        <v>7.9</v>
      </c>
      <c r="K326" s="8">
        <v>28.76</v>
      </c>
      <c r="L326" t="s">
        <v>1141</v>
      </c>
    </row>
    <row r="327" spans="1:12" ht="15.5">
      <c r="A327" s="9" t="s">
        <v>730</v>
      </c>
      <c r="B327" s="7" t="s">
        <v>759</v>
      </c>
      <c r="C327" s="7" t="s">
        <v>13</v>
      </c>
      <c r="D327" s="7">
        <v>2023</v>
      </c>
      <c r="E327" s="7">
        <v>40.549999999999997</v>
      </c>
      <c r="F327" s="7">
        <v>397</v>
      </c>
      <c r="G327" s="7">
        <v>1</v>
      </c>
      <c r="I327" s="6">
        <v>48.69</v>
      </c>
      <c r="J327" s="7">
        <v>3.21</v>
      </c>
      <c r="K327" s="8">
        <v>39.130000000000003</v>
      </c>
      <c r="L327" t="s">
        <v>1140</v>
      </c>
    </row>
    <row r="328" spans="1:12" ht="15.5">
      <c r="A328" s="9" t="s">
        <v>730</v>
      </c>
      <c r="B328" s="7" t="s">
        <v>761</v>
      </c>
      <c r="C328" s="7" t="s">
        <v>13</v>
      </c>
      <c r="D328" s="7">
        <v>2023</v>
      </c>
      <c r="E328" s="7">
        <v>47.85</v>
      </c>
      <c r="F328" s="7">
        <v>387</v>
      </c>
      <c r="G328" s="7">
        <v>2</v>
      </c>
      <c r="I328" s="6">
        <v>36.42</v>
      </c>
      <c r="J328" s="7">
        <v>2.57</v>
      </c>
      <c r="K328" s="8">
        <v>48.88</v>
      </c>
      <c r="L328" t="s">
        <v>1140</v>
      </c>
    </row>
    <row r="329" spans="1:12" ht="15.5">
      <c r="A329" s="9" t="s">
        <v>730</v>
      </c>
      <c r="B329" s="7" t="s">
        <v>763</v>
      </c>
      <c r="C329" s="7" t="s">
        <v>13</v>
      </c>
      <c r="D329" s="7">
        <v>2023</v>
      </c>
      <c r="E329" s="7">
        <v>36.69</v>
      </c>
      <c r="F329" s="7">
        <v>398</v>
      </c>
      <c r="G329" s="7">
        <v>1</v>
      </c>
      <c r="I329" s="6">
        <v>35.85</v>
      </c>
      <c r="J329" s="7">
        <v>6.06</v>
      </c>
      <c r="K329" s="8">
        <v>42.88</v>
      </c>
      <c r="L329" t="s">
        <v>1140</v>
      </c>
    </row>
    <row r="330" spans="1:12" ht="15.5">
      <c r="A330" s="9" t="s">
        <v>733</v>
      </c>
      <c r="B330" s="7" t="s">
        <v>766</v>
      </c>
      <c r="C330" s="7" t="s">
        <v>13</v>
      </c>
      <c r="D330" s="7">
        <v>2023</v>
      </c>
      <c r="E330" s="7">
        <v>21.95</v>
      </c>
      <c r="F330" s="7">
        <v>409</v>
      </c>
      <c r="G330" s="7">
        <v>1</v>
      </c>
      <c r="I330" s="6">
        <v>13.56</v>
      </c>
      <c r="J330" s="7">
        <v>3.19</v>
      </c>
      <c r="K330" s="8">
        <v>56.8</v>
      </c>
      <c r="L330" t="s">
        <v>1140</v>
      </c>
    </row>
    <row r="331" spans="1:12" ht="15.5">
      <c r="A331" s="9" t="s">
        <v>733</v>
      </c>
      <c r="B331" s="7" t="s">
        <v>769</v>
      </c>
      <c r="C331" s="7" t="s">
        <v>13</v>
      </c>
      <c r="D331" s="7">
        <v>2023</v>
      </c>
      <c r="E331" s="7">
        <v>51.99</v>
      </c>
      <c r="F331" s="7">
        <v>377</v>
      </c>
      <c r="G331" s="7">
        <v>3</v>
      </c>
      <c r="I331" s="6">
        <v>12.99</v>
      </c>
      <c r="J331" s="7">
        <v>3.21</v>
      </c>
      <c r="K331" s="8">
        <v>25.43</v>
      </c>
      <c r="L331" t="s">
        <v>1140</v>
      </c>
    </row>
    <row r="332" spans="1:12" ht="15.5">
      <c r="A332" s="9" t="s">
        <v>733</v>
      </c>
      <c r="B332" s="7" t="s">
        <v>771</v>
      </c>
      <c r="C332" s="7" t="s">
        <v>13</v>
      </c>
      <c r="D332" s="7">
        <v>2023</v>
      </c>
      <c r="E332" s="7">
        <v>23</v>
      </c>
      <c r="F332" s="7">
        <v>407</v>
      </c>
      <c r="G332" s="7">
        <v>1</v>
      </c>
      <c r="I332" s="6">
        <v>2.37</v>
      </c>
      <c r="J332" s="7">
        <v>4.2</v>
      </c>
      <c r="K332" s="8">
        <v>51.68</v>
      </c>
      <c r="L332" t="s">
        <v>1140</v>
      </c>
    </row>
    <row r="333" spans="1:12" ht="15.5">
      <c r="A333" s="9" t="s">
        <v>744</v>
      </c>
      <c r="B333" s="7" t="s">
        <v>773</v>
      </c>
      <c r="C333" s="7" t="s">
        <v>13</v>
      </c>
      <c r="D333" s="7">
        <v>2023</v>
      </c>
      <c r="E333" s="7">
        <v>61.25</v>
      </c>
      <c r="F333" s="7">
        <v>343</v>
      </c>
      <c r="G333" s="7">
        <v>4</v>
      </c>
      <c r="H333" s="7">
        <v>43.5</v>
      </c>
      <c r="I333" s="6">
        <v>87.48</v>
      </c>
      <c r="J333" s="7">
        <v>3.6</v>
      </c>
      <c r="K333" s="8">
        <v>43.89</v>
      </c>
      <c r="L333" t="s">
        <v>1140</v>
      </c>
    </row>
    <row r="334" spans="1:12" ht="15.5">
      <c r="A334" s="9" t="s">
        <v>744</v>
      </c>
      <c r="B334" s="7" t="s">
        <v>776</v>
      </c>
      <c r="C334" s="7" t="s">
        <v>13</v>
      </c>
      <c r="D334" s="7">
        <v>2023</v>
      </c>
      <c r="E334" s="7">
        <v>71.92</v>
      </c>
      <c r="F334" s="7">
        <v>279</v>
      </c>
      <c r="G334" s="7">
        <v>5</v>
      </c>
      <c r="H334" s="7">
        <v>39.549999999999997</v>
      </c>
      <c r="I334" s="6">
        <v>85.76</v>
      </c>
      <c r="J334" s="7">
        <v>2.04</v>
      </c>
      <c r="K334" s="8">
        <v>47.9</v>
      </c>
      <c r="L334" t="s">
        <v>1140</v>
      </c>
    </row>
    <row r="335" spans="1:12" ht="15.5">
      <c r="A335" s="9" t="s">
        <v>744</v>
      </c>
      <c r="B335" s="7" t="s">
        <v>778</v>
      </c>
      <c r="C335" s="7" t="s">
        <v>13</v>
      </c>
      <c r="D335" s="7">
        <v>2023</v>
      </c>
      <c r="E335" s="7">
        <v>61.63</v>
      </c>
      <c r="F335" s="7">
        <v>341</v>
      </c>
      <c r="G335" s="7">
        <v>4</v>
      </c>
      <c r="H335" s="7">
        <v>38.14</v>
      </c>
      <c r="I335" s="6">
        <v>61.35</v>
      </c>
      <c r="J335" s="7">
        <v>0.97</v>
      </c>
      <c r="K335" s="8">
        <v>35.93</v>
      </c>
      <c r="L335" t="s">
        <v>1140</v>
      </c>
    </row>
    <row r="336" spans="1:12" ht="15.5">
      <c r="A336" s="9" t="s">
        <v>744</v>
      </c>
      <c r="B336" s="7" t="s">
        <v>781</v>
      </c>
      <c r="C336" s="7" t="s">
        <v>13</v>
      </c>
      <c r="D336" s="7">
        <v>2023</v>
      </c>
      <c r="E336" s="7">
        <v>30.41</v>
      </c>
      <c r="F336" s="7">
        <v>403</v>
      </c>
      <c r="G336" s="7">
        <v>1</v>
      </c>
      <c r="I336" s="6">
        <v>62.7</v>
      </c>
      <c r="J336" s="7">
        <v>1.9</v>
      </c>
      <c r="K336" s="8">
        <v>27.98</v>
      </c>
      <c r="L336" t="s">
        <v>1140</v>
      </c>
    </row>
    <row r="337" spans="1:12" ht="15.5">
      <c r="A337" s="9" t="s">
        <v>744</v>
      </c>
      <c r="B337" s="7" t="s">
        <v>784</v>
      </c>
      <c r="C337" s="7" t="s">
        <v>13</v>
      </c>
      <c r="D337" s="7">
        <v>2023</v>
      </c>
      <c r="E337" s="7">
        <v>22.51</v>
      </c>
      <c r="F337" s="7">
        <v>408</v>
      </c>
      <c r="G337" s="7">
        <v>1</v>
      </c>
      <c r="I337" s="11">
        <v>0</v>
      </c>
      <c r="J337" s="7">
        <v>2.99</v>
      </c>
      <c r="K337" s="8">
        <v>48.03</v>
      </c>
      <c r="L337" t="s">
        <v>1140</v>
      </c>
    </row>
    <row r="338" spans="1:12" ht="15.5">
      <c r="A338" s="9" t="s">
        <v>733</v>
      </c>
      <c r="B338" s="7" t="s">
        <v>786</v>
      </c>
      <c r="C338" s="7" t="s">
        <v>13</v>
      </c>
      <c r="D338" s="7">
        <v>2023</v>
      </c>
      <c r="E338" s="7">
        <v>17.63</v>
      </c>
      <c r="F338" s="7">
        <v>415</v>
      </c>
      <c r="G338" s="7">
        <v>1</v>
      </c>
      <c r="I338" s="6">
        <v>7.74</v>
      </c>
      <c r="J338" s="7">
        <v>3.97</v>
      </c>
      <c r="K338" s="8">
        <v>20.68</v>
      </c>
      <c r="L338" t="s">
        <v>1140</v>
      </c>
    </row>
    <row r="339" spans="1:12" ht="15.5">
      <c r="A339" s="9" t="s">
        <v>733</v>
      </c>
      <c r="B339" s="7" t="s">
        <v>789</v>
      </c>
      <c r="C339" s="7" t="s">
        <v>13</v>
      </c>
      <c r="D339" s="7">
        <v>2023</v>
      </c>
      <c r="E339" s="7">
        <v>21.6</v>
      </c>
      <c r="F339" s="7">
        <v>411</v>
      </c>
      <c r="G339" s="7">
        <v>1</v>
      </c>
      <c r="I339" s="6">
        <v>3.83</v>
      </c>
      <c r="J339" s="7">
        <v>4.5</v>
      </c>
      <c r="K339" s="8">
        <v>20.07</v>
      </c>
      <c r="L339" t="s">
        <v>1140</v>
      </c>
    </row>
    <row r="340" spans="1:12" ht="15.5">
      <c r="A340" s="9" t="s">
        <v>733</v>
      </c>
      <c r="B340" s="7" t="s">
        <v>791</v>
      </c>
      <c r="C340" s="7" t="s">
        <v>13</v>
      </c>
      <c r="D340" s="7">
        <v>2023</v>
      </c>
      <c r="E340" s="7">
        <v>20.059999999999999</v>
      </c>
      <c r="F340" s="7">
        <v>414</v>
      </c>
      <c r="G340" s="7">
        <v>1</v>
      </c>
      <c r="I340" s="6">
        <v>7.0000000000000007E-2</v>
      </c>
      <c r="J340" s="7">
        <v>4.74</v>
      </c>
      <c r="K340" s="8">
        <v>26.1</v>
      </c>
      <c r="L340" t="s">
        <v>1140</v>
      </c>
    </row>
    <row r="341" spans="1:12" ht="15.5">
      <c r="A341" s="9" t="s">
        <v>733</v>
      </c>
      <c r="B341" s="7" t="s">
        <v>793</v>
      </c>
      <c r="C341" s="7" t="s">
        <v>13</v>
      </c>
      <c r="D341" s="7">
        <v>2023</v>
      </c>
      <c r="E341" s="7">
        <v>23.95</v>
      </c>
      <c r="F341" s="7">
        <v>406</v>
      </c>
      <c r="G341" s="7">
        <v>1</v>
      </c>
      <c r="I341" s="6">
        <v>4.3499999999999996</v>
      </c>
      <c r="J341" s="7">
        <v>5.32</v>
      </c>
      <c r="K341" s="8">
        <v>17.940000000000001</v>
      </c>
      <c r="L341" t="s">
        <v>1140</v>
      </c>
    </row>
    <row r="342" spans="1:12" ht="15.5">
      <c r="A342" s="9" t="s">
        <v>740</v>
      </c>
      <c r="B342" s="7" t="s">
        <v>794</v>
      </c>
      <c r="C342" s="7" t="s">
        <v>13</v>
      </c>
      <c r="D342" s="7">
        <v>2023</v>
      </c>
      <c r="E342" s="7">
        <v>20.100000000000001</v>
      </c>
      <c r="F342" s="7">
        <v>413</v>
      </c>
      <c r="G342" s="7">
        <v>1</v>
      </c>
      <c r="I342" s="6">
        <v>8.4700000000000006</v>
      </c>
      <c r="J342" s="7">
        <v>2.34</v>
      </c>
      <c r="K342" s="8">
        <v>47.27</v>
      </c>
      <c r="L342" t="s">
        <v>1140</v>
      </c>
    </row>
    <row r="343" spans="1:12" ht="15.5">
      <c r="A343" s="9" t="s">
        <v>740</v>
      </c>
      <c r="B343" s="7" t="s">
        <v>797</v>
      </c>
      <c r="C343" s="7" t="s">
        <v>13</v>
      </c>
      <c r="D343" s="7">
        <v>2023</v>
      </c>
      <c r="E343" s="7">
        <v>31.23</v>
      </c>
      <c r="F343" s="7">
        <v>402</v>
      </c>
      <c r="G343" s="7">
        <v>1</v>
      </c>
      <c r="I343" s="6">
        <v>27.9</v>
      </c>
      <c r="J343" s="7">
        <v>2.91</v>
      </c>
      <c r="K343" s="8">
        <v>67.17</v>
      </c>
      <c r="L343" t="s">
        <v>1140</v>
      </c>
    </row>
    <row r="344" spans="1:12" ht="15.5">
      <c r="A344" s="9" t="s">
        <v>740</v>
      </c>
      <c r="B344" s="7" t="s">
        <v>800</v>
      </c>
      <c r="C344" s="7" t="s">
        <v>13</v>
      </c>
      <c r="D344" s="7">
        <v>2023</v>
      </c>
      <c r="E344" s="7">
        <v>14.54</v>
      </c>
      <c r="F344" s="7">
        <v>416</v>
      </c>
      <c r="G344" s="7">
        <v>1</v>
      </c>
      <c r="I344" s="11">
        <v>0</v>
      </c>
      <c r="J344" s="7">
        <v>2.6</v>
      </c>
      <c r="K344" s="8">
        <v>41.29</v>
      </c>
      <c r="L344" t="s">
        <v>1140</v>
      </c>
    </row>
    <row r="345" spans="1:12" ht="15.5">
      <c r="A345" s="9" t="s">
        <v>740</v>
      </c>
      <c r="B345" s="7" t="s">
        <v>801</v>
      </c>
      <c r="C345" s="7" t="s">
        <v>13</v>
      </c>
      <c r="D345" s="7">
        <v>2023</v>
      </c>
      <c r="E345" s="7">
        <v>21.93</v>
      </c>
      <c r="F345" s="7">
        <v>410</v>
      </c>
      <c r="G345" s="7">
        <v>1</v>
      </c>
      <c r="I345" s="6">
        <v>30.46</v>
      </c>
      <c r="J345" s="7">
        <v>1.99</v>
      </c>
      <c r="K345" s="8">
        <v>66.760000000000005</v>
      </c>
      <c r="L345" t="s">
        <v>1140</v>
      </c>
    </row>
    <row r="346" spans="1:12" ht="15.5">
      <c r="A346" s="12" t="s">
        <v>744</v>
      </c>
      <c r="B346" s="13" t="s">
        <v>804</v>
      </c>
      <c r="C346" s="13" t="s">
        <v>62</v>
      </c>
      <c r="D346" s="13">
        <v>2023</v>
      </c>
      <c r="E346" s="13">
        <v>76.010000000000005</v>
      </c>
      <c r="F346" s="13">
        <v>79</v>
      </c>
      <c r="G346" s="13">
        <v>6</v>
      </c>
      <c r="H346" s="13">
        <v>43.04</v>
      </c>
      <c r="I346" s="6">
        <v>98.99</v>
      </c>
      <c r="J346" s="13">
        <v>4.53</v>
      </c>
      <c r="K346" s="14">
        <v>18.59</v>
      </c>
      <c r="L346" t="s">
        <v>1141</v>
      </c>
    </row>
    <row r="347" spans="1:12" ht="15.5">
      <c r="A347" s="4" t="s">
        <v>805</v>
      </c>
      <c r="B347" s="5" t="s">
        <v>806</v>
      </c>
      <c r="C347" s="5" t="s">
        <v>13</v>
      </c>
      <c r="D347" s="5">
        <v>2023</v>
      </c>
      <c r="E347" s="5">
        <v>47.32</v>
      </c>
      <c r="F347" s="5">
        <v>388</v>
      </c>
      <c r="G347" s="5">
        <v>2</v>
      </c>
      <c r="H347" s="5">
        <v>45.2</v>
      </c>
      <c r="I347" s="15">
        <v>87.08</v>
      </c>
      <c r="J347" s="5">
        <v>1.63</v>
      </c>
      <c r="K347" s="8">
        <v>24.29</v>
      </c>
      <c r="L347" t="s">
        <v>1140</v>
      </c>
    </row>
    <row r="348" spans="1:12" ht="15.5">
      <c r="A348" s="9" t="s">
        <v>805</v>
      </c>
      <c r="B348" s="7" t="s">
        <v>809</v>
      </c>
      <c r="C348" s="7" t="s">
        <v>13</v>
      </c>
      <c r="D348" s="7">
        <v>2023</v>
      </c>
      <c r="E348" s="7">
        <v>47.12</v>
      </c>
      <c r="F348" s="7">
        <v>389</v>
      </c>
      <c r="G348" s="7">
        <v>2</v>
      </c>
      <c r="I348" s="6">
        <v>72.260000000000005</v>
      </c>
      <c r="J348" s="7">
        <v>3.26</v>
      </c>
      <c r="K348" s="8">
        <v>21.91</v>
      </c>
      <c r="L348" t="s">
        <v>1140</v>
      </c>
    </row>
    <row r="349" spans="1:12" ht="15.5">
      <c r="A349" s="9" t="s">
        <v>805</v>
      </c>
      <c r="B349" s="7" t="s">
        <v>812</v>
      </c>
      <c r="C349" s="7" t="s">
        <v>13</v>
      </c>
      <c r="D349" s="7">
        <v>2023</v>
      </c>
      <c r="E349" s="7">
        <v>32.93</v>
      </c>
      <c r="F349" s="7">
        <v>399</v>
      </c>
      <c r="G349" s="7">
        <v>1</v>
      </c>
      <c r="H349" s="7">
        <v>66.23</v>
      </c>
      <c r="I349" s="6">
        <v>60.77</v>
      </c>
      <c r="J349" s="7">
        <v>2.78</v>
      </c>
      <c r="K349" s="8">
        <v>28.47</v>
      </c>
      <c r="L349" t="s">
        <v>1140</v>
      </c>
    </row>
    <row r="350" spans="1:12" ht="15.5">
      <c r="A350" s="9" t="s">
        <v>805</v>
      </c>
      <c r="B350" s="7" t="s">
        <v>815</v>
      </c>
      <c r="C350" s="7" t="s">
        <v>13</v>
      </c>
      <c r="D350" s="7">
        <v>2023</v>
      </c>
      <c r="E350" s="7">
        <v>40.880000000000003</v>
      </c>
      <c r="F350" s="7">
        <v>396</v>
      </c>
      <c r="G350" s="7">
        <v>1</v>
      </c>
      <c r="H350" s="7">
        <v>684.52</v>
      </c>
      <c r="I350" s="6">
        <v>72.680000000000007</v>
      </c>
      <c r="J350" s="7">
        <v>6.05</v>
      </c>
      <c r="K350" s="8">
        <v>21.48</v>
      </c>
      <c r="L350" t="s">
        <v>1140</v>
      </c>
    </row>
    <row r="351" spans="1:12" ht="15.5">
      <c r="A351" s="9" t="s">
        <v>805</v>
      </c>
      <c r="B351" s="7" t="s">
        <v>818</v>
      </c>
      <c r="C351" s="7" t="s">
        <v>13</v>
      </c>
      <c r="D351" s="7">
        <v>2023</v>
      </c>
      <c r="E351" s="7">
        <v>66.849999999999994</v>
      </c>
      <c r="F351" s="7">
        <v>318</v>
      </c>
      <c r="G351" s="7">
        <v>4</v>
      </c>
      <c r="H351" s="7">
        <v>15484.08</v>
      </c>
      <c r="I351" s="6">
        <v>99.23</v>
      </c>
      <c r="J351" s="7">
        <v>1.06</v>
      </c>
      <c r="K351" s="8">
        <v>22.6</v>
      </c>
      <c r="L351" t="s">
        <v>1140</v>
      </c>
    </row>
    <row r="352" spans="1:12" ht="15.5">
      <c r="A352" s="9" t="s">
        <v>821</v>
      </c>
      <c r="B352" s="7" t="s">
        <v>822</v>
      </c>
      <c r="C352" s="7" t="s">
        <v>13</v>
      </c>
      <c r="D352" s="7">
        <v>2023</v>
      </c>
      <c r="E352" s="7">
        <v>48.46</v>
      </c>
      <c r="F352" s="7">
        <v>385</v>
      </c>
      <c r="G352" s="7">
        <v>2</v>
      </c>
      <c r="H352" s="7">
        <v>110.21</v>
      </c>
      <c r="I352" s="6">
        <v>42.32</v>
      </c>
      <c r="J352" s="7">
        <v>4.3899999999999997</v>
      </c>
      <c r="K352" s="8">
        <v>28.34</v>
      </c>
      <c r="L352" t="s">
        <v>1140</v>
      </c>
    </row>
    <row r="353" spans="1:12" ht="15.5">
      <c r="A353" s="9" t="s">
        <v>821</v>
      </c>
      <c r="B353" s="7" t="s">
        <v>824</v>
      </c>
      <c r="C353" s="7" t="s">
        <v>13</v>
      </c>
      <c r="D353" s="7">
        <v>2023</v>
      </c>
      <c r="E353" s="7">
        <v>46.99</v>
      </c>
      <c r="F353" s="7">
        <v>391</v>
      </c>
      <c r="G353" s="7">
        <v>2</v>
      </c>
      <c r="H353" s="7">
        <v>1289.3</v>
      </c>
      <c r="I353" s="6">
        <v>80.739999999999995</v>
      </c>
      <c r="J353" s="7">
        <v>3.27</v>
      </c>
      <c r="K353" s="8">
        <v>29.71</v>
      </c>
      <c r="L353" t="s">
        <v>1140</v>
      </c>
    </row>
    <row r="354" spans="1:12" ht="15.5">
      <c r="A354" s="9" t="s">
        <v>821</v>
      </c>
      <c r="B354" s="7" t="s">
        <v>826</v>
      </c>
      <c r="C354" s="7" t="s">
        <v>13</v>
      </c>
      <c r="D354" s="7">
        <v>2023</v>
      </c>
      <c r="E354" s="7">
        <v>44.12</v>
      </c>
      <c r="F354" s="7">
        <v>393</v>
      </c>
      <c r="G354" s="7">
        <v>2</v>
      </c>
      <c r="H354" s="7">
        <v>834.19</v>
      </c>
      <c r="I354" s="6">
        <v>48.89</v>
      </c>
      <c r="J354" s="7">
        <v>1.55</v>
      </c>
      <c r="K354" s="8">
        <v>33.619999999999997</v>
      </c>
      <c r="L354" t="s">
        <v>1140</v>
      </c>
    </row>
    <row r="355" spans="1:12" ht="15.5">
      <c r="A355" s="9" t="s">
        <v>821</v>
      </c>
      <c r="B355" s="7" t="s">
        <v>829</v>
      </c>
      <c r="C355" s="7" t="s">
        <v>13</v>
      </c>
      <c r="D355" s="7">
        <v>2023</v>
      </c>
      <c r="E355" s="7">
        <v>32.880000000000003</v>
      </c>
      <c r="F355" s="7">
        <v>400</v>
      </c>
      <c r="G355" s="7">
        <v>1</v>
      </c>
      <c r="I355" s="6">
        <v>79.48</v>
      </c>
      <c r="J355" s="7">
        <v>4.0999999999999996</v>
      </c>
      <c r="K355" s="8">
        <v>34.92</v>
      </c>
      <c r="L355" t="s">
        <v>1140</v>
      </c>
    </row>
    <row r="356" spans="1:12" ht="15.5">
      <c r="A356" s="9" t="s">
        <v>821</v>
      </c>
      <c r="B356" s="7" t="s">
        <v>832</v>
      </c>
      <c r="C356" s="7" t="s">
        <v>13</v>
      </c>
      <c r="D356" s="7">
        <v>2023</v>
      </c>
      <c r="E356" s="7">
        <v>41.6</v>
      </c>
      <c r="F356" s="7">
        <v>395</v>
      </c>
      <c r="G356" s="7">
        <v>2</v>
      </c>
      <c r="I356" s="6">
        <v>89.29</v>
      </c>
      <c r="J356" s="7">
        <v>2.2200000000000002</v>
      </c>
      <c r="K356" s="8">
        <v>18.13</v>
      </c>
      <c r="L356" t="s">
        <v>1140</v>
      </c>
    </row>
    <row r="357" spans="1:12" ht="15.5">
      <c r="A357" s="9" t="s">
        <v>805</v>
      </c>
      <c r="B357" s="7" t="s">
        <v>835</v>
      </c>
      <c r="C357" s="7" t="s">
        <v>13</v>
      </c>
      <c r="D357" s="7">
        <v>2023</v>
      </c>
      <c r="E357" s="7">
        <v>67.12</v>
      </c>
      <c r="F357" s="7">
        <v>316</v>
      </c>
      <c r="G357" s="7">
        <v>4</v>
      </c>
      <c r="H357" s="7">
        <v>5294.38</v>
      </c>
      <c r="I357" s="6">
        <v>93.29</v>
      </c>
      <c r="J357" s="7">
        <v>2.1</v>
      </c>
      <c r="K357" s="8">
        <v>27</v>
      </c>
      <c r="L357" t="s">
        <v>1140</v>
      </c>
    </row>
    <row r="358" spans="1:12" ht="15.5">
      <c r="A358" s="9" t="s">
        <v>805</v>
      </c>
      <c r="B358" s="7" t="s">
        <v>838</v>
      </c>
      <c r="C358" s="7" t="s">
        <v>13</v>
      </c>
      <c r="D358" s="7">
        <v>2023</v>
      </c>
      <c r="E358" s="7">
        <v>32.869999999999997</v>
      </c>
      <c r="F358" s="7">
        <v>401</v>
      </c>
      <c r="G358" s="7">
        <v>1</v>
      </c>
      <c r="I358" s="6">
        <v>30.48</v>
      </c>
      <c r="J358" s="7">
        <v>0.12</v>
      </c>
      <c r="K358" s="8">
        <v>48.23</v>
      </c>
      <c r="L358" t="s">
        <v>1140</v>
      </c>
    </row>
    <row r="359" spans="1:12" ht="15.5">
      <c r="A359" s="12" t="s">
        <v>821</v>
      </c>
      <c r="B359" s="13" t="s">
        <v>841</v>
      </c>
      <c r="C359" s="13" t="s">
        <v>62</v>
      </c>
      <c r="D359" s="13">
        <v>2023</v>
      </c>
      <c r="E359" s="13">
        <v>74.180000000000007</v>
      </c>
      <c r="F359" s="13">
        <v>84</v>
      </c>
      <c r="G359" s="13">
        <v>6</v>
      </c>
      <c r="H359" s="13"/>
      <c r="I359" s="6">
        <v>100</v>
      </c>
      <c r="J359" s="13">
        <v>0.97</v>
      </c>
      <c r="K359" s="14">
        <v>17.21</v>
      </c>
      <c r="L359" t="s">
        <v>1140</v>
      </c>
    </row>
    <row r="360" spans="1:12" ht="15.5">
      <c r="A360" s="4" t="s">
        <v>842</v>
      </c>
      <c r="B360" s="5" t="s">
        <v>843</v>
      </c>
      <c r="C360" s="5" t="s">
        <v>13</v>
      </c>
      <c r="D360" s="5">
        <v>2023</v>
      </c>
      <c r="E360" s="5">
        <v>68.94</v>
      </c>
      <c r="F360" s="5">
        <v>310</v>
      </c>
      <c r="G360" s="5">
        <v>5</v>
      </c>
      <c r="H360" s="5">
        <v>24035.35</v>
      </c>
      <c r="I360" s="15">
        <v>96.84</v>
      </c>
      <c r="J360" s="5">
        <v>2.87</v>
      </c>
      <c r="K360" s="8">
        <v>13.75</v>
      </c>
      <c r="L360" t="s">
        <v>1140</v>
      </c>
    </row>
    <row r="361" spans="1:12" ht="15.5">
      <c r="A361" s="9" t="s">
        <v>842</v>
      </c>
      <c r="B361" s="7" t="s">
        <v>846</v>
      </c>
      <c r="C361" s="7" t="s">
        <v>13</v>
      </c>
      <c r="D361" s="7">
        <v>2023</v>
      </c>
      <c r="E361" s="7">
        <v>59.35</v>
      </c>
      <c r="F361" s="7">
        <v>352</v>
      </c>
      <c r="G361" s="7">
        <v>3</v>
      </c>
      <c r="H361" s="7">
        <v>3507.77</v>
      </c>
      <c r="I361" s="6">
        <v>94.52</v>
      </c>
      <c r="J361" s="7">
        <v>4.3899999999999997</v>
      </c>
      <c r="K361" s="8">
        <v>12.31</v>
      </c>
      <c r="L361" t="s">
        <v>1140</v>
      </c>
    </row>
    <row r="362" spans="1:12" ht="15.5">
      <c r="A362" s="9" t="s">
        <v>842</v>
      </c>
      <c r="B362" s="7" t="s">
        <v>847</v>
      </c>
      <c r="C362" s="7" t="s">
        <v>13</v>
      </c>
      <c r="D362" s="7">
        <v>2023</v>
      </c>
      <c r="E362" s="7">
        <v>69.290000000000006</v>
      </c>
      <c r="F362" s="7">
        <v>306</v>
      </c>
      <c r="G362" s="7">
        <v>5</v>
      </c>
      <c r="H362" s="7">
        <v>52895.69</v>
      </c>
      <c r="I362" s="6">
        <v>85.86</v>
      </c>
      <c r="J362" s="7">
        <v>3.17</v>
      </c>
      <c r="K362" s="8">
        <v>17.059999999999999</v>
      </c>
      <c r="L362" t="s">
        <v>1140</v>
      </c>
    </row>
    <row r="363" spans="1:12" ht="15.5">
      <c r="A363" s="9" t="s">
        <v>842</v>
      </c>
      <c r="B363" s="7" t="s">
        <v>849</v>
      </c>
      <c r="C363" s="7" t="s">
        <v>13</v>
      </c>
      <c r="D363" s="7">
        <v>2023</v>
      </c>
      <c r="E363" s="7">
        <v>69.489999999999995</v>
      </c>
      <c r="F363" s="7">
        <v>302</v>
      </c>
      <c r="G363" s="7">
        <v>5</v>
      </c>
      <c r="H363" s="7">
        <v>18727.91</v>
      </c>
      <c r="I363" s="6">
        <v>83.19</v>
      </c>
      <c r="J363" s="7">
        <v>4.6900000000000004</v>
      </c>
      <c r="K363" s="8">
        <v>10.96</v>
      </c>
      <c r="L363" t="s">
        <v>1140</v>
      </c>
    </row>
    <row r="364" spans="1:12" ht="15.5">
      <c r="A364" s="9" t="s">
        <v>842</v>
      </c>
      <c r="B364" s="7" t="s">
        <v>851</v>
      </c>
      <c r="C364" s="7" t="s">
        <v>13</v>
      </c>
      <c r="D364" s="7">
        <v>2023</v>
      </c>
      <c r="E364" s="7">
        <v>74.739999999999995</v>
      </c>
      <c r="F364" s="7">
        <v>244</v>
      </c>
      <c r="G364" s="7">
        <v>5</v>
      </c>
      <c r="H364" s="7">
        <v>28161.01</v>
      </c>
      <c r="I364" s="6">
        <v>98.07</v>
      </c>
      <c r="J364" s="7">
        <v>4.3499999999999996</v>
      </c>
      <c r="K364" s="8">
        <v>10.33</v>
      </c>
      <c r="L364" t="s">
        <v>1141</v>
      </c>
    </row>
    <row r="365" spans="1:12" ht="15.5">
      <c r="A365" s="9" t="s">
        <v>842</v>
      </c>
      <c r="B365" s="7" t="s">
        <v>853</v>
      </c>
      <c r="C365" s="7" t="s">
        <v>13</v>
      </c>
      <c r="D365" s="7">
        <v>2023</v>
      </c>
      <c r="E365" s="7">
        <v>57.59</v>
      </c>
      <c r="F365" s="7">
        <v>361</v>
      </c>
      <c r="G365" s="7">
        <v>3</v>
      </c>
      <c r="H365" s="7">
        <v>10587.2</v>
      </c>
      <c r="I365" s="6">
        <v>96.4</v>
      </c>
      <c r="J365" s="7">
        <v>4.22</v>
      </c>
      <c r="K365" s="8">
        <v>12.01</v>
      </c>
      <c r="L365" t="s">
        <v>1140</v>
      </c>
    </row>
    <row r="366" spans="1:12" ht="15.5">
      <c r="A366" s="9" t="s">
        <v>842</v>
      </c>
      <c r="B366" s="7" t="s">
        <v>855</v>
      </c>
      <c r="C366" s="7" t="s">
        <v>13</v>
      </c>
      <c r="D366" s="7">
        <v>2023</v>
      </c>
      <c r="E366" s="7">
        <v>56.76</v>
      </c>
      <c r="F366" s="7">
        <v>362</v>
      </c>
      <c r="G366" s="7">
        <v>3</v>
      </c>
      <c r="H366" s="7">
        <v>5844.52</v>
      </c>
      <c r="I366" s="6">
        <v>96.22</v>
      </c>
      <c r="J366" s="7">
        <v>4.12</v>
      </c>
      <c r="K366" s="8">
        <v>9.32</v>
      </c>
      <c r="L366" t="s">
        <v>1140</v>
      </c>
    </row>
    <row r="367" spans="1:12" ht="15.5">
      <c r="A367" s="9" t="s">
        <v>842</v>
      </c>
      <c r="B367" s="7" t="s">
        <v>858</v>
      </c>
      <c r="C367" s="7" t="s">
        <v>13</v>
      </c>
      <c r="D367" s="7">
        <v>2023</v>
      </c>
      <c r="E367" s="7">
        <v>61.68</v>
      </c>
      <c r="F367" s="7">
        <v>340</v>
      </c>
      <c r="G367" s="7">
        <v>4</v>
      </c>
      <c r="H367" s="7">
        <v>16745.59</v>
      </c>
      <c r="I367" s="6">
        <v>99.48</v>
      </c>
      <c r="J367" s="7">
        <v>2.77</v>
      </c>
      <c r="K367" s="8">
        <v>12.77</v>
      </c>
      <c r="L367" t="s">
        <v>1140</v>
      </c>
    </row>
    <row r="368" spans="1:12" ht="15.5">
      <c r="A368" s="9" t="s">
        <v>842</v>
      </c>
      <c r="B368" s="7" t="s">
        <v>860</v>
      </c>
      <c r="C368" s="7" t="s">
        <v>13</v>
      </c>
      <c r="D368" s="7">
        <v>2023</v>
      </c>
      <c r="E368" s="7">
        <v>67.45</v>
      </c>
      <c r="F368" s="7">
        <v>314</v>
      </c>
      <c r="G368" s="7">
        <v>4</v>
      </c>
      <c r="H368" s="7">
        <v>34555.49</v>
      </c>
      <c r="I368" s="6">
        <v>99.87</v>
      </c>
      <c r="J368" s="7">
        <v>2.83</v>
      </c>
      <c r="K368" s="8">
        <v>12.62</v>
      </c>
      <c r="L368" t="s">
        <v>1140</v>
      </c>
    </row>
    <row r="369" spans="1:12" ht="15.5">
      <c r="A369" s="9" t="s">
        <v>842</v>
      </c>
      <c r="B369" s="7" t="s">
        <v>862</v>
      </c>
      <c r="C369" s="7" t="s">
        <v>13</v>
      </c>
      <c r="D369" s="7">
        <v>2023</v>
      </c>
      <c r="E369" s="7">
        <v>70.47</v>
      </c>
      <c r="F369" s="7">
        <v>293</v>
      </c>
      <c r="G369" s="7">
        <v>5</v>
      </c>
      <c r="H369" s="7">
        <v>9033.6200000000008</v>
      </c>
      <c r="I369" s="6">
        <v>96.34</v>
      </c>
      <c r="J369" s="7">
        <v>4.8099999999999996</v>
      </c>
      <c r="K369" s="8">
        <v>15.95</v>
      </c>
      <c r="L369" t="s">
        <v>1140</v>
      </c>
    </row>
    <row r="370" spans="1:12" ht="15.5">
      <c r="A370" s="9" t="s">
        <v>842</v>
      </c>
      <c r="B370" s="7" t="s">
        <v>865</v>
      </c>
      <c r="C370" s="7" t="s">
        <v>62</v>
      </c>
      <c r="D370" s="7">
        <v>2023</v>
      </c>
      <c r="E370" s="7">
        <v>89.81</v>
      </c>
      <c r="F370" s="7">
        <v>16</v>
      </c>
      <c r="G370" s="7">
        <v>6</v>
      </c>
      <c r="I370" s="6">
        <v>100</v>
      </c>
      <c r="J370" s="7">
        <v>6.06</v>
      </c>
      <c r="K370" s="8">
        <v>11.75</v>
      </c>
      <c r="L370" t="s">
        <v>1141</v>
      </c>
    </row>
    <row r="371" spans="1:12" ht="15.5">
      <c r="A371" s="12" t="s">
        <v>842</v>
      </c>
      <c r="B371" s="13" t="s">
        <v>866</v>
      </c>
      <c r="C371" s="13" t="s">
        <v>62</v>
      </c>
      <c r="D371" s="13">
        <v>2023</v>
      </c>
      <c r="E371" s="13">
        <v>78.61</v>
      </c>
      <c r="F371" s="13">
        <v>73</v>
      </c>
      <c r="G371" s="13">
        <v>6</v>
      </c>
      <c r="H371" s="13">
        <v>5095.87</v>
      </c>
      <c r="I371" s="16">
        <v>99.18</v>
      </c>
      <c r="J371" s="13">
        <v>6.05</v>
      </c>
      <c r="K371" s="14">
        <v>12.42</v>
      </c>
      <c r="L371" t="s">
        <v>1141</v>
      </c>
    </row>
    <row r="372" spans="1:12" ht="15.5">
      <c r="A372" s="4" t="s">
        <v>868</v>
      </c>
      <c r="B372" s="5" t="s">
        <v>869</v>
      </c>
      <c r="C372" s="5" t="s">
        <v>13</v>
      </c>
      <c r="D372" s="5">
        <v>2023</v>
      </c>
      <c r="E372" s="5">
        <v>66.33</v>
      </c>
      <c r="F372" s="5">
        <v>321</v>
      </c>
      <c r="G372" s="5">
        <v>4</v>
      </c>
      <c r="H372" s="5">
        <v>4303.05</v>
      </c>
      <c r="I372" s="6">
        <v>99.95</v>
      </c>
      <c r="J372" s="5">
        <v>5.28</v>
      </c>
      <c r="K372" s="8">
        <v>6.66</v>
      </c>
      <c r="L372" t="s">
        <v>1140</v>
      </c>
    </row>
    <row r="373" spans="1:12" ht="15.5">
      <c r="A373" s="9" t="s">
        <v>868</v>
      </c>
      <c r="B373" s="7" t="s">
        <v>870</v>
      </c>
      <c r="C373" s="7" t="s">
        <v>13</v>
      </c>
      <c r="D373" s="7">
        <v>2023</v>
      </c>
      <c r="E373" s="7">
        <v>74.59</v>
      </c>
      <c r="F373" s="7">
        <v>246</v>
      </c>
      <c r="G373" s="7">
        <v>5</v>
      </c>
      <c r="H373" s="7">
        <v>168962.96</v>
      </c>
      <c r="I373" s="6">
        <v>99.43</v>
      </c>
      <c r="J373" s="7">
        <v>4.58</v>
      </c>
      <c r="K373" s="8">
        <v>8.65</v>
      </c>
      <c r="L373" t="s">
        <v>1141</v>
      </c>
    </row>
    <row r="374" spans="1:12" ht="15.5">
      <c r="A374" s="9" t="s">
        <v>868</v>
      </c>
      <c r="B374" s="7" t="s">
        <v>872</v>
      </c>
      <c r="C374" s="7" t="s">
        <v>13</v>
      </c>
      <c r="D374" s="7">
        <v>2023</v>
      </c>
      <c r="E374" s="7">
        <v>72.650000000000006</v>
      </c>
      <c r="F374" s="7">
        <v>272</v>
      </c>
      <c r="G374" s="7">
        <v>5</v>
      </c>
      <c r="H374" s="7">
        <v>50554.04</v>
      </c>
      <c r="I374" s="6">
        <v>72.34</v>
      </c>
      <c r="J374" s="7">
        <v>2.72</v>
      </c>
      <c r="K374" s="8">
        <v>14.95</v>
      </c>
      <c r="L374" t="s">
        <v>1140</v>
      </c>
    </row>
    <row r="375" spans="1:12" ht="15.5">
      <c r="A375" s="9" t="s">
        <v>868</v>
      </c>
      <c r="B375" s="7" t="s">
        <v>875</v>
      </c>
      <c r="C375" s="7" t="s">
        <v>13</v>
      </c>
      <c r="D375" s="7">
        <v>2023</v>
      </c>
      <c r="E375" s="7">
        <v>82.26</v>
      </c>
      <c r="F375" s="7">
        <v>113</v>
      </c>
      <c r="G375" s="7">
        <v>6</v>
      </c>
      <c r="H375" s="7">
        <v>52532.31</v>
      </c>
      <c r="I375" s="6">
        <v>95.56</v>
      </c>
      <c r="J375" s="7">
        <v>4.37</v>
      </c>
      <c r="K375" s="8">
        <v>7.35</v>
      </c>
      <c r="L375" t="s">
        <v>1141</v>
      </c>
    </row>
    <row r="376" spans="1:12" ht="15.5">
      <c r="A376" s="9" t="s">
        <v>868</v>
      </c>
      <c r="B376" s="7" t="s">
        <v>878</v>
      </c>
      <c r="C376" s="7" t="s">
        <v>13</v>
      </c>
      <c r="D376" s="7">
        <v>2023</v>
      </c>
      <c r="E376" s="7">
        <v>60.1</v>
      </c>
      <c r="F376" s="7">
        <v>348</v>
      </c>
      <c r="G376" s="7">
        <v>4</v>
      </c>
      <c r="H376" s="7">
        <v>2344.16</v>
      </c>
      <c r="I376" s="6">
        <v>95.83</v>
      </c>
      <c r="J376" s="7">
        <v>6.78</v>
      </c>
      <c r="K376" s="8">
        <v>5.48</v>
      </c>
      <c r="L376" t="s">
        <v>1140</v>
      </c>
    </row>
    <row r="377" spans="1:12" ht="15.5">
      <c r="A377" s="12" t="s">
        <v>868</v>
      </c>
      <c r="B377" s="13" t="s">
        <v>881</v>
      </c>
      <c r="C377" s="13" t="s">
        <v>13</v>
      </c>
      <c r="D377" s="13">
        <v>2023</v>
      </c>
      <c r="E377" s="13">
        <v>82.26</v>
      </c>
      <c r="F377" s="13">
        <v>112</v>
      </c>
      <c r="G377" s="13">
        <v>6</v>
      </c>
      <c r="H377" s="13">
        <v>15330.16</v>
      </c>
      <c r="I377" s="16">
        <v>96.29</v>
      </c>
      <c r="J377" s="13">
        <v>2.8</v>
      </c>
      <c r="K377" s="14">
        <v>7.4</v>
      </c>
      <c r="L377" t="s">
        <v>1141</v>
      </c>
    </row>
    <row r="378" spans="1:12" ht="15.5">
      <c r="A378" s="4" t="s">
        <v>883</v>
      </c>
      <c r="B378" s="5" t="s">
        <v>884</v>
      </c>
      <c r="C378" s="5" t="s">
        <v>13</v>
      </c>
      <c r="D378" s="5">
        <v>2023</v>
      </c>
      <c r="E378" s="5">
        <v>71.87</v>
      </c>
      <c r="F378" s="5">
        <v>280</v>
      </c>
      <c r="G378" s="5">
        <v>5</v>
      </c>
      <c r="H378" s="5">
        <v>6191.5</v>
      </c>
      <c r="I378" s="6">
        <v>77.69</v>
      </c>
      <c r="J378" s="5">
        <v>3.68</v>
      </c>
      <c r="K378" s="8">
        <v>8.14</v>
      </c>
      <c r="L378" t="s">
        <v>1140</v>
      </c>
    </row>
    <row r="379" spans="1:12" ht="15.5">
      <c r="A379" s="9" t="s">
        <v>883</v>
      </c>
      <c r="B379" s="7" t="s">
        <v>887</v>
      </c>
      <c r="C379" s="7" t="s">
        <v>13</v>
      </c>
      <c r="D379" s="7">
        <v>2023</v>
      </c>
      <c r="E379" s="7">
        <v>83.03</v>
      </c>
      <c r="F379" s="7">
        <v>100</v>
      </c>
      <c r="G379" s="7">
        <v>6</v>
      </c>
      <c r="H379" s="7">
        <v>209198.56</v>
      </c>
      <c r="I379" s="6">
        <v>97.58</v>
      </c>
      <c r="J379" s="7">
        <v>4.1100000000000003</v>
      </c>
      <c r="K379" s="8">
        <v>10.71</v>
      </c>
      <c r="L379" t="s">
        <v>1141</v>
      </c>
    </row>
    <row r="380" spans="1:12" ht="15.5">
      <c r="A380" s="9" t="s">
        <v>883</v>
      </c>
      <c r="B380" s="7" t="s">
        <v>889</v>
      </c>
      <c r="C380" s="7" t="s">
        <v>13</v>
      </c>
      <c r="D380" s="7">
        <v>2023</v>
      </c>
      <c r="E380" s="7">
        <v>85.38</v>
      </c>
      <c r="F380" s="7">
        <v>51</v>
      </c>
      <c r="G380" s="7">
        <v>6</v>
      </c>
      <c r="H380" s="7">
        <v>48955.39</v>
      </c>
      <c r="I380" s="6">
        <v>100</v>
      </c>
      <c r="J380" s="7">
        <v>5.56</v>
      </c>
      <c r="K380" s="8">
        <v>8.9700000000000006</v>
      </c>
      <c r="L380" t="s">
        <v>1141</v>
      </c>
    </row>
    <row r="381" spans="1:12" ht="15.5">
      <c r="A381" s="9" t="s">
        <v>883</v>
      </c>
      <c r="B381" s="7" t="s">
        <v>890</v>
      </c>
      <c r="C381" s="7" t="s">
        <v>13</v>
      </c>
      <c r="D381" s="7">
        <v>2023</v>
      </c>
      <c r="E381" s="7">
        <v>79.69</v>
      </c>
      <c r="F381" s="7">
        <v>165</v>
      </c>
      <c r="G381" s="7">
        <v>6</v>
      </c>
      <c r="H381" s="7">
        <v>114648.05</v>
      </c>
      <c r="I381" s="6">
        <v>99.5</v>
      </c>
      <c r="J381" s="7">
        <v>1.9</v>
      </c>
      <c r="K381" s="8">
        <v>11.41</v>
      </c>
      <c r="L381" t="s">
        <v>1141</v>
      </c>
    </row>
    <row r="382" spans="1:12" ht="15.5">
      <c r="A382" s="9" t="s">
        <v>883</v>
      </c>
      <c r="B382" s="7" t="s">
        <v>891</v>
      </c>
      <c r="C382" s="7" t="s">
        <v>13</v>
      </c>
      <c r="D382" s="7">
        <v>2023</v>
      </c>
      <c r="E382" s="7">
        <v>84.39</v>
      </c>
      <c r="F382" s="7">
        <v>71</v>
      </c>
      <c r="G382" s="7">
        <v>6</v>
      </c>
      <c r="H382" s="7">
        <v>121778.76</v>
      </c>
      <c r="I382" s="6">
        <v>96.78</v>
      </c>
      <c r="J382" s="7">
        <v>3.86</v>
      </c>
      <c r="K382" s="8">
        <v>9.7100000000000009</v>
      </c>
      <c r="L382" t="s">
        <v>1141</v>
      </c>
    </row>
    <row r="383" spans="1:12" ht="15.5">
      <c r="A383" s="9" t="s">
        <v>883</v>
      </c>
      <c r="B383" s="7" t="s">
        <v>893</v>
      </c>
      <c r="C383" s="7" t="s">
        <v>13</v>
      </c>
      <c r="D383" s="7">
        <v>2023</v>
      </c>
      <c r="E383" s="7">
        <v>85.24</v>
      </c>
      <c r="F383" s="7">
        <v>58</v>
      </c>
      <c r="G383" s="7">
        <v>6</v>
      </c>
      <c r="H383" s="7">
        <v>221124.05</v>
      </c>
      <c r="I383" s="6">
        <v>99.9</v>
      </c>
      <c r="J383" s="7">
        <v>5.82</v>
      </c>
      <c r="K383" s="8">
        <v>8.42</v>
      </c>
      <c r="L383" t="s">
        <v>1141</v>
      </c>
    </row>
    <row r="384" spans="1:12" ht="15.5">
      <c r="A384" s="9" t="s">
        <v>883</v>
      </c>
      <c r="B384" s="7" t="s">
        <v>894</v>
      </c>
      <c r="C384" s="7" t="s">
        <v>13</v>
      </c>
      <c r="D384" s="7">
        <v>2023</v>
      </c>
      <c r="E384" s="7">
        <v>82.73</v>
      </c>
      <c r="F384" s="7">
        <v>106</v>
      </c>
      <c r="G384" s="7">
        <v>6</v>
      </c>
      <c r="H384" s="7">
        <v>108617.68</v>
      </c>
      <c r="I384" s="6">
        <v>94.51</v>
      </c>
      <c r="J384" s="7">
        <v>5.71</v>
      </c>
      <c r="K384" s="8">
        <v>8.58</v>
      </c>
      <c r="L384" t="s">
        <v>1141</v>
      </c>
    </row>
    <row r="385" spans="1:12" ht="15.5">
      <c r="A385" s="9" t="s">
        <v>883</v>
      </c>
      <c r="B385" s="7" t="s">
        <v>896</v>
      </c>
      <c r="C385" s="7" t="s">
        <v>13</v>
      </c>
      <c r="D385" s="7">
        <v>2023</v>
      </c>
      <c r="E385" s="7">
        <v>83.74</v>
      </c>
      <c r="F385" s="7">
        <v>81</v>
      </c>
      <c r="G385" s="7">
        <v>6</v>
      </c>
      <c r="H385" s="7">
        <v>182344.01</v>
      </c>
      <c r="I385" s="6">
        <v>99.86</v>
      </c>
      <c r="J385" s="7">
        <v>5</v>
      </c>
      <c r="K385" s="8">
        <v>7.15</v>
      </c>
      <c r="L385" t="s">
        <v>1141</v>
      </c>
    </row>
    <row r="386" spans="1:12" ht="15.5">
      <c r="A386" s="9" t="s">
        <v>883</v>
      </c>
      <c r="B386" s="7" t="s">
        <v>897</v>
      </c>
      <c r="C386" s="7" t="s">
        <v>13</v>
      </c>
      <c r="D386" s="7">
        <v>2023</v>
      </c>
      <c r="E386" s="7">
        <v>79.47</v>
      </c>
      <c r="F386" s="7">
        <v>167</v>
      </c>
      <c r="G386" s="7">
        <v>6</v>
      </c>
      <c r="H386" s="7">
        <v>113755.41</v>
      </c>
      <c r="I386" s="6">
        <v>90.86</v>
      </c>
      <c r="J386" s="7">
        <v>4.75</v>
      </c>
      <c r="K386" s="8">
        <v>4.17</v>
      </c>
      <c r="L386" t="s">
        <v>1141</v>
      </c>
    </row>
    <row r="387" spans="1:12" ht="15.5">
      <c r="A387" s="9" t="s">
        <v>883</v>
      </c>
      <c r="B387" s="7" t="s">
        <v>900</v>
      </c>
      <c r="C387" s="7" t="s">
        <v>13</v>
      </c>
      <c r="D387" s="7">
        <v>2023</v>
      </c>
      <c r="E387" s="7">
        <v>87.71</v>
      </c>
      <c r="F387" s="7">
        <v>17</v>
      </c>
      <c r="G387" s="7">
        <v>6</v>
      </c>
      <c r="H387" s="7">
        <v>111516.28</v>
      </c>
      <c r="I387" s="6">
        <v>98.09</v>
      </c>
      <c r="J387" s="7">
        <v>3.51</v>
      </c>
      <c r="K387" s="8">
        <v>8.1999999999999993</v>
      </c>
      <c r="L387" t="s">
        <v>1141</v>
      </c>
    </row>
    <row r="388" spans="1:12" ht="15.5">
      <c r="A388" s="9" t="s">
        <v>883</v>
      </c>
      <c r="B388" s="7" t="s">
        <v>902</v>
      </c>
      <c r="C388" s="7" t="s">
        <v>13</v>
      </c>
      <c r="D388" s="7">
        <v>2023</v>
      </c>
      <c r="E388" s="7">
        <v>83.86</v>
      </c>
      <c r="F388" s="7">
        <v>79</v>
      </c>
      <c r="G388" s="7">
        <v>6</v>
      </c>
      <c r="H388" s="7">
        <v>861230.25</v>
      </c>
      <c r="I388" s="6">
        <v>98.72</v>
      </c>
      <c r="J388" s="7">
        <v>3.77</v>
      </c>
      <c r="K388" s="8">
        <v>12.55</v>
      </c>
      <c r="L388" t="s">
        <v>1141</v>
      </c>
    </row>
    <row r="389" spans="1:12" ht="15.5">
      <c r="A389" s="9" t="s">
        <v>883</v>
      </c>
      <c r="B389" s="7" t="s">
        <v>904</v>
      </c>
      <c r="C389" s="7" t="s">
        <v>13</v>
      </c>
      <c r="D389" s="7">
        <v>2023</v>
      </c>
      <c r="E389" s="7">
        <v>86.35</v>
      </c>
      <c r="F389" s="7">
        <v>36</v>
      </c>
      <c r="G389" s="7">
        <v>6</v>
      </c>
      <c r="H389" s="7">
        <v>270347.13</v>
      </c>
      <c r="I389" s="6">
        <v>98.85</v>
      </c>
      <c r="J389" s="7">
        <v>3.33</v>
      </c>
      <c r="K389" s="8">
        <v>13.14</v>
      </c>
      <c r="L389" t="s">
        <v>1141</v>
      </c>
    </row>
    <row r="390" spans="1:12" ht="15.5">
      <c r="A390" s="9" t="s">
        <v>883</v>
      </c>
      <c r="B390" s="7" t="s">
        <v>907</v>
      </c>
      <c r="C390" s="7" t="s">
        <v>13</v>
      </c>
      <c r="D390" s="7">
        <v>2023</v>
      </c>
      <c r="E390" s="7">
        <v>84.36</v>
      </c>
      <c r="F390" s="7">
        <v>73</v>
      </c>
      <c r="G390" s="7">
        <v>6</v>
      </c>
      <c r="H390" s="7">
        <v>686335.43</v>
      </c>
      <c r="I390" s="6">
        <v>99.38</v>
      </c>
      <c r="J390" s="7">
        <v>1.43</v>
      </c>
      <c r="K390" s="8">
        <v>6.67</v>
      </c>
      <c r="L390" t="s">
        <v>1141</v>
      </c>
    </row>
    <row r="391" spans="1:12" ht="15.5">
      <c r="A391" s="9" t="s">
        <v>883</v>
      </c>
      <c r="B391" s="7" t="s">
        <v>910</v>
      </c>
      <c r="C391" s="7" t="s">
        <v>13</v>
      </c>
      <c r="D391" s="7">
        <v>2023</v>
      </c>
      <c r="E391" s="7">
        <v>87.52</v>
      </c>
      <c r="F391" s="7">
        <v>20</v>
      </c>
      <c r="G391" s="7">
        <v>6</v>
      </c>
      <c r="H391" s="7">
        <v>502651.56</v>
      </c>
      <c r="I391" s="6">
        <v>99.39</v>
      </c>
      <c r="J391" s="7">
        <v>3.28</v>
      </c>
      <c r="K391" s="8">
        <v>6.81</v>
      </c>
      <c r="L391" t="s">
        <v>1141</v>
      </c>
    </row>
    <row r="392" spans="1:12" ht="15.5">
      <c r="A392" s="9" t="s">
        <v>883</v>
      </c>
      <c r="B392" s="7" t="s">
        <v>912</v>
      </c>
      <c r="C392" s="7" t="s">
        <v>13</v>
      </c>
      <c r="D392" s="7">
        <v>2023</v>
      </c>
      <c r="E392" s="7">
        <v>87.2</v>
      </c>
      <c r="F392" s="7">
        <v>26</v>
      </c>
      <c r="G392" s="7">
        <v>6</v>
      </c>
      <c r="H392" s="7">
        <v>467149.36</v>
      </c>
      <c r="I392" s="7">
        <v>99.59</v>
      </c>
      <c r="J392" s="7">
        <v>2.1800000000000002</v>
      </c>
      <c r="K392" s="8">
        <v>7.1</v>
      </c>
      <c r="L392" t="s">
        <v>1141</v>
      </c>
    </row>
    <row r="393" spans="1:12" ht="15.5">
      <c r="A393" s="9" t="s">
        <v>883</v>
      </c>
      <c r="B393" s="7" t="s">
        <v>914</v>
      </c>
      <c r="C393" s="7" t="s">
        <v>13</v>
      </c>
      <c r="D393" s="7">
        <v>2023</v>
      </c>
      <c r="E393" s="7">
        <v>82.12</v>
      </c>
      <c r="F393" s="7">
        <v>115</v>
      </c>
      <c r="G393" s="7">
        <v>6</v>
      </c>
      <c r="H393" s="7">
        <v>35257.26</v>
      </c>
      <c r="I393" s="6">
        <v>99.75</v>
      </c>
      <c r="J393" s="7">
        <v>2.33</v>
      </c>
      <c r="K393" s="8">
        <v>7.48</v>
      </c>
      <c r="L393" t="s">
        <v>1141</v>
      </c>
    </row>
    <row r="394" spans="1:12" ht="15.5">
      <c r="A394" s="9" t="s">
        <v>883</v>
      </c>
      <c r="B394" s="7" t="s">
        <v>917</v>
      </c>
      <c r="C394" s="7" t="s">
        <v>13</v>
      </c>
      <c r="D394" s="7">
        <v>2023</v>
      </c>
      <c r="E394" s="7">
        <v>81.61</v>
      </c>
      <c r="F394" s="7">
        <v>127</v>
      </c>
      <c r="G394" s="7">
        <v>6</v>
      </c>
      <c r="H394" s="7">
        <v>287155.71999999997</v>
      </c>
      <c r="I394" s="6">
        <v>96.68</v>
      </c>
      <c r="J394" s="7">
        <v>5.64</v>
      </c>
      <c r="K394" s="8">
        <v>7.61</v>
      </c>
      <c r="L394" t="s">
        <v>1141</v>
      </c>
    </row>
    <row r="395" spans="1:12" ht="15.5">
      <c r="A395" s="9" t="s">
        <v>883</v>
      </c>
      <c r="B395" s="7" t="s">
        <v>919</v>
      </c>
      <c r="C395" s="7" t="s">
        <v>13</v>
      </c>
      <c r="D395" s="7">
        <v>2023</v>
      </c>
      <c r="E395" s="7">
        <v>77.739999999999995</v>
      </c>
      <c r="F395" s="7">
        <v>196</v>
      </c>
      <c r="G395" s="7">
        <v>6</v>
      </c>
      <c r="H395" s="7">
        <v>70869.460000000006</v>
      </c>
      <c r="I395" s="6">
        <v>92.9</v>
      </c>
      <c r="J395" s="7">
        <v>3.66</v>
      </c>
      <c r="K395" s="8">
        <v>9.67</v>
      </c>
      <c r="L395" t="s">
        <v>1141</v>
      </c>
    </row>
    <row r="396" spans="1:12" ht="15.5">
      <c r="A396" s="9" t="s">
        <v>883</v>
      </c>
      <c r="B396" s="7" t="s">
        <v>921</v>
      </c>
      <c r="C396" s="7" t="s">
        <v>13</v>
      </c>
      <c r="D396" s="7">
        <v>2023</v>
      </c>
      <c r="E396" s="7">
        <v>83.03</v>
      </c>
      <c r="F396" s="7">
        <v>101</v>
      </c>
      <c r="G396" s="7">
        <v>6</v>
      </c>
      <c r="H396" s="7">
        <v>189007.92</v>
      </c>
      <c r="I396" s="6">
        <v>94.4</v>
      </c>
      <c r="J396" s="7">
        <v>5.12</v>
      </c>
      <c r="K396" s="8">
        <v>5.38</v>
      </c>
      <c r="L396" t="s">
        <v>1141</v>
      </c>
    </row>
    <row r="397" spans="1:12" ht="15.5">
      <c r="A397" s="9" t="s">
        <v>883</v>
      </c>
      <c r="B397" s="7" t="s">
        <v>923</v>
      </c>
      <c r="C397" s="7" t="s">
        <v>13</v>
      </c>
      <c r="D397" s="7">
        <v>2023</v>
      </c>
      <c r="E397" s="7">
        <v>87.82</v>
      </c>
      <c r="F397" s="7">
        <v>15</v>
      </c>
      <c r="G397" s="7">
        <v>6</v>
      </c>
      <c r="H397" s="7">
        <v>213546.34</v>
      </c>
      <c r="I397" s="6">
        <v>96.16</v>
      </c>
      <c r="J397" s="7">
        <v>9.66</v>
      </c>
      <c r="K397" s="8">
        <v>6.85</v>
      </c>
      <c r="L397" t="s">
        <v>1141</v>
      </c>
    </row>
    <row r="398" spans="1:12" ht="15.5">
      <c r="A398" s="9" t="s">
        <v>883</v>
      </c>
      <c r="B398" s="7" t="s">
        <v>926</v>
      </c>
      <c r="C398" s="7" t="s">
        <v>13</v>
      </c>
      <c r="D398" s="7">
        <v>2023</v>
      </c>
      <c r="E398" s="7">
        <v>80.44</v>
      </c>
      <c r="F398" s="7">
        <v>151</v>
      </c>
      <c r="G398" s="7">
        <v>6</v>
      </c>
      <c r="H398" s="7">
        <v>88709.26</v>
      </c>
      <c r="I398" s="6">
        <v>96.66</v>
      </c>
      <c r="J398" s="7">
        <v>3.94</v>
      </c>
      <c r="K398" s="8">
        <v>6.2</v>
      </c>
      <c r="L398" t="s">
        <v>1141</v>
      </c>
    </row>
    <row r="399" spans="1:12" ht="15.5">
      <c r="A399" s="9" t="s">
        <v>883</v>
      </c>
      <c r="B399" s="7" t="s">
        <v>928</v>
      </c>
      <c r="C399" s="7" t="s">
        <v>62</v>
      </c>
      <c r="D399" s="7">
        <v>2023</v>
      </c>
      <c r="E399" s="7">
        <v>89.28</v>
      </c>
      <c r="F399" s="7">
        <v>20</v>
      </c>
      <c r="G399" s="7">
        <v>6</v>
      </c>
      <c r="H399" s="7">
        <v>12446.62</v>
      </c>
      <c r="I399" s="6">
        <v>98.34</v>
      </c>
      <c r="J399" s="7">
        <v>5.31</v>
      </c>
      <c r="K399" s="8">
        <v>5.18</v>
      </c>
      <c r="L399" t="s">
        <v>1141</v>
      </c>
    </row>
    <row r="400" spans="1:12" ht="15.5">
      <c r="A400" s="9" t="s">
        <v>883</v>
      </c>
      <c r="B400" s="7" t="s">
        <v>931</v>
      </c>
      <c r="C400" s="7" t="s">
        <v>62</v>
      </c>
      <c r="D400" s="7">
        <v>2023</v>
      </c>
      <c r="E400" s="7">
        <v>83.07</v>
      </c>
      <c r="F400" s="7">
        <v>55</v>
      </c>
      <c r="G400" s="7">
        <v>6</v>
      </c>
      <c r="H400" s="7">
        <v>3849.99</v>
      </c>
      <c r="I400" s="6">
        <v>99.37</v>
      </c>
      <c r="J400" s="7">
        <v>3.88</v>
      </c>
      <c r="K400" s="8">
        <v>6.37</v>
      </c>
      <c r="L400" t="s">
        <v>1141</v>
      </c>
    </row>
    <row r="401" spans="1:12" ht="15.5">
      <c r="A401" s="12" t="s">
        <v>883</v>
      </c>
      <c r="B401" s="13" t="s">
        <v>933</v>
      </c>
      <c r="C401" s="13" t="s">
        <v>62</v>
      </c>
      <c r="D401" s="13">
        <v>2023</v>
      </c>
      <c r="E401" s="13">
        <v>82.93</v>
      </c>
      <c r="F401" s="13">
        <v>56</v>
      </c>
      <c r="G401" s="13">
        <v>6</v>
      </c>
      <c r="H401" s="13">
        <v>16410.37</v>
      </c>
      <c r="I401" s="16">
        <v>99.96</v>
      </c>
      <c r="J401" s="13">
        <v>4.34</v>
      </c>
      <c r="K401" s="14">
        <v>4.3499999999999996</v>
      </c>
      <c r="L401" t="s">
        <v>1141</v>
      </c>
    </row>
    <row r="402" spans="1:12" ht="15.5">
      <c r="A402" s="4" t="s">
        <v>935</v>
      </c>
      <c r="B402" s="5" t="s">
        <v>936</v>
      </c>
      <c r="C402" s="5" t="s">
        <v>13</v>
      </c>
      <c r="D402" s="5">
        <v>2023</v>
      </c>
      <c r="E402" s="5">
        <v>53.61</v>
      </c>
      <c r="F402" s="5">
        <v>370</v>
      </c>
      <c r="G402" s="5">
        <v>3</v>
      </c>
      <c r="H402" s="5">
        <v>2238.44</v>
      </c>
      <c r="I402" s="6">
        <v>96.46</v>
      </c>
      <c r="J402" s="5">
        <v>3.94</v>
      </c>
      <c r="K402" s="8">
        <v>16.559999999999999</v>
      </c>
      <c r="L402" t="s">
        <v>1140</v>
      </c>
    </row>
    <row r="403" spans="1:12" ht="15.5">
      <c r="A403" s="9" t="s">
        <v>935</v>
      </c>
      <c r="B403" s="7" t="s">
        <v>938</v>
      </c>
      <c r="C403" s="7" t="s">
        <v>13</v>
      </c>
      <c r="D403" s="7">
        <v>2023</v>
      </c>
      <c r="E403" s="7">
        <v>85.72</v>
      </c>
      <c r="F403" s="7">
        <v>41</v>
      </c>
      <c r="G403" s="7">
        <v>6</v>
      </c>
      <c r="H403" s="7">
        <v>174431.76</v>
      </c>
      <c r="I403" s="6">
        <v>96.67</v>
      </c>
      <c r="J403" s="7">
        <v>2.4</v>
      </c>
      <c r="K403" s="8">
        <v>9.9499999999999993</v>
      </c>
      <c r="L403" t="s">
        <v>1141</v>
      </c>
    </row>
    <row r="404" spans="1:12" ht="15.5">
      <c r="A404" s="9" t="s">
        <v>935</v>
      </c>
      <c r="B404" s="7" t="s">
        <v>940</v>
      </c>
      <c r="C404" s="7" t="s">
        <v>13</v>
      </c>
      <c r="D404" s="7">
        <v>2023</v>
      </c>
      <c r="E404" s="7">
        <v>82.36</v>
      </c>
      <c r="F404" s="7">
        <v>111</v>
      </c>
      <c r="G404" s="7">
        <v>6</v>
      </c>
      <c r="H404" s="7">
        <v>26115.52</v>
      </c>
      <c r="I404" s="6">
        <v>90.01</v>
      </c>
      <c r="J404" s="7">
        <v>0.34</v>
      </c>
      <c r="K404" s="8">
        <v>7.9</v>
      </c>
      <c r="L404" t="s">
        <v>1141</v>
      </c>
    </row>
    <row r="405" spans="1:12" ht="15.5">
      <c r="A405" s="9" t="s">
        <v>935</v>
      </c>
      <c r="B405" s="7" t="s">
        <v>943</v>
      </c>
      <c r="C405" s="7" t="s">
        <v>13</v>
      </c>
      <c r="D405" s="7">
        <v>2023</v>
      </c>
      <c r="E405" s="7">
        <v>83.57</v>
      </c>
      <c r="F405" s="7">
        <v>87</v>
      </c>
      <c r="G405" s="7">
        <v>6</v>
      </c>
      <c r="H405" s="7">
        <v>95815.06</v>
      </c>
      <c r="I405" s="6">
        <v>99.69</v>
      </c>
      <c r="J405" s="7">
        <v>3.82</v>
      </c>
      <c r="K405" s="8">
        <v>7.36</v>
      </c>
      <c r="L405" t="s">
        <v>1141</v>
      </c>
    </row>
    <row r="406" spans="1:12" ht="15.5">
      <c r="A406" s="9" t="s">
        <v>935</v>
      </c>
      <c r="B406" s="7" t="s">
        <v>945</v>
      </c>
      <c r="C406" s="7" t="s">
        <v>13</v>
      </c>
      <c r="D406" s="7">
        <v>2023</v>
      </c>
      <c r="E406" s="7">
        <v>72.27</v>
      </c>
      <c r="F406" s="7">
        <v>275</v>
      </c>
      <c r="G406" s="7">
        <v>5</v>
      </c>
      <c r="H406" s="7">
        <v>60933.39</v>
      </c>
      <c r="I406" s="6">
        <v>94.92</v>
      </c>
      <c r="J406" s="7">
        <v>4.68</v>
      </c>
      <c r="K406" s="8">
        <v>11.36</v>
      </c>
      <c r="L406" t="s">
        <v>1140</v>
      </c>
    </row>
    <row r="407" spans="1:12" ht="15.5">
      <c r="A407" s="9" t="s">
        <v>935</v>
      </c>
      <c r="B407" s="7" t="s">
        <v>947</v>
      </c>
      <c r="C407" s="7" t="s">
        <v>13</v>
      </c>
      <c r="D407" s="7">
        <v>2023</v>
      </c>
      <c r="E407" s="7">
        <v>79.180000000000007</v>
      </c>
      <c r="F407" s="7">
        <v>173</v>
      </c>
      <c r="G407" s="7">
        <v>6</v>
      </c>
      <c r="H407" s="7">
        <v>55315.19</v>
      </c>
      <c r="I407" s="6">
        <v>98.23</v>
      </c>
      <c r="J407" s="7">
        <v>3.52</v>
      </c>
      <c r="K407" s="8">
        <v>13.66</v>
      </c>
      <c r="L407" t="s">
        <v>1141</v>
      </c>
    </row>
    <row r="408" spans="1:12" ht="15.5">
      <c r="A408" s="9" t="s">
        <v>935</v>
      </c>
      <c r="B408" s="7" t="s">
        <v>949</v>
      </c>
      <c r="C408" s="7" t="s">
        <v>13</v>
      </c>
      <c r="D408" s="7">
        <v>2023</v>
      </c>
      <c r="E408" s="7">
        <v>83.11</v>
      </c>
      <c r="F408" s="7">
        <v>97</v>
      </c>
      <c r="G408" s="7">
        <v>6</v>
      </c>
      <c r="H408" s="7">
        <v>18384.259999999998</v>
      </c>
      <c r="I408" s="6">
        <v>98.36</v>
      </c>
      <c r="J408" s="7">
        <v>3.59</v>
      </c>
      <c r="K408" s="8">
        <v>8.48</v>
      </c>
      <c r="L408" t="s">
        <v>1141</v>
      </c>
    </row>
    <row r="409" spans="1:12" ht="15.5">
      <c r="A409" s="9" t="s">
        <v>935</v>
      </c>
      <c r="B409" s="7" t="s">
        <v>951</v>
      </c>
      <c r="C409" s="7" t="s">
        <v>13</v>
      </c>
      <c r="D409" s="7">
        <v>2023</v>
      </c>
      <c r="E409" s="7">
        <v>77.59</v>
      </c>
      <c r="F409" s="7">
        <v>200</v>
      </c>
      <c r="G409" s="7">
        <v>6</v>
      </c>
      <c r="H409" s="7">
        <v>249300.33</v>
      </c>
      <c r="I409" s="6">
        <v>95.82</v>
      </c>
      <c r="J409" s="7">
        <v>3.5</v>
      </c>
      <c r="K409" s="8">
        <v>9.92</v>
      </c>
      <c r="L409" t="s">
        <v>1141</v>
      </c>
    </row>
    <row r="410" spans="1:12" ht="15.5">
      <c r="A410" s="9" t="s">
        <v>935</v>
      </c>
      <c r="B410" s="7" t="s">
        <v>953</v>
      </c>
      <c r="C410" s="7" t="s">
        <v>13</v>
      </c>
      <c r="D410" s="7">
        <v>2023</v>
      </c>
      <c r="E410" s="7">
        <v>76.930000000000007</v>
      </c>
      <c r="F410" s="7">
        <v>212</v>
      </c>
      <c r="G410" s="7">
        <v>6</v>
      </c>
      <c r="H410" s="7">
        <v>7356.78</v>
      </c>
      <c r="I410" s="6">
        <v>85.03</v>
      </c>
      <c r="J410" s="7">
        <v>3.34</v>
      </c>
      <c r="K410" s="8">
        <v>10.78</v>
      </c>
      <c r="L410" t="s">
        <v>1141</v>
      </c>
    </row>
    <row r="411" spans="1:12" ht="15.5">
      <c r="A411" s="9" t="s">
        <v>935</v>
      </c>
      <c r="B411" s="7" t="s">
        <v>956</v>
      </c>
      <c r="C411" s="7" t="s">
        <v>13</v>
      </c>
      <c r="D411" s="7">
        <v>2023</v>
      </c>
      <c r="E411" s="7">
        <v>78.17</v>
      </c>
      <c r="F411" s="7">
        <v>187</v>
      </c>
      <c r="G411" s="7">
        <v>6</v>
      </c>
      <c r="H411" s="7">
        <v>92758.17</v>
      </c>
      <c r="I411" s="6">
        <v>93.96</v>
      </c>
      <c r="J411" s="7">
        <v>3.37</v>
      </c>
      <c r="K411" s="8">
        <v>14.11</v>
      </c>
      <c r="L411" t="s">
        <v>1141</v>
      </c>
    </row>
    <row r="412" spans="1:12" ht="15.5">
      <c r="A412" s="9" t="s">
        <v>935</v>
      </c>
      <c r="B412" s="7" t="s">
        <v>959</v>
      </c>
      <c r="C412" s="7" t="s">
        <v>13</v>
      </c>
      <c r="D412" s="7">
        <v>2023</v>
      </c>
      <c r="E412" s="7">
        <v>50.77</v>
      </c>
      <c r="F412" s="7">
        <v>380</v>
      </c>
      <c r="G412" s="7">
        <v>2</v>
      </c>
      <c r="I412" s="6">
        <v>88.06</v>
      </c>
      <c r="J412" s="7">
        <v>3.77</v>
      </c>
      <c r="K412" s="8">
        <v>13.42</v>
      </c>
      <c r="L412" t="s">
        <v>1140</v>
      </c>
    </row>
    <row r="413" spans="1:12" ht="15.5">
      <c r="A413" s="9" t="s">
        <v>935</v>
      </c>
      <c r="B413" s="7" t="s">
        <v>961</v>
      </c>
      <c r="C413" s="7" t="s">
        <v>13</v>
      </c>
      <c r="D413" s="7">
        <v>2023</v>
      </c>
      <c r="E413" s="7">
        <v>82.52</v>
      </c>
      <c r="F413" s="7">
        <v>107</v>
      </c>
      <c r="G413" s="7">
        <v>6</v>
      </c>
      <c r="H413" s="7">
        <v>29579.759999999998</v>
      </c>
      <c r="I413" s="6">
        <v>97.15</v>
      </c>
      <c r="J413" s="7">
        <v>23.04</v>
      </c>
      <c r="K413" s="8">
        <v>7.1</v>
      </c>
      <c r="L413" t="s">
        <v>1141</v>
      </c>
    </row>
    <row r="414" spans="1:12" ht="15.5">
      <c r="A414" s="12" t="s">
        <v>935</v>
      </c>
      <c r="B414" s="13" t="s">
        <v>964</v>
      </c>
      <c r="C414" s="13" t="s">
        <v>62</v>
      </c>
      <c r="D414" s="13">
        <v>2023</v>
      </c>
      <c r="E414" s="13">
        <v>80.05</v>
      </c>
      <c r="F414" s="13">
        <v>65</v>
      </c>
      <c r="G414" s="13">
        <v>6</v>
      </c>
      <c r="H414" s="13">
        <v>719.83</v>
      </c>
      <c r="I414" s="16">
        <v>100</v>
      </c>
      <c r="J414" s="13">
        <v>4.96</v>
      </c>
      <c r="K414" s="14">
        <v>6</v>
      </c>
      <c r="L414" t="s">
        <v>1141</v>
      </c>
    </row>
    <row r="415" spans="1:12" ht="15.5">
      <c r="A415" s="4" t="s">
        <v>965</v>
      </c>
      <c r="B415" s="5" t="s">
        <v>966</v>
      </c>
      <c r="C415" s="5" t="s">
        <v>13</v>
      </c>
      <c r="D415" s="5">
        <v>2023</v>
      </c>
      <c r="E415" s="5">
        <v>69.459999999999994</v>
      </c>
      <c r="F415" s="5">
        <v>303</v>
      </c>
      <c r="G415" s="5">
        <v>5</v>
      </c>
      <c r="H415" s="5">
        <v>6919.3</v>
      </c>
      <c r="I415" s="6">
        <v>99.09</v>
      </c>
      <c r="J415" s="5">
        <v>3.03</v>
      </c>
      <c r="K415" s="8">
        <v>15.7</v>
      </c>
      <c r="L415" t="s">
        <v>1140</v>
      </c>
    </row>
    <row r="416" spans="1:12" ht="15.5">
      <c r="A416" s="9" t="s">
        <v>965</v>
      </c>
      <c r="B416" s="7" t="s">
        <v>969</v>
      </c>
      <c r="C416" s="7" t="s">
        <v>13</v>
      </c>
      <c r="D416" s="7">
        <v>2023</v>
      </c>
      <c r="E416" s="7">
        <v>73.989999999999995</v>
      </c>
      <c r="F416" s="7">
        <v>253</v>
      </c>
      <c r="G416" s="7">
        <v>5</v>
      </c>
      <c r="H416" s="7">
        <v>2395.62</v>
      </c>
      <c r="I416" s="6">
        <v>92.55</v>
      </c>
      <c r="J416" s="7">
        <v>2.06</v>
      </c>
      <c r="K416" s="8">
        <v>13.98</v>
      </c>
      <c r="L416" t="s">
        <v>1140</v>
      </c>
    </row>
    <row r="417" spans="1:12" ht="15.5">
      <c r="A417" s="9" t="s">
        <v>965</v>
      </c>
      <c r="B417" s="7" t="s">
        <v>972</v>
      </c>
      <c r="C417" s="7" t="s">
        <v>13</v>
      </c>
      <c r="D417" s="7">
        <v>2023</v>
      </c>
      <c r="E417" s="7">
        <v>84.23</v>
      </c>
      <c r="F417" s="7">
        <v>75</v>
      </c>
      <c r="G417" s="7">
        <v>6</v>
      </c>
      <c r="H417" s="7">
        <v>151675.85</v>
      </c>
      <c r="I417" s="6">
        <v>99.94</v>
      </c>
      <c r="J417" s="7">
        <v>22.52</v>
      </c>
      <c r="K417" s="8">
        <v>8.44</v>
      </c>
      <c r="L417" t="s">
        <v>1141</v>
      </c>
    </row>
    <row r="418" spans="1:12" ht="15.5">
      <c r="A418" s="9" t="s">
        <v>965</v>
      </c>
      <c r="B418" s="7" t="s">
        <v>974</v>
      </c>
      <c r="C418" s="7" t="s">
        <v>13</v>
      </c>
      <c r="D418" s="7">
        <v>2023</v>
      </c>
      <c r="E418" s="7">
        <v>85.56</v>
      </c>
      <c r="F418" s="7">
        <v>45</v>
      </c>
      <c r="G418" s="7">
        <v>6</v>
      </c>
      <c r="H418" s="7">
        <v>54800.2</v>
      </c>
      <c r="I418" s="6">
        <v>100</v>
      </c>
      <c r="J418" s="7">
        <v>5.17</v>
      </c>
      <c r="K418" s="8">
        <v>7.27</v>
      </c>
      <c r="L418" t="s">
        <v>1141</v>
      </c>
    </row>
    <row r="419" spans="1:12" ht="15.5">
      <c r="A419" s="9" t="s">
        <v>965</v>
      </c>
      <c r="B419" s="7" t="s">
        <v>975</v>
      </c>
      <c r="C419" s="7" t="s">
        <v>13</v>
      </c>
      <c r="D419" s="7">
        <v>2023</v>
      </c>
      <c r="E419" s="7">
        <v>85.31</v>
      </c>
      <c r="F419" s="7">
        <v>56</v>
      </c>
      <c r="G419" s="7">
        <v>6</v>
      </c>
      <c r="H419" s="7">
        <v>76126.759999999995</v>
      </c>
      <c r="I419" s="6">
        <v>95.64</v>
      </c>
      <c r="J419" s="7">
        <v>5.19</v>
      </c>
      <c r="K419" s="8">
        <v>12.94</v>
      </c>
      <c r="L419" t="s">
        <v>1141</v>
      </c>
    </row>
    <row r="420" spans="1:12" ht="15.5">
      <c r="A420" s="9" t="s">
        <v>965</v>
      </c>
      <c r="B420" s="7" t="s">
        <v>977</v>
      </c>
      <c r="C420" s="7" t="s">
        <v>13</v>
      </c>
      <c r="D420" s="7">
        <v>2023</v>
      </c>
      <c r="E420" s="7">
        <v>85.63</v>
      </c>
      <c r="F420" s="7">
        <v>42</v>
      </c>
      <c r="G420" s="7">
        <v>6</v>
      </c>
      <c r="H420" s="7">
        <v>68424.960000000006</v>
      </c>
      <c r="I420" s="6">
        <v>99.42</v>
      </c>
      <c r="J420" s="7">
        <v>4.26</v>
      </c>
      <c r="K420" s="8">
        <v>9.6199999999999992</v>
      </c>
      <c r="L420" t="s">
        <v>1141</v>
      </c>
    </row>
    <row r="421" spans="1:12" ht="15.5">
      <c r="A421" s="9" t="s">
        <v>965</v>
      </c>
      <c r="B421" s="7" t="s">
        <v>979</v>
      </c>
      <c r="C421" s="7" t="s">
        <v>13</v>
      </c>
      <c r="D421" s="7">
        <v>2023</v>
      </c>
      <c r="E421" s="7">
        <v>51.98</v>
      </c>
      <c r="F421" s="7">
        <v>378</v>
      </c>
      <c r="G421" s="7">
        <v>3</v>
      </c>
      <c r="I421" s="6">
        <v>95.9</v>
      </c>
      <c r="J421" s="7">
        <v>4.4400000000000004</v>
      </c>
      <c r="K421" s="8">
        <v>10.65</v>
      </c>
      <c r="L421" t="s">
        <v>1140</v>
      </c>
    </row>
    <row r="422" spans="1:12" ht="15.5">
      <c r="A422" s="9" t="s">
        <v>965</v>
      </c>
      <c r="B422" s="7" t="s">
        <v>981</v>
      </c>
      <c r="C422" s="7" t="s">
        <v>13</v>
      </c>
      <c r="D422" s="7">
        <v>2023</v>
      </c>
      <c r="E422" s="7">
        <v>65.55</v>
      </c>
      <c r="F422" s="7">
        <v>328</v>
      </c>
      <c r="G422" s="7">
        <v>4</v>
      </c>
      <c r="H422" s="7">
        <v>5813.82</v>
      </c>
      <c r="I422" s="6">
        <v>96.62</v>
      </c>
      <c r="J422" s="7">
        <v>3.99</v>
      </c>
      <c r="K422" s="8">
        <v>7.55</v>
      </c>
      <c r="L422" t="s">
        <v>1140</v>
      </c>
    </row>
    <row r="423" spans="1:12" ht="15.5">
      <c r="A423" s="9" t="s">
        <v>965</v>
      </c>
      <c r="B423" s="7" t="s">
        <v>984</v>
      </c>
      <c r="C423" s="7" t="s">
        <v>13</v>
      </c>
      <c r="D423" s="7">
        <v>2023</v>
      </c>
      <c r="E423" s="7">
        <v>79.87</v>
      </c>
      <c r="F423" s="7">
        <v>163</v>
      </c>
      <c r="G423" s="7">
        <v>6</v>
      </c>
      <c r="H423" s="7">
        <v>2267.85</v>
      </c>
      <c r="I423" s="6">
        <v>96.43</v>
      </c>
      <c r="J423" s="7">
        <v>2.46</v>
      </c>
      <c r="K423" s="8">
        <v>11.7</v>
      </c>
      <c r="L423" t="s">
        <v>1141</v>
      </c>
    </row>
    <row r="424" spans="1:12" ht="15.5">
      <c r="A424" s="9" t="s">
        <v>965</v>
      </c>
      <c r="B424" s="7" t="s">
        <v>986</v>
      </c>
      <c r="C424" s="7" t="s">
        <v>13</v>
      </c>
      <c r="D424" s="7">
        <v>2023</v>
      </c>
      <c r="E424" s="7">
        <v>78.67</v>
      </c>
      <c r="F424" s="7">
        <v>183</v>
      </c>
      <c r="G424" s="7">
        <v>6</v>
      </c>
      <c r="H424" s="7">
        <v>8272.57</v>
      </c>
      <c r="I424" s="6">
        <v>99.76</v>
      </c>
      <c r="J424" s="7">
        <v>5.03</v>
      </c>
      <c r="K424" s="8">
        <v>5.56</v>
      </c>
      <c r="L424" t="s">
        <v>1141</v>
      </c>
    </row>
    <row r="425" spans="1:12" ht="15.5">
      <c r="A425" s="9" t="s">
        <v>965</v>
      </c>
      <c r="B425" s="7" t="s">
        <v>987</v>
      </c>
      <c r="C425" s="7" t="s">
        <v>13</v>
      </c>
      <c r="D425" s="7">
        <v>2023</v>
      </c>
      <c r="E425" s="7">
        <v>86.4</v>
      </c>
      <c r="F425" s="7">
        <v>35</v>
      </c>
      <c r="G425" s="7">
        <v>6</v>
      </c>
      <c r="H425" s="7">
        <v>89083.35</v>
      </c>
      <c r="I425" s="6">
        <v>99.74</v>
      </c>
      <c r="J425" s="7">
        <v>2.0299999999999998</v>
      </c>
      <c r="K425" s="8">
        <v>11.25</v>
      </c>
      <c r="L425" t="s">
        <v>1141</v>
      </c>
    </row>
    <row r="426" spans="1:12" ht="15.5">
      <c r="A426" s="9" t="s">
        <v>965</v>
      </c>
      <c r="B426" s="7" t="s">
        <v>989</v>
      </c>
      <c r="C426" s="7" t="s">
        <v>13</v>
      </c>
      <c r="D426" s="7">
        <v>2023</v>
      </c>
      <c r="E426" s="7">
        <v>50.43</v>
      </c>
      <c r="F426" s="7">
        <v>382</v>
      </c>
      <c r="G426" s="7">
        <v>2</v>
      </c>
      <c r="H426" s="7">
        <v>449.32</v>
      </c>
      <c r="I426" s="6">
        <v>99.87</v>
      </c>
      <c r="J426" s="7">
        <v>2.79</v>
      </c>
      <c r="K426" s="8">
        <v>8.7899999999999991</v>
      </c>
      <c r="L426" t="s">
        <v>1140</v>
      </c>
    </row>
    <row r="427" spans="1:12" ht="15.5">
      <c r="A427" s="9" t="s">
        <v>965</v>
      </c>
      <c r="B427" s="7" t="s">
        <v>990</v>
      </c>
      <c r="C427" s="7" t="s">
        <v>13</v>
      </c>
      <c r="D427" s="7">
        <v>2023</v>
      </c>
      <c r="E427" s="7">
        <v>76.92</v>
      </c>
      <c r="F427" s="7">
        <v>213</v>
      </c>
      <c r="G427" s="7">
        <v>6</v>
      </c>
      <c r="H427" s="7">
        <v>5608.63</v>
      </c>
      <c r="I427" s="6">
        <v>88.46</v>
      </c>
      <c r="J427" s="7">
        <v>5.46</v>
      </c>
      <c r="K427" s="8">
        <v>14.85</v>
      </c>
      <c r="L427" t="s">
        <v>1141</v>
      </c>
    </row>
    <row r="428" spans="1:12" ht="15.5">
      <c r="A428" s="9" t="s">
        <v>965</v>
      </c>
      <c r="B428" s="7" t="s">
        <v>992</v>
      </c>
      <c r="C428" s="7" t="s">
        <v>13</v>
      </c>
      <c r="D428" s="7">
        <v>2023</v>
      </c>
      <c r="E428" s="7">
        <v>66.97</v>
      </c>
      <c r="F428" s="7">
        <v>317</v>
      </c>
      <c r="G428" s="7">
        <v>4</v>
      </c>
      <c r="H428" s="7">
        <v>27.05</v>
      </c>
      <c r="I428" s="6">
        <v>96.34</v>
      </c>
      <c r="J428" s="7">
        <v>3.53</v>
      </c>
      <c r="K428" s="8">
        <v>17.559999999999999</v>
      </c>
      <c r="L428" t="s">
        <v>1140</v>
      </c>
    </row>
    <row r="429" spans="1:12" ht="15.5">
      <c r="A429" s="9" t="s">
        <v>965</v>
      </c>
      <c r="B429" s="7" t="s">
        <v>994</v>
      </c>
      <c r="C429" s="7" t="s">
        <v>13</v>
      </c>
      <c r="D429" s="7">
        <v>2023</v>
      </c>
      <c r="E429" s="7">
        <v>64.540000000000006</v>
      </c>
      <c r="F429" s="7">
        <v>331</v>
      </c>
      <c r="G429" s="7">
        <v>4</v>
      </c>
      <c r="H429" s="7">
        <v>69.099999999999994</v>
      </c>
      <c r="I429" s="6">
        <v>92.63</v>
      </c>
      <c r="J429" s="7">
        <v>2.41</v>
      </c>
      <c r="K429" s="8">
        <v>11.65</v>
      </c>
      <c r="L429" t="s">
        <v>1140</v>
      </c>
    </row>
    <row r="430" spans="1:12" ht="15.5">
      <c r="A430" s="9" t="s">
        <v>965</v>
      </c>
      <c r="B430" s="7" t="s">
        <v>997</v>
      </c>
      <c r="C430" s="7" t="s">
        <v>62</v>
      </c>
      <c r="D430" s="7">
        <v>2023</v>
      </c>
      <c r="E430" s="7">
        <v>88.34</v>
      </c>
      <c r="F430" s="7">
        <v>25</v>
      </c>
      <c r="G430" s="7">
        <v>6</v>
      </c>
      <c r="H430" s="7">
        <v>2211.85</v>
      </c>
      <c r="I430" s="6">
        <v>100</v>
      </c>
      <c r="J430" s="7">
        <v>3.29</v>
      </c>
      <c r="K430" s="8">
        <v>6.44</v>
      </c>
      <c r="L430" t="s">
        <v>1141</v>
      </c>
    </row>
    <row r="431" spans="1:12" ht="15.5">
      <c r="A431" s="12" t="s">
        <v>965</v>
      </c>
      <c r="B431" s="13" t="s">
        <v>999</v>
      </c>
      <c r="C431" s="13" t="s">
        <v>62</v>
      </c>
      <c r="D431" s="13">
        <v>2023</v>
      </c>
      <c r="E431" s="13">
        <v>80.48</v>
      </c>
      <c r="F431" s="13">
        <v>63</v>
      </c>
      <c r="G431" s="13">
        <v>6</v>
      </c>
      <c r="H431" s="13">
        <v>8224.82</v>
      </c>
      <c r="I431" s="16">
        <v>99.91</v>
      </c>
      <c r="J431" s="13">
        <v>3.38</v>
      </c>
      <c r="K431" s="14">
        <v>10.84</v>
      </c>
      <c r="L431" t="s">
        <v>1141</v>
      </c>
    </row>
    <row r="432" spans="1:12" ht="15.5">
      <c r="A432" s="4" t="s">
        <v>1001</v>
      </c>
      <c r="B432" s="5" t="s">
        <v>1002</v>
      </c>
      <c r="C432" s="5" t="s">
        <v>13</v>
      </c>
      <c r="D432" s="5">
        <v>2023</v>
      </c>
      <c r="E432" s="5">
        <v>84.87</v>
      </c>
      <c r="F432" s="5">
        <v>63</v>
      </c>
      <c r="G432" s="5">
        <v>6</v>
      </c>
      <c r="H432" s="5">
        <v>126407.67999999999</v>
      </c>
      <c r="I432" s="6">
        <v>99.2</v>
      </c>
      <c r="J432" s="5">
        <v>5.18</v>
      </c>
      <c r="K432" s="8">
        <v>6.38</v>
      </c>
      <c r="L432" t="s">
        <v>1141</v>
      </c>
    </row>
    <row r="433" spans="1:12" ht="15.5">
      <c r="A433" s="9" t="s">
        <v>1001</v>
      </c>
      <c r="B433" s="7" t="s">
        <v>1004</v>
      </c>
      <c r="C433" s="7" t="s">
        <v>13</v>
      </c>
      <c r="D433" s="7">
        <v>2023</v>
      </c>
      <c r="E433" s="7">
        <v>84.69</v>
      </c>
      <c r="F433" s="7">
        <v>65</v>
      </c>
      <c r="G433" s="7">
        <v>6</v>
      </c>
      <c r="H433" s="7">
        <v>33893.51</v>
      </c>
      <c r="I433" s="6">
        <v>99.77</v>
      </c>
      <c r="J433" s="7">
        <v>5.55</v>
      </c>
      <c r="K433" s="8">
        <v>5.42</v>
      </c>
      <c r="L433" t="s">
        <v>1141</v>
      </c>
    </row>
    <row r="434" spans="1:12" ht="15.5">
      <c r="A434" s="9" t="s">
        <v>1001</v>
      </c>
      <c r="B434" s="7" t="s">
        <v>1006</v>
      </c>
      <c r="C434" s="7" t="s">
        <v>13</v>
      </c>
      <c r="D434" s="7">
        <v>2023</v>
      </c>
      <c r="E434" s="7">
        <v>53.22</v>
      </c>
      <c r="F434" s="7">
        <v>372</v>
      </c>
      <c r="G434" s="7">
        <v>3</v>
      </c>
      <c r="H434" s="7">
        <v>0.8</v>
      </c>
      <c r="I434" s="6">
        <v>98.05</v>
      </c>
      <c r="J434" s="7">
        <v>5.3</v>
      </c>
      <c r="K434" s="8">
        <v>11.12</v>
      </c>
      <c r="L434" t="s">
        <v>1140</v>
      </c>
    </row>
    <row r="435" spans="1:12" ht="15.5">
      <c r="A435" s="9" t="s">
        <v>1001</v>
      </c>
      <c r="B435" s="7" t="s">
        <v>1008</v>
      </c>
      <c r="C435" s="7" t="s">
        <v>13</v>
      </c>
      <c r="D435" s="7">
        <v>2023</v>
      </c>
      <c r="E435" s="7">
        <v>76.510000000000005</v>
      </c>
      <c r="F435" s="7">
        <v>222</v>
      </c>
      <c r="G435" s="7">
        <v>6</v>
      </c>
      <c r="I435" s="6">
        <v>99.87</v>
      </c>
      <c r="J435" s="7">
        <v>5.21</v>
      </c>
      <c r="K435" s="8">
        <v>7.34</v>
      </c>
      <c r="L435" t="s">
        <v>1141</v>
      </c>
    </row>
    <row r="436" spans="1:12" ht="15.5">
      <c r="A436" s="9" t="s">
        <v>1001</v>
      </c>
      <c r="B436" s="7" t="s">
        <v>1009</v>
      </c>
      <c r="C436" s="7" t="s">
        <v>13</v>
      </c>
      <c r="D436" s="7">
        <v>2023</v>
      </c>
      <c r="E436" s="7">
        <v>83.2</v>
      </c>
      <c r="F436" s="7">
        <v>93</v>
      </c>
      <c r="G436" s="7">
        <v>6</v>
      </c>
      <c r="H436" s="7">
        <v>11606.93</v>
      </c>
      <c r="I436" s="6">
        <v>100</v>
      </c>
      <c r="J436" s="7">
        <v>5.54</v>
      </c>
      <c r="K436" s="8">
        <v>9.15</v>
      </c>
      <c r="L436" t="s">
        <v>1141</v>
      </c>
    </row>
    <row r="437" spans="1:12" ht="15.5">
      <c r="A437" s="9" t="s">
        <v>1001</v>
      </c>
      <c r="B437" s="7" t="s">
        <v>1011</v>
      </c>
      <c r="C437" s="7" t="s">
        <v>13</v>
      </c>
      <c r="D437" s="7">
        <v>2023</v>
      </c>
      <c r="E437" s="7">
        <v>83.29</v>
      </c>
      <c r="F437" s="7">
        <v>92</v>
      </c>
      <c r="G437" s="7">
        <v>6</v>
      </c>
      <c r="H437" s="7">
        <v>4343.2700000000004</v>
      </c>
      <c r="I437" s="6">
        <v>98.12</v>
      </c>
      <c r="J437" s="7">
        <v>5.41</v>
      </c>
      <c r="K437" s="8">
        <v>7.11</v>
      </c>
      <c r="L437" t="s">
        <v>1141</v>
      </c>
    </row>
    <row r="438" spans="1:12" ht="15.5">
      <c r="A438" s="9" t="s">
        <v>1001</v>
      </c>
      <c r="B438" s="7" t="s">
        <v>1014</v>
      </c>
      <c r="C438" s="7" t="s">
        <v>13</v>
      </c>
      <c r="D438" s="7">
        <v>2023</v>
      </c>
      <c r="E438" s="7">
        <v>81.599999999999994</v>
      </c>
      <c r="F438" s="7">
        <v>128</v>
      </c>
      <c r="G438" s="7">
        <v>6</v>
      </c>
      <c r="H438" s="7">
        <v>20541</v>
      </c>
      <c r="I438" s="6">
        <v>99.53</v>
      </c>
      <c r="J438" s="7">
        <v>5.43</v>
      </c>
      <c r="K438" s="8">
        <v>8.5399999999999991</v>
      </c>
      <c r="L438" t="s">
        <v>1141</v>
      </c>
    </row>
    <row r="439" spans="1:12" ht="15.5">
      <c r="A439" s="9" t="s">
        <v>1001</v>
      </c>
      <c r="B439" s="7" t="s">
        <v>1015</v>
      </c>
      <c r="C439" s="7" t="s">
        <v>13</v>
      </c>
      <c r="D439" s="7">
        <v>2023</v>
      </c>
      <c r="E439" s="7">
        <v>52.79</v>
      </c>
      <c r="F439" s="7">
        <v>374</v>
      </c>
      <c r="G439" s="7">
        <v>3</v>
      </c>
      <c r="I439" s="6">
        <v>95.46</v>
      </c>
      <c r="J439" s="7">
        <v>5.25</v>
      </c>
      <c r="K439" s="8">
        <v>8.85</v>
      </c>
      <c r="L439" t="s">
        <v>1140</v>
      </c>
    </row>
    <row r="440" spans="1:12" ht="15.5">
      <c r="A440" s="9" t="s">
        <v>1001</v>
      </c>
      <c r="B440" s="7" t="s">
        <v>1017</v>
      </c>
      <c r="C440" s="7" t="s">
        <v>13</v>
      </c>
      <c r="D440" s="7">
        <v>2023</v>
      </c>
      <c r="E440" s="7">
        <v>80.44</v>
      </c>
      <c r="F440" s="7">
        <v>150</v>
      </c>
      <c r="G440" s="7">
        <v>6</v>
      </c>
      <c r="H440" s="7">
        <v>6913.85</v>
      </c>
      <c r="I440" s="6">
        <v>99.61</v>
      </c>
      <c r="J440" s="7">
        <v>5.38</v>
      </c>
      <c r="K440" s="8">
        <v>7.35</v>
      </c>
      <c r="L440" t="s">
        <v>1141</v>
      </c>
    </row>
    <row r="441" spans="1:12" ht="15.5">
      <c r="A441" s="9" t="s">
        <v>1001</v>
      </c>
      <c r="B441" s="7" t="s">
        <v>1020</v>
      </c>
      <c r="C441" s="7" t="s">
        <v>13</v>
      </c>
      <c r="D441" s="7">
        <v>2023</v>
      </c>
      <c r="E441" s="7">
        <v>72.88</v>
      </c>
      <c r="F441" s="7">
        <v>269</v>
      </c>
      <c r="G441" s="7">
        <v>5</v>
      </c>
      <c r="H441" s="7">
        <v>7780.56</v>
      </c>
      <c r="I441" s="6">
        <v>99.47</v>
      </c>
      <c r="J441" s="7">
        <v>5.33</v>
      </c>
      <c r="K441" s="8">
        <v>6.57</v>
      </c>
      <c r="L441" t="s">
        <v>1140</v>
      </c>
    </row>
    <row r="442" spans="1:12" ht="15.5">
      <c r="A442" s="9" t="s">
        <v>1001</v>
      </c>
      <c r="B442" s="7" t="s">
        <v>1022</v>
      </c>
      <c r="C442" s="7" t="s">
        <v>13</v>
      </c>
      <c r="D442" s="7">
        <v>2023</v>
      </c>
      <c r="E442" s="7">
        <v>79.36</v>
      </c>
      <c r="F442" s="7">
        <v>170</v>
      </c>
      <c r="G442" s="7">
        <v>6</v>
      </c>
      <c r="H442" s="7">
        <v>3317.93</v>
      </c>
      <c r="I442" s="6">
        <v>98.2</v>
      </c>
      <c r="J442" s="7">
        <v>5.35</v>
      </c>
      <c r="K442" s="8">
        <v>6.55</v>
      </c>
      <c r="L442" t="s">
        <v>1141</v>
      </c>
    </row>
    <row r="443" spans="1:12" ht="15.5">
      <c r="A443" s="9" t="s">
        <v>1001</v>
      </c>
      <c r="B443" s="7" t="s">
        <v>1024</v>
      </c>
      <c r="C443" s="7" t="s">
        <v>62</v>
      </c>
      <c r="D443" s="7">
        <v>2023</v>
      </c>
      <c r="E443" s="7">
        <v>85.33</v>
      </c>
      <c r="F443" s="7">
        <v>42</v>
      </c>
      <c r="G443" s="7">
        <v>6</v>
      </c>
      <c r="I443" s="6">
        <v>100</v>
      </c>
      <c r="J443" s="7">
        <v>5.52</v>
      </c>
      <c r="K443" s="8">
        <v>4.63</v>
      </c>
      <c r="L443" t="s">
        <v>1141</v>
      </c>
    </row>
    <row r="444" spans="1:12" ht="15.5">
      <c r="A444" s="9" t="s">
        <v>1001</v>
      </c>
      <c r="B444" s="7" t="s">
        <v>1026</v>
      </c>
      <c r="C444" s="7" t="s">
        <v>62</v>
      </c>
      <c r="D444" s="7">
        <v>2023</v>
      </c>
      <c r="E444" s="7">
        <v>80.89</v>
      </c>
      <c r="F444" s="7">
        <v>61</v>
      </c>
      <c r="G444" s="7">
        <v>6</v>
      </c>
      <c r="H444" s="7">
        <v>81.67</v>
      </c>
      <c r="I444" s="6">
        <v>99.91</v>
      </c>
      <c r="J444" s="7">
        <v>5.66</v>
      </c>
      <c r="K444" s="8">
        <v>3.91</v>
      </c>
      <c r="L444" t="s">
        <v>1141</v>
      </c>
    </row>
    <row r="445" spans="1:12" ht="15.5">
      <c r="A445" s="9" t="s">
        <v>1001</v>
      </c>
      <c r="B445" s="7" t="s">
        <v>1027</v>
      </c>
      <c r="C445" s="7" t="s">
        <v>62</v>
      </c>
      <c r="D445" s="7">
        <v>2023</v>
      </c>
      <c r="E445" s="7">
        <v>83.14</v>
      </c>
      <c r="F445" s="7">
        <v>52</v>
      </c>
      <c r="G445" s="7">
        <v>6</v>
      </c>
      <c r="H445" s="7">
        <v>2717.39</v>
      </c>
      <c r="I445" s="6">
        <v>100</v>
      </c>
      <c r="J445" s="7">
        <v>5.32</v>
      </c>
      <c r="K445" s="8">
        <v>3.75</v>
      </c>
      <c r="L445" t="s">
        <v>1141</v>
      </c>
    </row>
    <row r="446" spans="1:12" ht="15.5">
      <c r="A446" s="12" t="s">
        <v>1001</v>
      </c>
      <c r="B446" s="13" t="s">
        <v>1028</v>
      </c>
      <c r="C446" s="13" t="s">
        <v>62</v>
      </c>
      <c r="D446" s="13">
        <v>2023</v>
      </c>
      <c r="E446" s="13">
        <v>77.61</v>
      </c>
      <c r="F446" s="13">
        <v>76</v>
      </c>
      <c r="G446" s="13">
        <v>6</v>
      </c>
      <c r="H446" s="13">
        <v>13227.55</v>
      </c>
      <c r="I446" s="16">
        <v>100</v>
      </c>
      <c r="J446" s="13">
        <v>5.4</v>
      </c>
      <c r="K446" s="14">
        <v>4.6100000000000003</v>
      </c>
      <c r="L446" t="s">
        <v>1141</v>
      </c>
    </row>
    <row r="447" spans="1:12" ht="15.5">
      <c r="A447" s="4" t="s">
        <v>1029</v>
      </c>
      <c r="B447" s="5" t="s">
        <v>1030</v>
      </c>
      <c r="C447" s="5" t="s">
        <v>13</v>
      </c>
      <c r="D447" s="5">
        <v>2023</v>
      </c>
      <c r="E447" s="5">
        <v>50.91</v>
      </c>
      <c r="F447" s="5">
        <v>379</v>
      </c>
      <c r="G447" s="5">
        <v>2</v>
      </c>
      <c r="H447" s="5">
        <v>1180.07</v>
      </c>
      <c r="I447" s="6">
        <v>74.56</v>
      </c>
      <c r="J447" s="5">
        <v>4.04</v>
      </c>
      <c r="K447" s="8">
        <v>6.38</v>
      </c>
      <c r="L447" t="s">
        <v>1140</v>
      </c>
    </row>
    <row r="448" spans="1:12" ht="15.5">
      <c r="A448" s="9" t="s">
        <v>1029</v>
      </c>
      <c r="B448" s="7" t="s">
        <v>1033</v>
      </c>
      <c r="C448" s="7" t="s">
        <v>13</v>
      </c>
      <c r="D448" s="7">
        <v>2023</v>
      </c>
      <c r="E448" s="7">
        <v>85.95</v>
      </c>
      <c r="F448" s="7">
        <v>40</v>
      </c>
      <c r="G448" s="7">
        <v>6</v>
      </c>
      <c r="H448" s="7">
        <v>201974.08</v>
      </c>
      <c r="I448" s="6">
        <v>99.41</v>
      </c>
      <c r="J448" s="7">
        <v>4.1900000000000004</v>
      </c>
      <c r="K448" s="8">
        <v>5.42</v>
      </c>
      <c r="L448" t="s">
        <v>1141</v>
      </c>
    </row>
    <row r="449" spans="1:12" ht="15.5">
      <c r="A449" s="9" t="s">
        <v>1029</v>
      </c>
      <c r="B449" s="7" t="s">
        <v>1035</v>
      </c>
      <c r="C449" s="7" t="s">
        <v>13</v>
      </c>
      <c r="D449" s="7">
        <v>2023</v>
      </c>
      <c r="E449" s="7">
        <v>81.78</v>
      </c>
      <c r="F449" s="7">
        <v>124</v>
      </c>
      <c r="G449" s="7">
        <v>6</v>
      </c>
      <c r="H449" s="7">
        <v>182608.63</v>
      </c>
      <c r="I449" s="6">
        <v>99.49</v>
      </c>
      <c r="J449" s="7">
        <v>4.3600000000000003</v>
      </c>
      <c r="K449" s="8">
        <v>11.12</v>
      </c>
      <c r="L449" t="s">
        <v>1141</v>
      </c>
    </row>
    <row r="450" spans="1:12" ht="15.5">
      <c r="A450" s="9" t="s">
        <v>1029</v>
      </c>
      <c r="B450" s="7" t="s">
        <v>1036</v>
      </c>
      <c r="C450" s="7" t="s">
        <v>13</v>
      </c>
      <c r="D450" s="7">
        <v>2023</v>
      </c>
      <c r="E450" s="7">
        <v>79.930000000000007</v>
      </c>
      <c r="F450" s="7">
        <v>160</v>
      </c>
      <c r="G450" s="7">
        <v>6</v>
      </c>
      <c r="H450" s="7">
        <v>63412.33</v>
      </c>
      <c r="I450" s="6">
        <v>99.08</v>
      </c>
      <c r="J450" s="7">
        <v>4.26</v>
      </c>
      <c r="K450" s="8">
        <v>7.34</v>
      </c>
      <c r="L450" t="s">
        <v>1141</v>
      </c>
    </row>
    <row r="451" spans="1:12" ht="15.5">
      <c r="A451" s="9" t="s">
        <v>1029</v>
      </c>
      <c r="B451" s="7" t="s">
        <v>1038</v>
      </c>
      <c r="C451" s="7" t="s">
        <v>13</v>
      </c>
      <c r="D451" s="7">
        <v>2023</v>
      </c>
      <c r="E451" s="7">
        <v>87.55</v>
      </c>
      <c r="F451" s="7">
        <v>18</v>
      </c>
      <c r="G451" s="7">
        <v>6</v>
      </c>
      <c r="H451" s="7">
        <v>181490.95</v>
      </c>
      <c r="I451" s="6">
        <v>99.73</v>
      </c>
      <c r="J451" s="7">
        <v>4.4400000000000004</v>
      </c>
      <c r="K451" s="8">
        <v>9.15</v>
      </c>
      <c r="L451" t="s">
        <v>1141</v>
      </c>
    </row>
    <row r="452" spans="1:12" ht="15.5">
      <c r="A452" s="9" t="s">
        <v>1029</v>
      </c>
      <c r="B452" s="7" t="s">
        <v>1039</v>
      </c>
      <c r="C452" s="7" t="s">
        <v>13</v>
      </c>
      <c r="D452" s="7">
        <v>2023</v>
      </c>
      <c r="E452" s="7">
        <v>83.13</v>
      </c>
      <c r="F452" s="7">
        <v>96</v>
      </c>
      <c r="G452" s="7">
        <v>6</v>
      </c>
      <c r="H452" s="7">
        <v>140376.62</v>
      </c>
      <c r="I452" s="6">
        <v>99.68</v>
      </c>
      <c r="J452" s="7">
        <v>5.46</v>
      </c>
      <c r="K452" s="8">
        <v>7.11</v>
      </c>
      <c r="L452" t="s">
        <v>1141</v>
      </c>
    </row>
    <row r="453" spans="1:12" ht="15.5">
      <c r="A453" s="9" t="s">
        <v>1029</v>
      </c>
      <c r="B453" s="7" t="s">
        <v>1040</v>
      </c>
      <c r="C453" s="7" t="s">
        <v>13</v>
      </c>
      <c r="D453" s="7">
        <v>2023</v>
      </c>
      <c r="E453" s="7">
        <v>86.4</v>
      </c>
      <c r="F453" s="7">
        <v>34</v>
      </c>
      <c r="G453" s="7">
        <v>6</v>
      </c>
      <c r="H453" s="7">
        <v>144501.24</v>
      </c>
      <c r="I453" s="6">
        <v>99.22</v>
      </c>
      <c r="J453" s="7">
        <v>4.5199999999999996</v>
      </c>
      <c r="K453" s="8">
        <v>8.5399999999999991</v>
      </c>
      <c r="L453" t="s">
        <v>1141</v>
      </c>
    </row>
    <row r="454" spans="1:12" ht="15.5">
      <c r="A454" s="9" t="s">
        <v>1029</v>
      </c>
      <c r="B454" s="7" t="s">
        <v>1042</v>
      </c>
      <c r="C454" s="7" t="s">
        <v>13</v>
      </c>
      <c r="D454" s="7">
        <v>2023</v>
      </c>
      <c r="E454" s="7">
        <v>80.680000000000007</v>
      </c>
      <c r="F454" s="7">
        <v>146</v>
      </c>
      <c r="G454" s="7">
        <v>6</v>
      </c>
      <c r="H454" s="7">
        <v>137891.51999999999</v>
      </c>
      <c r="I454" s="6">
        <v>99.95</v>
      </c>
      <c r="J454" s="7">
        <v>4.55</v>
      </c>
      <c r="K454" s="8">
        <v>8.85</v>
      </c>
      <c r="L454" t="s">
        <v>1141</v>
      </c>
    </row>
    <row r="455" spans="1:12" ht="15.5">
      <c r="A455" s="9" t="s">
        <v>1029</v>
      </c>
      <c r="B455" s="7" t="s">
        <v>1043</v>
      </c>
      <c r="C455" s="7" t="s">
        <v>13</v>
      </c>
      <c r="D455" s="7">
        <v>2023</v>
      </c>
      <c r="E455" s="7">
        <v>80.59</v>
      </c>
      <c r="F455" s="7">
        <v>149</v>
      </c>
      <c r="G455" s="7">
        <v>6</v>
      </c>
      <c r="H455" s="7">
        <v>144628.81</v>
      </c>
      <c r="I455" s="6">
        <v>99.38</v>
      </c>
      <c r="J455" s="7">
        <v>4.41</v>
      </c>
      <c r="K455" s="8">
        <v>7.35</v>
      </c>
      <c r="L455" t="s">
        <v>1141</v>
      </c>
    </row>
    <row r="456" spans="1:12" ht="15.5">
      <c r="A456" s="9" t="s">
        <v>1029</v>
      </c>
      <c r="B456" s="7" t="s">
        <v>1044</v>
      </c>
      <c r="C456" s="7" t="s">
        <v>13</v>
      </c>
      <c r="D456" s="7">
        <v>2023</v>
      </c>
      <c r="E456" s="7">
        <v>82.16</v>
      </c>
      <c r="F456" s="7">
        <v>114</v>
      </c>
      <c r="G456" s="7">
        <v>6</v>
      </c>
      <c r="H456" s="7">
        <v>54601.34</v>
      </c>
      <c r="I456" s="6">
        <v>96.27</v>
      </c>
      <c r="J456" s="7">
        <v>4.57</v>
      </c>
      <c r="K456" s="8">
        <v>6.57</v>
      </c>
      <c r="L456" t="s">
        <v>1141</v>
      </c>
    </row>
    <row r="457" spans="1:12" ht="15.5">
      <c r="A457" s="9" t="s">
        <v>1029</v>
      </c>
      <c r="B457" s="7" t="s">
        <v>1046</v>
      </c>
      <c r="C457" s="7" t="s">
        <v>13</v>
      </c>
      <c r="D457" s="7">
        <v>2023</v>
      </c>
      <c r="E457" s="7">
        <v>84.38</v>
      </c>
      <c r="F457" s="7">
        <v>72</v>
      </c>
      <c r="G457" s="7">
        <v>6</v>
      </c>
      <c r="H457" s="7">
        <v>44033.05</v>
      </c>
      <c r="I457" s="6">
        <v>98.06</v>
      </c>
      <c r="J457" s="7">
        <v>4.3499999999999996</v>
      </c>
      <c r="K457" s="8">
        <v>6.55</v>
      </c>
      <c r="L457" t="s">
        <v>1141</v>
      </c>
    </row>
    <row r="458" spans="1:12" ht="15.5">
      <c r="A458" s="9" t="s">
        <v>1029</v>
      </c>
      <c r="B458" s="7" t="s">
        <v>1048</v>
      </c>
      <c r="C458" s="7" t="s">
        <v>13</v>
      </c>
      <c r="D458" s="7">
        <v>2023</v>
      </c>
      <c r="E458" s="7">
        <v>80.67</v>
      </c>
      <c r="F458" s="7">
        <v>147</v>
      </c>
      <c r="G458" s="7">
        <v>6</v>
      </c>
      <c r="H458" s="7">
        <v>47663.46</v>
      </c>
      <c r="I458" s="6">
        <v>99.76</v>
      </c>
      <c r="J458" s="7">
        <v>4.33</v>
      </c>
      <c r="K458" s="8">
        <v>4.63</v>
      </c>
      <c r="L458" t="s">
        <v>1141</v>
      </c>
    </row>
    <row r="459" spans="1:12" ht="15.5">
      <c r="A459" s="9" t="s">
        <v>1029</v>
      </c>
      <c r="B459" s="7" t="s">
        <v>1050</v>
      </c>
      <c r="C459" s="7" t="s">
        <v>62</v>
      </c>
      <c r="D459" s="7">
        <v>2023</v>
      </c>
      <c r="E459" s="7">
        <v>88.33</v>
      </c>
      <c r="F459" s="7">
        <v>26</v>
      </c>
      <c r="G459" s="7">
        <v>6</v>
      </c>
      <c r="H459" s="7">
        <v>58020.74</v>
      </c>
      <c r="I459" s="6">
        <v>100</v>
      </c>
      <c r="J459" s="7">
        <v>4.54</v>
      </c>
      <c r="K459" s="8">
        <v>3.91</v>
      </c>
      <c r="L459" t="s">
        <v>1141</v>
      </c>
    </row>
    <row r="460" spans="1:12" ht="15.5">
      <c r="A460" s="9" t="s">
        <v>1029</v>
      </c>
      <c r="B460" s="7" t="s">
        <v>1052</v>
      </c>
      <c r="C460" s="7" t="s">
        <v>62</v>
      </c>
      <c r="D460" s="7">
        <v>2023</v>
      </c>
      <c r="E460" s="7">
        <v>92.87</v>
      </c>
      <c r="F460" s="7">
        <v>4</v>
      </c>
      <c r="G460" s="7">
        <v>6</v>
      </c>
      <c r="H460" s="7">
        <v>16771.07</v>
      </c>
      <c r="I460" s="6">
        <v>100</v>
      </c>
      <c r="J460" s="7">
        <v>4.8099999999999996</v>
      </c>
      <c r="K460" s="8">
        <v>3.75</v>
      </c>
      <c r="L460" t="s">
        <v>1141</v>
      </c>
    </row>
    <row r="461" spans="1:12" ht="15.5">
      <c r="A461" s="9" t="s">
        <v>1029</v>
      </c>
      <c r="B461" s="7" t="s">
        <v>1053</v>
      </c>
      <c r="C461" s="7" t="s">
        <v>62</v>
      </c>
      <c r="D461" s="7">
        <v>2023</v>
      </c>
      <c r="E461" s="7">
        <v>84.38</v>
      </c>
      <c r="F461" s="7">
        <v>46</v>
      </c>
      <c r="G461" s="7">
        <v>6</v>
      </c>
      <c r="H461" s="7">
        <v>12265.28</v>
      </c>
      <c r="I461" s="6">
        <v>99.83</v>
      </c>
      <c r="J461" s="7">
        <v>4.46</v>
      </c>
      <c r="K461" s="8">
        <v>4.6100000000000003</v>
      </c>
      <c r="L461" t="s">
        <v>1141</v>
      </c>
    </row>
    <row r="462" spans="1:12" ht="15.5">
      <c r="A462" s="9" t="s">
        <v>1029</v>
      </c>
      <c r="B462" s="7" t="s">
        <v>1055</v>
      </c>
      <c r="C462" s="7" t="s">
        <v>62</v>
      </c>
      <c r="D462" s="7">
        <v>2023</v>
      </c>
      <c r="E462" s="7">
        <v>89.58</v>
      </c>
      <c r="F462" s="7">
        <v>17</v>
      </c>
      <c r="G462" s="7">
        <v>6</v>
      </c>
      <c r="H462" s="7">
        <v>5483.86</v>
      </c>
      <c r="I462" s="6">
        <v>99.55</v>
      </c>
      <c r="J462" s="7">
        <v>4.84</v>
      </c>
      <c r="K462" s="8">
        <v>6.81</v>
      </c>
      <c r="L462" t="s">
        <v>1141</v>
      </c>
    </row>
    <row r="463" spans="1:12" ht="15.5">
      <c r="A463" s="9" t="s">
        <v>1029</v>
      </c>
      <c r="B463" s="7" t="s">
        <v>1056</v>
      </c>
      <c r="C463" s="7" t="s">
        <v>62</v>
      </c>
      <c r="D463" s="7">
        <v>2023</v>
      </c>
      <c r="E463" s="7">
        <v>91.78</v>
      </c>
      <c r="F463" s="7">
        <v>7</v>
      </c>
      <c r="G463" s="7">
        <v>6</v>
      </c>
      <c r="H463" s="7">
        <v>3540.22</v>
      </c>
      <c r="I463" s="6">
        <v>100</v>
      </c>
      <c r="J463" s="7">
        <v>4.79</v>
      </c>
      <c r="K463" s="8">
        <v>6.21</v>
      </c>
      <c r="L463" t="s">
        <v>1141</v>
      </c>
    </row>
    <row r="464" spans="1:12" ht="15.5">
      <c r="A464" s="9" t="s">
        <v>1029</v>
      </c>
      <c r="B464" s="7" t="s">
        <v>1058</v>
      </c>
      <c r="C464" s="7" t="s">
        <v>62</v>
      </c>
      <c r="D464" s="7">
        <v>2023</v>
      </c>
      <c r="E464" s="7">
        <v>88.56</v>
      </c>
      <c r="F464" s="7">
        <v>24</v>
      </c>
      <c r="G464" s="7">
        <v>6</v>
      </c>
      <c r="H464" s="7">
        <v>25857.83</v>
      </c>
      <c r="I464" s="6">
        <v>100</v>
      </c>
      <c r="J464" s="7">
        <v>4.7</v>
      </c>
      <c r="K464" s="8">
        <v>6.51</v>
      </c>
      <c r="L464" t="s">
        <v>1141</v>
      </c>
    </row>
    <row r="465" spans="1:12" ht="15.5">
      <c r="A465" s="12" t="s">
        <v>1029</v>
      </c>
      <c r="B465" s="13" t="s">
        <v>1059</v>
      </c>
      <c r="C465" s="13" t="s">
        <v>62</v>
      </c>
      <c r="D465" s="13">
        <v>2023</v>
      </c>
      <c r="E465" s="13">
        <v>81.569999999999993</v>
      </c>
      <c r="F465" s="13">
        <v>58</v>
      </c>
      <c r="G465" s="13">
        <v>6</v>
      </c>
      <c r="H465" s="13">
        <v>16167.69</v>
      </c>
      <c r="I465" s="16">
        <v>100</v>
      </c>
      <c r="J465" s="13">
        <v>4.79</v>
      </c>
      <c r="K465" s="14">
        <v>8.3800000000000008</v>
      </c>
      <c r="L465" t="s">
        <v>1141</v>
      </c>
    </row>
    <row r="466" spans="1:12" ht="15.5">
      <c r="A466" s="4" t="s">
        <v>1060</v>
      </c>
      <c r="B466" s="5" t="s">
        <v>1061</v>
      </c>
      <c r="C466" s="5" t="s">
        <v>13</v>
      </c>
      <c r="D466" s="5">
        <v>2023</v>
      </c>
      <c r="E466" s="5">
        <v>74.36</v>
      </c>
      <c r="F466" s="5">
        <v>247</v>
      </c>
      <c r="G466" s="5">
        <v>5</v>
      </c>
      <c r="H466" s="5">
        <v>7898.1</v>
      </c>
      <c r="I466" s="6">
        <v>99.71</v>
      </c>
      <c r="J466" s="5">
        <v>5.1100000000000003</v>
      </c>
      <c r="K466" s="8">
        <v>6.22</v>
      </c>
      <c r="L466" t="s">
        <v>1140</v>
      </c>
    </row>
    <row r="467" spans="1:12" ht="15.5">
      <c r="A467" s="9" t="s">
        <v>1060</v>
      </c>
      <c r="B467" s="7" t="s">
        <v>1064</v>
      </c>
      <c r="C467" s="7" t="s">
        <v>13</v>
      </c>
      <c r="D467" s="7">
        <v>2023</v>
      </c>
      <c r="E467" s="7">
        <v>79.040000000000006</v>
      </c>
      <c r="F467" s="7">
        <v>177</v>
      </c>
      <c r="G467" s="7">
        <v>6</v>
      </c>
      <c r="H467" s="7">
        <v>292132.15000000002</v>
      </c>
      <c r="I467" s="6">
        <v>95.05</v>
      </c>
      <c r="J467" s="7">
        <v>5.0199999999999996</v>
      </c>
      <c r="K467" s="8">
        <v>6.3</v>
      </c>
      <c r="L467" t="s">
        <v>1141</v>
      </c>
    </row>
    <row r="468" spans="1:12" ht="15.5">
      <c r="A468" s="9" t="s">
        <v>1060</v>
      </c>
      <c r="B468" s="7" t="s">
        <v>1066</v>
      </c>
      <c r="C468" s="7" t="s">
        <v>13</v>
      </c>
      <c r="D468" s="7">
        <v>2023</v>
      </c>
      <c r="E468" s="7">
        <v>73.22</v>
      </c>
      <c r="F468" s="7">
        <v>265</v>
      </c>
      <c r="G468" s="7">
        <v>5</v>
      </c>
      <c r="H468" s="7">
        <v>29797.21</v>
      </c>
      <c r="I468" s="6">
        <v>99.02</v>
      </c>
      <c r="J468" s="7">
        <v>8.58</v>
      </c>
      <c r="K468" s="8">
        <v>6.13</v>
      </c>
      <c r="L468" t="s">
        <v>1140</v>
      </c>
    </row>
    <row r="469" spans="1:12" ht="15.5">
      <c r="A469" s="9" t="s">
        <v>1060</v>
      </c>
      <c r="B469" s="7" t="s">
        <v>1069</v>
      </c>
      <c r="C469" s="7" t="s">
        <v>13</v>
      </c>
      <c r="D469" s="7">
        <v>2023</v>
      </c>
      <c r="E469" s="7">
        <v>72.87</v>
      </c>
      <c r="F469" s="7">
        <v>270</v>
      </c>
      <c r="G469" s="7">
        <v>5</v>
      </c>
      <c r="H469" s="7">
        <v>40125.49</v>
      </c>
      <c r="I469" s="6">
        <v>100</v>
      </c>
      <c r="J469" s="7">
        <v>6.73</v>
      </c>
      <c r="K469" s="8">
        <v>5.41</v>
      </c>
      <c r="L469" t="s">
        <v>1140</v>
      </c>
    </row>
    <row r="470" spans="1:12" ht="15.5">
      <c r="A470" s="9" t="s">
        <v>1060</v>
      </c>
      <c r="B470" s="7" t="s">
        <v>1071</v>
      </c>
      <c r="C470" s="7" t="s">
        <v>13</v>
      </c>
      <c r="D470" s="7">
        <v>2023</v>
      </c>
      <c r="E470" s="7">
        <v>79.56</v>
      </c>
      <c r="F470" s="7">
        <v>166</v>
      </c>
      <c r="G470" s="7">
        <v>6</v>
      </c>
      <c r="H470" s="7">
        <v>59638.7</v>
      </c>
      <c r="I470" s="6">
        <v>96.22</v>
      </c>
      <c r="J470" s="7">
        <v>4.03</v>
      </c>
      <c r="K470" s="8">
        <v>8.1199999999999992</v>
      </c>
      <c r="L470" t="s">
        <v>1141</v>
      </c>
    </row>
    <row r="471" spans="1:12" ht="15.5">
      <c r="A471" s="9" t="s">
        <v>1060</v>
      </c>
      <c r="B471" s="7" t="s">
        <v>1073</v>
      </c>
      <c r="C471" s="7" t="s">
        <v>13</v>
      </c>
      <c r="D471" s="7">
        <v>2023</v>
      </c>
      <c r="E471" s="7">
        <v>79.09</v>
      </c>
      <c r="F471" s="7">
        <v>174</v>
      </c>
      <c r="G471" s="7">
        <v>6</v>
      </c>
      <c r="H471" s="7">
        <v>77574.960000000006</v>
      </c>
      <c r="I471" s="6">
        <v>74.239999999999995</v>
      </c>
      <c r="J471" s="7">
        <v>4.51</v>
      </c>
      <c r="K471" s="8">
        <v>4.58</v>
      </c>
      <c r="L471" t="s">
        <v>1141</v>
      </c>
    </row>
    <row r="472" spans="1:12" ht="15.5">
      <c r="A472" s="9" t="s">
        <v>1060</v>
      </c>
      <c r="B472" s="7" t="s">
        <v>1075</v>
      </c>
      <c r="C472" s="7" t="s">
        <v>13</v>
      </c>
      <c r="D472" s="7">
        <v>2023</v>
      </c>
      <c r="E472" s="7">
        <v>78.91</v>
      </c>
      <c r="F472" s="7">
        <v>179</v>
      </c>
      <c r="G472" s="7">
        <v>6</v>
      </c>
      <c r="H472" s="7">
        <v>525872.87</v>
      </c>
      <c r="I472" s="6">
        <v>100</v>
      </c>
      <c r="J472" s="7">
        <v>5.0599999999999996</v>
      </c>
      <c r="K472" s="8">
        <v>4.4800000000000004</v>
      </c>
      <c r="L472" t="s">
        <v>1141</v>
      </c>
    </row>
    <row r="473" spans="1:12" ht="15.5">
      <c r="A473" s="9" t="s">
        <v>1060</v>
      </c>
      <c r="B473" s="7" t="s">
        <v>1076</v>
      </c>
      <c r="C473" s="7" t="s">
        <v>13</v>
      </c>
      <c r="D473" s="7">
        <v>2023</v>
      </c>
      <c r="E473" s="7">
        <v>76.150000000000006</v>
      </c>
      <c r="F473" s="7">
        <v>228</v>
      </c>
      <c r="G473" s="7">
        <v>6</v>
      </c>
      <c r="H473" s="7">
        <v>26167.7</v>
      </c>
      <c r="I473" s="6">
        <v>91.36</v>
      </c>
      <c r="J473" s="7">
        <v>4.18</v>
      </c>
      <c r="K473" s="8">
        <v>10.47</v>
      </c>
      <c r="L473" t="s">
        <v>1141</v>
      </c>
    </row>
    <row r="474" spans="1:12" ht="15.5">
      <c r="A474" s="9" t="s">
        <v>1060</v>
      </c>
      <c r="B474" s="7" t="s">
        <v>1078</v>
      </c>
      <c r="C474" s="7" t="s">
        <v>13</v>
      </c>
      <c r="D474" s="7">
        <v>2023</v>
      </c>
      <c r="E474" s="7">
        <v>84.52</v>
      </c>
      <c r="F474" s="7">
        <v>68</v>
      </c>
      <c r="G474" s="7">
        <v>6</v>
      </c>
      <c r="H474" s="7">
        <v>399696.81</v>
      </c>
      <c r="I474" s="6">
        <v>100</v>
      </c>
      <c r="J474" s="7">
        <v>5.05</v>
      </c>
      <c r="K474" s="8">
        <v>8.4</v>
      </c>
      <c r="L474" t="s">
        <v>1141</v>
      </c>
    </row>
    <row r="475" spans="1:12" ht="15.5">
      <c r="A475" s="9" t="s">
        <v>1060</v>
      </c>
      <c r="B475" s="7" t="s">
        <v>1079</v>
      </c>
      <c r="C475" s="7" t="s">
        <v>13</v>
      </c>
      <c r="D475" s="7">
        <v>2023</v>
      </c>
      <c r="E475" s="7">
        <v>76.319999999999993</v>
      </c>
      <c r="F475" s="7">
        <v>225</v>
      </c>
      <c r="G475" s="7">
        <v>6</v>
      </c>
      <c r="H475" s="7">
        <v>54474.06</v>
      </c>
      <c r="I475" s="6">
        <v>99.98</v>
      </c>
      <c r="J475" s="7">
        <v>4.71</v>
      </c>
      <c r="K475" s="8">
        <v>8.5500000000000007</v>
      </c>
      <c r="L475" t="s">
        <v>1141</v>
      </c>
    </row>
    <row r="476" spans="1:12" ht="15.5">
      <c r="A476" s="9" t="s">
        <v>1060</v>
      </c>
      <c r="B476" s="7" t="s">
        <v>1082</v>
      </c>
      <c r="C476" s="7" t="s">
        <v>13</v>
      </c>
      <c r="D476" s="7">
        <v>2023</v>
      </c>
      <c r="E476" s="7">
        <v>69.27</v>
      </c>
      <c r="F476" s="7">
        <v>307</v>
      </c>
      <c r="G476" s="7">
        <v>5</v>
      </c>
      <c r="H476" s="7">
        <v>27874.43</v>
      </c>
      <c r="I476" s="6">
        <v>99.29</v>
      </c>
      <c r="J476" s="7">
        <v>4.2699999999999996</v>
      </c>
      <c r="K476" s="8">
        <v>12.35</v>
      </c>
      <c r="L476" t="s">
        <v>1140</v>
      </c>
    </row>
    <row r="477" spans="1:12" ht="15.5">
      <c r="A477" s="9" t="s">
        <v>1060</v>
      </c>
      <c r="B477" s="7" t="s">
        <v>1083</v>
      </c>
      <c r="C477" s="7" t="s">
        <v>13</v>
      </c>
      <c r="D477" s="7">
        <v>2023</v>
      </c>
      <c r="E477" s="7">
        <v>73.709999999999994</v>
      </c>
      <c r="F477" s="7">
        <v>256</v>
      </c>
      <c r="G477" s="7">
        <v>5</v>
      </c>
      <c r="H477" s="7">
        <v>14380.66</v>
      </c>
      <c r="I477" s="6">
        <v>100</v>
      </c>
      <c r="J477" s="7">
        <v>4.66</v>
      </c>
      <c r="K477" s="8">
        <v>8.2799999999999994</v>
      </c>
      <c r="L477" t="s">
        <v>1140</v>
      </c>
    </row>
    <row r="478" spans="1:12" ht="15.5">
      <c r="A478" s="9" t="s">
        <v>1060</v>
      </c>
      <c r="B478" s="7" t="s">
        <v>1084</v>
      </c>
      <c r="C478" s="7" t="s">
        <v>13</v>
      </c>
      <c r="D478" s="7">
        <v>2023</v>
      </c>
      <c r="E478" s="7">
        <v>60.31</v>
      </c>
      <c r="F478" s="7">
        <v>346</v>
      </c>
      <c r="G478" s="7">
        <v>4</v>
      </c>
      <c r="H478" s="7">
        <v>7015.72</v>
      </c>
      <c r="I478" s="6">
        <v>96.87</v>
      </c>
      <c r="J478" s="7">
        <v>4.34</v>
      </c>
      <c r="K478" s="8">
        <v>7.49</v>
      </c>
      <c r="L478" t="s">
        <v>1140</v>
      </c>
    </row>
    <row r="479" spans="1:12" ht="15.5">
      <c r="A479" s="9" t="s">
        <v>1060</v>
      </c>
      <c r="B479" s="7" t="s">
        <v>1086</v>
      </c>
      <c r="C479" s="7" t="s">
        <v>62</v>
      </c>
      <c r="D479" s="7">
        <v>2023</v>
      </c>
      <c r="E479" s="7">
        <v>83.29</v>
      </c>
      <c r="F479" s="7">
        <v>51</v>
      </c>
      <c r="G479" s="7">
        <v>6</v>
      </c>
      <c r="H479" s="7">
        <v>8585.99</v>
      </c>
      <c r="I479" s="6">
        <v>100</v>
      </c>
      <c r="J479" s="7">
        <v>5.12</v>
      </c>
      <c r="K479" s="8">
        <v>4.59</v>
      </c>
      <c r="L479" t="s">
        <v>1141</v>
      </c>
    </row>
    <row r="480" spans="1:12" ht="15.5">
      <c r="A480" s="9" t="s">
        <v>1060</v>
      </c>
      <c r="B480" s="7" t="s">
        <v>1087</v>
      </c>
      <c r="C480" s="7" t="s">
        <v>62</v>
      </c>
      <c r="D480" s="7">
        <v>2023</v>
      </c>
      <c r="E480" s="7">
        <v>68.83</v>
      </c>
      <c r="F480" s="7">
        <v>91</v>
      </c>
      <c r="G480" s="7">
        <v>5</v>
      </c>
      <c r="H480" s="7">
        <v>90.93</v>
      </c>
      <c r="I480" s="6">
        <v>99.98</v>
      </c>
      <c r="J480" s="7">
        <v>4.8</v>
      </c>
      <c r="K480" s="8">
        <v>8.09</v>
      </c>
      <c r="L480" t="s">
        <v>1140</v>
      </c>
    </row>
    <row r="481" spans="1:12" ht="15.5">
      <c r="A481" s="9" t="s">
        <v>1060</v>
      </c>
      <c r="B481" s="7" t="s">
        <v>1088</v>
      </c>
      <c r="C481" s="7" t="s">
        <v>62</v>
      </c>
      <c r="D481" s="7">
        <v>2023</v>
      </c>
      <c r="E481" s="7">
        <v>59.17</v>
      </c>
      <c r="F481" s="7">
        <v>96</v>
      </c>
      <c r="G481" s="7">
        <v>4</v>
      </c>
      <c r="H481" s="7">
        <v>11106.33</v>
      </c>
      <c r="I481" s="6">
        <v>99.3</v>
      </c>
      <c r="J481" s="7">
        <v>4.3499999999999996</v>
      </c>
      <c r="K481" s="8">
        <v>10.23</v>
      </c>
      <c r="L481" t="s">
        <v>1140</v>
      </c>
    </row>
    <row r="482" spans="1:12" ht="15.5">
      <c r="A482" s="12" t="s">
        <v>1060</v>
      </c>
      <c r="B482" s="13" t="s">
        <v>1090</v>
      </c>
      <c r="C482" s="13" t="s">
        <v>62</v>
      </c>
      <c r="D482" s="13">
        <v>2023</v>
      </c>
      <c r="E482" s="13">
        <v>66.260000000000005</v>
      </c>
      <c r="F482" s="13">
        <v>93</v>
      </c>
      <c r="G482" s="13">
        <v>5</v>
      </c>
      <c r="H482" s="13">
        <v>3694.73</v>
      </c>
      <c r="I482" s="16">
        <v>100</v>
      </c>
      <c r="J482" s="13">
        <v>4.4400000000000004</v>
      </c>
      <c r="K482" s="14">
        <v>7.84</v>
      </c>
      <c r="L482" t="s">
        <v>1140</v>
      </c>
    </row>
    <row r="483" spans="1:12" ht="15.5">
      <c r="A483" s="4" t="s">
        <v>1091</v>
      </c>
      <c r="B483" s="5" t="s">
        <v>1092</v>
      </c>
      <c r="C483" s="5" t="s">
        <v>13</v>
      </c>
      <c r="D483" s="5">
        <v>2023</v>
      </c>
      <c r="E483" s="5">
        <v>71.38</v>
      </c>
      <c r="F483" s="5">
        <v>285</v>
      </c>
      <c r="G483" s="5">
        <v>5</v>
      </c>
      <c r="H483" s="5">
        <v>3524447</v>
      </c>
      <c r="I483" s="6">
        <v>85.41</v>
      </c>
      <c r="J483" s="5">
        <v>3.82</v>
      </c>
      <c r="K483" s="8">
        <v>8.14</v>
      </c>
      <c r="L483" t="s">
        <v>1140</v>
      </c>
    </row>
    <row r="484" spans="1:12" ht="15.5">
      <c r="A484" s="9" t="s">
        <v>1091</v>
      </c>
      <c r="B484" s="7" t="s">
        <v>1094</v>
      </c>
      <c r="C484" s="7" t="s">
        <v>13</v>
      </c>
      <c r="D484" s="7">
        <v>2023</v>
      </c>
      <c r="E484" s="7">
        <v>69.540000000000006</v>
      </c>
      <c r="F484" s="7">
        <v>301</v>
      </c>
      <c r="G484" s="7">
        <v>5</v>
      </c>
      <c r="H484" s="7">
        <v>82436.28</v>
      </c>
      <c r="I484" s="6">
        <v>97.76</v>
      </c>
      <c r="J484" s="7">
        <v>4.93</v>
      </c>
      <c r="K484" s="8">
        <v>9.0299999999999994</v>
      </c>
      <c r="L484" t="s">
        <v>1140</v>
      </c>
    </row>
    <row r="485" spans="1:12" ht="15.5">
      <c r="A485" s="9" t="s">
        <v>1091</v>
      </c>
      <c r="B485" s="7" t="s">
        <v>1096</v>
      </c>
      <c r="C485" s="7" t="s">
        <v>13</v>
      </c>
      <c r="D485" s="7">
        <v>2023</v>
      </c>
      <c r="E485" s="7">
        <v>73.400000000000006</v>
      </c>
      <c r="F485" s="7">
        <v>262</v>
      </c>
      <c r="G485" s="7">
        <v>5</v>
      </c>
      <c r="H485" s="7">
        <v>98843.26</v>
      </c>
      <c r="I485" s="6">
        <v>98.53</v>
      </c>
      <c r="J485" s="7">
        <v>5.1100000000000003</v>
      </c>
      <c r="K485" s="8">
        <v>8.1</v>
      </c>
      <c r="L485" t="s">
        <v>1140</v>
      </c>
    </row>
    <row r="486" spans="1:12" ht="15.5">
      <c r="A486" s="9" t="s">
        <v>1091</v>
      </c>
      <c r="B486" s="7" t="s">
        <v>1098</v>
      </c>
      <c r="C486" s="7" t="s">
        <v>13</v>
      </c>
      <c r="D486" s="7">
        <v>2023</v>
      </c>
      <c r="E486" s="7">
        <v>72.180000000000007</v>
      </c>
      <c r="F486" s="7">
        <v>277</v>
      </c>
      <c r="G486" s="7">
        <v>5</v>
      </c>
      <c r="H486" s="7">
        <v>48181.74</v>
      </c>
      <c r="I486" s="6">
        <v>99.36</v>
      </c>
      <c r="J486" s="7">
        <v>4.2300000000000004</v>
      </c>
      <c r="K486" s="8">
        <v>6.99</v>
      </c>
      <c r="L486" t="s">
        <v>1140</v>
      </c>
    </row>
    <row r="487" spans="1:12" ht="15.5">
      <c r="A487" s="9" t="s">
        <v>1091</v>
      </c>
      <c r="B487" s="7" t="s">
        <v>1101</v>
      </c>
      <c r="C487" s="7" t="s">
        <v>13</v>
      </c>
      <c r="D487" s="7">
        <v>2023</v>
      </c>
      <c r="E487" s="7">
        <v>77.290000000000006</v>
      </c>
      <c r="F487" s="7">
        <v>204</v>
      </c>
      <c r="G487" s="7">
        <v>6</v>
      </c>
      <c r="H487" s="7">
        <v>125645.14</v>
      </c>
      <c r="I487" s="6">
        <v>99.67</v>
      </c>
      <c r="J487" s="7">
        <v>4.75</v>
      </c>
      <c r="K487" s="8">
        <v>7.05</v>
      </c>
      <c r="L487" t="s">
        <v>1141</v>
      </c>
    </row>
    <row r="488" spans="1:12" ht="15.5">
      <c r="A488" s="9" t="s">
        <v>1091</v>
      </c>
      <c r="B488" s="7" t="s">
        <v>1102</v>
      </c>
      <c r="C488" s="7" t="s">
        <v>13</v>
      </c>
      <c r="D488" s="7">
        <v>2023</v>
      </c>
      <c r="E488" s="7">
        <v>83.09</v>
      </c>
      <c r="F488" s="7">
        <v>98</v>
      </c>
      <c r="G488" s="7">
        <v>6</v>
      </c>
      <c r="H488" s="7">
        <v>102802.33</v>
      </c>
      <c r="I488" s="6">
        <v>99.65</v>
      </c>
      <c r="J488" s="7">
        <v>4.93</v>
      </c>
      <c r="K488" s="8">
        <v>6.91</v>
      </c>
      <c r="L488" t="s">
        <v>1141</v>
      </c>
    </row>
    <row r="489" spans="1:12" ht="15.5">
      <c r="A489" s="9" t="s">
        <v>1091</v>
      </c>
      <c r="B489" s="7" t="s">
        <v>1103</v>
      </c>
      <c r="C489" s="7" t="s">
        <v>13</v>
      </c>
      <c r="D489" s="7">
        <v>2023</v>
      </c>
      <c r="E489" s="7">
        <v>77.959999999999994</v>
      </c>
      <c r="F489" s="7">
        <v>191</v>
      </c>
      <c r="G489" s="7">
        <v>6</v>
      </c>
      <c r="H489" s="7">
        <v>8264209</v>
      </c>
      <c r="I489" s="6">
        <v>99.33</v>
      </c>
      <c r="J489" s="7">
        <v>5.03</v>
      </c>
      <c r="K489" s="8">
        <v>7.38</v>
      </c>
      <c r="L489" t="s">
        <v>1141</v>
      </c>
    </row>
    <row r="490" spans="1:12" ht="15.5">
      <c r="A490" s="9" t="s">
        <v>1091</v>
      </c>
      <c r="B490" s="7" t="s">
        <v>1104</v>
      </c>
      <c r="C490" s="7" t="s">
        <v>13</v>
      </c>
      <c r="D490" s="7">
        <v>2023</v>
      </c>
      <c r="E490" s="7">
        <v>73.989999999999995</v>
      </c>
      <c r="F490" s="7">
        <v>254</v>
      </c>
      <c r="G490" s="7">
        <v>5</v>
      </c>
      <c r="H490" s="7">
        <v>6569271</v>
      </c>
      <c r="I490" s="6">
        <v>99.06</v>
      </c>
      <c r="J490" s="7">
        <v>4.87</v>
      </c>
      <c r="K490" s="8">
        <v>8.65</v>
      </c>
      <c r="L490" t="s">
        <v>1140</v>
      </c>
    </row>
    <row r="491" spans="1:12" ht="15.5">
      <c r="A491" s="9" t="s">
        <v>1091</v>
      </c>
      <c r="B491" s="7" t="s">
        <v>1106</v>
      </c>
      <c r="C491" s="7" t="s">
        <v>13</v>
      </c>
      <c r="D491" s="7">
        <v>2023</v>
      </c>
      <c r="E491" s="7">
        <v>81.41</v>
      </c>
      <c r="F491" s="7">
        <v>130</v>
      </c>
      <c r="G491" s="7">
        <v>6</v>
      </c>
      <c r="H491" s="7">
        <v>14300893</v>
      </c>
      <c r="I491" s="6">
        <v>99.89</v>
      </c>
      <c r="J491" s="7">
        <v>5.07</v>
      </c>
      <c r="K491" s="8">
        <v>11.19</v>
      </c>
      <c r="L491" t="s">
        <v>1141</v>
      </c>
    </row>
    <row r="492" spans="1:12" ht="15.5">
      <c r="A492" s="9" t="s">
        <v>1091</v>
      </c>
      <c r="B492" s="7" t="s">
        <v>1107</v>
      </c>
      <c r="C492" s="7" t="s">
        <v>13</v>
      </c>
      <c r="D492" s="7">
        <v>2023</v>
      </c>
      <c r="E492" s="7">
        <v>82.92</v>
      </c>
      <c r="F492" s="7">
        <v>104</v>
      </c>
      <c r="G492" s="7">
        <v>6</v>
      </c>
      <c r="H492" s="7">
        <v>3493489</v>
      </c>
      <c r="I492" s="6">
        <v>99.62</v>
      </c>
      <c r="J492" s="7">
        <v>5.04</v>
      </c>
      <c r="K492" s="8">
        <v>7.66</v>
      </c>
      <c r="L492" t="s">
        <v>1141</v>
      </c>
    </row>
    <row r="493" spans="1:12" ht="15.5">
      <c r="A493" s="9" t="s">
        <v>1091</v>
      </c>
      <c r="B493" s="7" t="s">
        <v>1109</v>
      </c>
      <c r="C493" s="7" t="s">
        <v>13</v>
      </c>
      <c r="D493" s="7">
        <v>2023</v>
      </c>
      <c r="E493" s="7">
        <v>81.349999999999994</v>
      </c>
      <c r="F493" s="7">
        <v>134</v>
      </c>
      <c r="G493" s="7">
        <v>6</v>
      </c>
      <c r="H493" s="7">
        <v>6345143</v>
      </c>
      <c r="I493" s="6">
        <v>100</v>
      </c>
      <c r="J493" s="7">
        <v>5.0599999999999996</v>
      </c>
      <c r="K493" s="8">
        <v>5.42</v>
      </c>
      <c r="L493" t="s">
        <v>1141</v>
      </c>
    </row>
    <row r="494" spans="1:12" ht="15.5">
      <c r="A494" s="9" t="s">
        <v>1091</v>
      </c>
      <c r="B494" s="7" t="s">
        <v>1110</v>
      </c>
      <c r="C494" s="7" t="s">
        <v>13</v>
      </c>
      <c r="D494" s="7">
        <v>2023</v>
      </c>
      <c r="E494" s="7">
        <v>86.81</v>
      </c>
      <c r="F494" s="7">
        <v>31</v>
      </c>
      <c r="G494" s="7">
        <v>6</v>
      </c>
      <c r="H494" s="7">
        <v>33176945</v>
      </c>
      <c r="I494" s="6">
        <v>99.83</v>
      </c>
      <c r="J494" s="7">
        <v>5.34</v>
      </c>
      <c r="K494" s="8">
        <v>9.6999999999999993</v>
      </c>
      <c r="L494" t="s">
        <v>1141</v>
      </c>
    </row>
    <row r="495" spans="1:12" ht="15.5">
      <c r="A495" s="9" t="s">
        <v>1091</v>
      </c>
      <c r="B495" s="7" t="s">
        <v>1111</v>
      </c>
      <c r="C495" s="7" t="s">
        <v>13</v>
      </c>
      <c r="D495" s="7">
        <v>2023</v>
      </c>
      <c r="E495" s="7">
        <v>76.89</v>
      </c>
      <c r="F495" s="7">
        <v>214</v>
      </c>
      <c r="G495" s="7">
        <v>6</v>
      </c>
      <c r="H495" s="7">
        <v>11531033</v>
      </c>
      <c r="I495" s="6">
        <v>97.7</v>
      </c>
      <c r="J495" s="7">
        <v>4.93</v>
      </c>
      <c r="K495" s="8">
        <v>10.75</v>
      </c>
      <c r="L495" t="s">
        <v>1141</v>
      </c>
    </row>
    <row r="496" spans="1:12" ht="15.5">
      <c r="A496" s="9" t="s">
        <v>1091</v>
      </c>
      <c r="B496" s="7" t="s">
        <v>1113</v>
      </c>
      <c r="C496" s="7" t="s">
        <v>13</v>
      </c>
      <c r="D496" s="7">
        <v>2023</v>
      </c>
      <c r="E496" s="7">
        <v>65.67</v>
      </c>
      <c r="F496" s="7">
        <v>325</v>
      </c>
      <c r="G496" s="7">
        <v>4</v>
      </c>
      <c r="H496" s="7">
        <v>4303779</v>
      </c>
      <c r="I496" s="6">
        <v>87.16</v>
      </c>
      <c r="J496" s="7">
        <v>3.65</v>
      </c>
      <c r="K496" s="8">
        <v>13.45</v>
      </c>
      <c r="L496" t="s">
        <v>1140</v>
      </c>
    </row>
    <row r="497" spans="1:12" ht="15.5">
      <c r="A497" s="9" t="s">
        <v>1091</v>
      </c>
      <c r="B497" s="7" t="s">
        <v>1116</v>
      </c>
      <c r="C497" s="7" t="s">
        <v>13</v>
      </c>
      <c r="D497" s="7">
        <v>2023</v>
      </c>
      <c r="E497" s="7">
        <v>78.900000000000006</v>
      </c>
      <c r="F497" s="7">
        <v>180</v>
      </c>
      <c r="G497" s="7">
        <v>6</v>
      </c>
      <c r="H497" s="7">
        <v>6590805</v>
      </c>
      <c r="I497" s="6">
        <v>99.57</v>
      </c>
      <c r="J497" s="7">
        <v>4.38</v>
      </c>
      <c r="K497" s="8">
        <v>5.82</v>
      </c>
      <c r="L497" t="s">
        <v>1141</v>
      </c>
    </row>
    <row r="498" spans="1:12" ht="15.5">
      <c r="A498" s="9" t="s">
        <v>1091</v>
      </c>
      <c r="B498" s="7" t="s">
        <v>1117</v>
      </c>
      <c r="C498" s="7" t="s">
        <v>13</v>
      </c>
      <c r="D498" s="7">
        <v>2023</v>
      </c>
      <c r="E498" s="7">
        <v>77.319999999999993</v>
      </c>
      <c r="F498" s="7">
        <v>203</v>
      </c>
      <c r="G498" s="7">
        <v>6</v>
      </c>
      <c r="H498" s="7">
        <v>521274</v>
      </c>
      <c r="I498" s="6">
        <v>99.26</v>
      </c>
      <c r="J498" s="7">
        <v>5.0999999999999996</v>
      </c>
      <c r="K498" s="8">
        <v>5.26</v>
      </c>
      <c r="L498" t="s">
        <v>1141</v>
      </c>
    </row>
    <row r="499" spans="1:12" ht="15.5">
      <c r="A499" s="9" t="s">
        <v>1091</v>
      </c>
      <c r="B499" s="7" t="s">
        <v>1119</v>
      </c>
      <c r="C499" s="7" t="s">
        <v>13</v>
      </c>
      <c r="D499" s="7">
        <v>2023</v>
      </c>
      <c r="E499" s="7">
        <v>78.89</v>
      </c>
      <c r="F499" s="7">
        <v>181</v>
      </c>
      <c r="G499" s="7">
        <v>6</v>
      </c>
      <c r="H499" s="7">
        <v>3805233</v>
      </c>
      <c r="I499" s="6">
        <v>99.61</v>
      </c>
      <c r="J499" s="7">
        <v>5.03</v>
      </c>
      <c r="K499" s="8">
        <v>6.31</v>
      </c>
      <c r="L499" t="s">
        <v>1141</v>
      </c>
    </row>
    <row r="500" spans="1:12" ht="15.5">
      <c r="A500" s="9" t="s">
        <v>1091</v>
      </c>
      <c r="B500" s="7" t="s">
        <v>1120</v>
      </c>
      <c r="C500" s="7" t="s">
        <v>13</v>
      </c>
      <c r="D500" s="7">
        <v>2023</v>
      </c>
      <c r="E500" s="7">
        <v>83.76</v>
      </c>
      <c r="F500" s="7">
        <v>80</v>
      </c>
      <c r="G500" s="7">
        <v>6</v>
      </c>
      <c r="H500" s="7">
        <v>29831465</v>
      </c>
      <c r="I500" s="6">
        <v>99.84</v>
      </c>
      <c r="J500" s="7">
        <v>5.03</v>
      </c>
      <c r="K500" s="8">
        <v>10.59</v>
      </c>
      <c r="L500" t="s">
        <v>1141</v>
      </c>
    </row>
    <row r="501" spans="1:12" ht="15.5">
      <c r="A501" s="9" t="s">
        <v>1091</v>
      </c>
      <c r="B501" s="7" t="s">
        <v>1121</v>
      </c>
      <c r="C501" s="7" t="s">
        <v>13</v>
      </c>
      <c r="D501" s="7">
        <v>2023</v>
      </c>
      <c r="E501" s="7">
        <v>76.819999999999993</v>
      </c>
      <c r="F501" s="7">
        <v>216</v>
      </c>
      <c r="G501" s="7">
        <v>6</v>
      </c>
      <c r="H501" s="7">
        <v>6843096</v>
      </c>
      <c r="I501" s="6">
        <v>98.06</v>
      </c>
      <c r="J501" s="7">
        <v>4.08</v>
      </c>
      <c r="K501" s="8">
        <v>8.44</v>
      </c>
      <c r="L501" t="s">
        <v>1141</v>
      </c>
    </row>
    <row r="502" spans="1:12" ht="15.5">
      <c r="A502" s="9" t="s">
        <v>1091</v>
      </c>
      <c r="B502" s="7" t="s">
        <v>1122</v>
      </c>
      <c r="C502" s="7" t="s">
        <v>13</v>
      </c>
      <c r="D502" s="7">
        <v>2023</v>
      </c>
      <c r="E502" s="7">
        <v>70.400000000000006</v>
      </c>
      <c r="F502" s="7">
        <v>295</v>
      </c>
      <c r="G502" s="7">
        <v>5</v>
      </c>
      <c r="H502" s="7">
        <v>29247.18</v>
      </c>
      <c r="I502" s="6">
        <v>99.98</v>
      </c>
      <c r="J502" s="7">
        <v>4.92</v>
      </c>
      <c r="K502" s="8">
        <v>6.09</v>
      </c>
      <c r="L502" t="s">
        <v>1140</v>
      </c>
    </row>
    <row r="503" spans="1:12" ht="15.5">
      <c r="A503" s="9" t="s">
        <v>1091</v>
      </c>
      <c r="B503" s="7" t="s">
        <v>1123</v>
      </c>
      <c r="C503" s="7" t="s">
        <v>13</v>
      </c>
      <c r="D503" s="7">
        <v>2023</v>
      </c>
      <c r="E503" s="7">
        <v>70.900000000000006</v>
      </c>
      <c r="F503" s="7">
        <v>288</v>
      </c>
      <c r="G503" s="7">
        <v>5</v>
      </c>
      <c r="H503" s="7">
        <v>27674.560000000001</v>
      </c>
      <c r="I503" s="6">
        <v>98.6</v>
      </c>
      <c r="J503" s="7">
        <v>5.14</v>
      </c>
      <c r="K503" s="8">
        <v>5.26</v>
      </c>
      <c r="L503" t="s">
        <v>1140</v>
      </c>
    </row>
    <row r="504" spans="1:12" ht="15.5">
      <c r="A504" s="9" t="s">
        <v>1091</v>
      </c>
      <c r="B504" s="7" t="s">
        <v>1124</v>
      </c>
      <c r="C504" s="7" t="s">
        <v>13</v>
      </c>
      <c r="D504" s="7">
        <v>2023</v>
      </c>
      <c r="E504" s="7">
        <v>56.18</v>
      </c>
      <c r="F504" s="7">
        <v>364</v>
      </c>
      <c r="G504" s="7">
        <v>3</v>
      </c>
      <c r="H504" s="7">
        <v>403.84</v>
      </c>
      <c r="I504" s="6">
        <v>96.56</v>
      </c>
      <c r="J504" s="7">
        <v>4.9400000000000004</v>
      </c>
      <c r="K504" s="8">
        <v>5.33</v>
      </c>
      <c r="L504" t="s">
        <v>1140</v>
      </c>
    </row>
    <row r="505" spans="1:12" ht="15.5">
      <c r="A505" s="9" t="s">
        <v>1091</v>
      </c>
      <c r="B505" s="7" t="s">
        <v>1126</v>
      </c>
      <c r="C505" s="7" t="s">
        <v>13</v>
      </c>
      <c r="D505" s="7">
        <v>2023</v>
      </c>
      <c r="E505" s="7">
        <v>81.22</v>
      </c>
      <c r="F505" s="7">
        <v>139</v>
      </c>
      <c r="G505" s="7">
        <v>6</v>
      </c>
      <c r="H505" s="7">
        <v>79223.039999999994</v>
      </c>
      <c r="I505" s="6">
        <v>99.29</v>
      </c>
      <c r="J505" s="7">
        <v>4.76</v>
      </c>
      <c r="K505" s="8">
        <v>7.69</v>
      </c>
      <c r="L505" t="s">
        <v>1141</v>
      </c>
    </row>
    <row r="506" spans="1:12" ht="15.5">
      <c r="A506" s="9" t="s">
        <v>1091</v>
      </c>
      <c r="B506" s="7" t="s">
        <v>1127</v>
      </c>
      <c r="C506" s="7" t="s">
        <v>13</v>
      </c>
      <c r="D506" s="7">
        <v>2023</v>
      </c>
      <c r="E506" s="7">
        <v>73.67</v>
      </c>
      <c r="F506" s="7">
        <v>258</v>
      </c>
      <c r="G506" s="7">
        <v>5</v>
      </c>
      <c r="H506" s="7">
        <v>39122.949999999997</v>
      </c>
      <c r="I506" s="6">
        <v>90.7</v>
      </c>
      <c r="J506" s="7">
        <v>3.79</v>
      </c>
      <c r="K506" s="8">
        <v>9.1999999999999993</v>
      </c>
      <c r="L506" t="s">
        <v>1140</v>
      </c>
    </row>
    <row r="507" spans="1:12" ht="15.5">
      <c r="A507" s="9" t="s">
        <v>1091</v>
      </c>
      <c r="B507" s="7" t="s">
        <v>1129</v>
      </c>
      <c r="C507" s="7" t="s">
        <v>13</v>
      </c>
      <c r="D507" s="7">
        <v>2023</v>
      </c>
      <c r="E507" s="7">
        <v>61.2</v>
      </c>
      <c r="F507" s="7">
        <v>344</v>
      </c>
      <c r="G507" s="7">
        <v>4</v>
      </c>
      <c r="H507" s="7">
        <v>10228.82</v>
      </c>
      <c r="I507" s="6">
        <v>92.02</v>
      </c>
      <c r="J507" s="7">
        <v>3.72</v>
      </c>
      <c r="K507" s="8">
        <v>10.95</v>
      </c>
      <c r="L507" t="s">
        <v>1140</v>
      </c>
    </row>
    <row r="508" spans="1:12" ht="15.5">
      <c r="A508" s="9" t="s">
        <v>1091</v>
      </c>
      <c r="B508" s="7" t="s">
        <v>1132</v>
      </c>
      <c r="C508" s="7" t="s">
        <v>62</v>
      </c>
      <c r="D508" s="7">
        <v>2023</v>
      </c>
      <c r="E508" s="7">
        <v>79.849999999999994</v>
      </c>
      <c r="F508" s="7">
        <v>67</v>
      </c>
      <c r="G508" s="7">
        <v>6</v>
      </c>
      <c r="H508" s="7">
        <v>34841</v>
      </c>
      <c r="I508" s="6">
        <v>100</v>
      </c>
      <c r="J508" s="7">
        <v>4.2</v>
      </c>
      <c r="K508" s="8">
        <v>7.32</v>
      </c>
      <c r="L508" t="s">
        <v>1141</v>
      </c>
    </row>
    <row r="509" spans="1:12" ht="15.5">
      <c r="A509" s="9" t="s">
        <v>1091</v>
      </c>
      <c r="B509" s="7" t="s">
        <v>1133</v>
      </c>
      <c r="C509" s="7" t="s">
        <v>62</v>
      </c>
      <c r="D509" s="7">
        <v>2023</v>
      </c>
      <c r="E509" s="7">
        <v>70.83</v>
      </c>
      <c r="F509" s="7">
        <v>89</v>
      </c>
      <c r="G509" s="7">
        <v>6</v>
      </c>
      <c r="H509" s="7">
        <v>1149047</v>
      </c>
      <c r="I509" s="6">
        <v>99.99</v>
      </c>
      <c r="J509" s="7">
        <v>4.8600000000000003</v>
      </c>
      <c r="K509" s="8">
        <v>7.56</v>
      </c>
      <c r="L509" t="s">
        <v>1140</v>
      </c>
    </row>
    <row r="510" spans="1:12" ht="15.5">
      <c r="A510" s="9" t="s">
        <v>1091</v>
      </c>
      <c r="B510" s="7" t="s">
        <v>1134</v>
      </c>
      <c r="C510" s="7" t="s">
        <v>62</v>
      </c>
      <c r="D510" s="7">
        <v>2023</v>
      </c>
      <c r="E510" s="7">
        <v>87.19</v>
      </c>
      <c r="F510" s="7">
        <v>33</v>
      </c>
      <c r="G510" s="7">
        <v>6</v>
      </c>
      <c r="H510" s="7">
        <v>231046</v>
      </c>
      <c r="I510" s="6">
        <v>100</v>
      </c>
      <c r="J510" s="7">
        <v>4.22</v>
      </c>
      <c r="K510" s="8">
        <v>9.09</v>
      </c>
      <c r="L510" t="s">
        <v>1141</v>
      </c>
    </row>
    <row r="511" spans="1:12" ht="15.5">
      <c r="A511" s="9" t="s">
        <v>1091</v>
      </c>
      <c r="B511" s="7" t="s">
        <v>1135</v>
      </c>
      <c r="C511" s="7" t="s">
        <v>62</v>
      </c>
      <c r="D511" s="7">
        <v>2023</v>
      </c>
      <c r="E511" s="7">
        <v>75.819999999999993</v>
      </c>
      <c r="F511" s="7">
        <v>81</v>
      </c>
      <c r="G511" s="7">
        <v>6</v>
      </c>
      <c r="H511" s="7">
        <v>585491</v>
      </c>
      <c r="I511" s="6">
        <v>99.96</v>
      </c>
      <c r="J511" s="7">
        <v>3.98</v>
      </c>
      <c r="K511" s="8">
        <v>9.7799999999999994</v>
      </c>
      <c r="L511" t="s">
        <v>1141</v>
      </c>
    </row>
    <row r="512" spans="1:12" ht="15.5">
      <c r="A512" s="9" t="s">
        <v>1091</v>
      </c>
      <c r="B512" s="7" t="s">
        <v>1136</v>
      </c>
      <c r="C512" s="7" t="s">
        <v>62</v>
      </c>
      <c r="D512" s="7">
        <v>2023</v>
      </c>
      <c r="E512" s="7">
        <v>87.8</v>
      </c>
      <c r="F512" s="7">
        <v>28</v>
      </c>
      <c r="G512" s="7">
        <v>6</v>
      </c>
      <c r="H512" s="7">
        <v>634259</v>
      </c>
      <c r="I512" s="6">
        <v>99.99</v>
      </c>
      <c r="J512" s="7">
        <v>5.04</v>
      </c>
      <c r="K512" s="8">
        <v>7.3</v>
      </c>
      <c r="L512" t="s">
        <v>1141</v>
      </c>
    </row>
    <row r="513" spans="1:12" ht="15.5">
      <c r="A513" s="9" t="s">
        <v>1091</v>
      </c>
      <c r="B513" s="7" t="s">
        <v>1137</v>
      </c>
      <c r="C513" s="7" t="s">
        <v>62</v>
      </c>
      <c r="D513" s="7">
        <v>2023</v>
      </c>
      <c r="E513" s="7">
        <v>87.25</v>
      </c>
      <c r="F513" s="7">
        <v>32</v>
      </c>
      <c r="G513" s="7">
        <v>6</v>
      </c>
      <c r="H513" s="7">
        <v>17769.03</v>
      </c>
      <c r="I513" s="6">
        <v>100</v>
      </c>
      <c r="J513" s="7">
        <v>4.75</v>
      </c>
      <c r="K513" s="8">
        <v>11.5</v>
      </c>
      <c r="L513" t="s">
        <v>1141</v>
      </c>
    </row>
    <row r="514" spans="1:12" ht="15.5">
      <c r="A514" s="9" t="s">
        <v>1091</v>
      </c>
      <c r="B514" s="7" t="s">
        <v>1138</v>
      </c>
      <c r="C514" s="7" t="s">
        <v>62</v>
      </c>
      <c r="D514" s="7">
        <v>2023</v>
      </c>
      <c r="E514" s="7">
        <v>69.900000000000006</v>
      </c>
      <c r="F514" s="7">
        <v>90</v>
      </c>
      <c r="G514" s="7">
        <v>5</v>
      </c>
      <c r="H514" s="7">
        <v>9647.98</v>
      </c>
      <c r="I514" s="6">
        <v>99.59</v>
      </c>
      <c r="J514" s="7">
        <v>5.09</v>
      </c>
      <c r="K514" s="8">
        <v>7.45</v>
      </c>
      <c r="L514" t="s">
        <v>1140</v>
      </c>
    </row>
    <row r="515" spans="1:12" ht="15.5">
      <c r="A515" s="12" t="s">
        <v>1091</v>
      </c>
      <c r="B515" s="13" t="s">
        <v>1139</v>
      </c>
      <c r="C515" s="13" t="s">
        <v>62</v>
      </c>
      <c r="D515" s="13">
        <v>2023</v>
      </c>
      <c r="E515" s="13">
        <v>65.13</v>
      </c>
      <c r="F515" s="13">
        <v>95</v>
      </c>
      <c r="G515" s="13">
        <v>5</v>
      </c>
      <c r="H515" s="13"/>
      <c r="I515" s="16">
        <v>98.87</v>
      </c>
      <c r="J515" s="13">
        <v>3.69</v>
      </c>
      <c r="K515" s="14">
        <v>9.66</v>
      </c>
      <c r="L515" t="s">
        <v>1140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5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/>
  <cols>
    <col min="1" max="1" width="21.6328125" customWidth="1"/>
    <col min="2" max="2" width="21.90625" customWidth="1"/>
    <col min="7" max="7" width="11.7265625" customWidth="1"/>
    <col min="9" max="9" width="16.36328125" customWidth="1"/>
    <col min="10" max="10" width="16" customWidth="1"/>
    <col min="11" max="11" width="15.36328125" customWidth="1"/>
    <col min="20" max="20" width="25.453125" customWidth="1"/>
  </cols>
  <sheetData>
    <row r="1" spans="1:12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3"/>
    </row>
    <row r="2" spans="1:12" ht="15.5">
      <c r="A2" s="4" t="s">
        <v>11</v>
      </c>
      <c r="B2" s="5" t="s">
        <v>12</v>
      </c>
      <c r="C2" s="5" t="s">
        <v>13</v>
      </c>
      <c r="D2" s="5">
        <v>2023</v>
      </c>
      <c r="E2" s="5">
        <v>72.510000000000005</v>
      </c>
      <c r="F2" s="5">
        <v>273</v>
      </c>
      <c r="G2" s="5">
        <v>5</v>
      </c>
      <c r="H2" s="6">
        <v>25805.55</v>
      </c>
      <c r="I2" s="6" t="s">
        <v>14</v>
      </c>
      <c r="J2" s="7" t="s">
        <v>15</v>
      </c>
      <c r="K2" s="8">
        <v>10.91</v>
      </c>
      <c r="L2" s="7">
        <f ca="1">IFERROR(__xludf.DUMMYFUNCTION("unique(F2:F515)"),273)</f>
        <v>273</v>
      </c>
    </row>
    <row r="3" spans="1:12" ht="15.5">
      <c r="A3" s="9" t="s">
        <v>11</v>
      </c>
      <c r="B3" s="7" t="s">
        <v>16</v>
      </c>
      <c r="C3" s="7" t="s">
        <v>13</v>
      </c>
      <c r="D3" s="7">
        <v>2023</v>
      </c>
      <c r="E3" s="7">
        <v>47.06</v>
      </c>
      <c r="F3" s="7">
        <v>390</v>
      </c>
      <c r="G3" s="7">
        <v>2</v>
      </c>
      <c r="H3" s="6">
        <v>2775.11</v>
      </c>
      <c r="I3" s="6" t="s">
        <v>17</v>
      </c>
      <c r="J3" s="7" t="s">
        <v>18</v>
      </c>
      <c r="K3" s="8">
        <v>7.31</v>
      </c>
      <c r="L3" s="7">
        <f ca="1">IFERROR(__xludf.DUMMYFUNCTION("""COMPUTED_VALUE"""),390)</f>
        <v>390</v>
      </c>
    </row>
    <row r="4" spans="1:12" ht="15.5">
      <c r="A4" s="9" t="s">
        <v>11</v>
      </c>
      <c r="B4" s="7" t="s">
        <v>19</v>
      </c>
      <c r="C4" s="7" t="s">
        <v>13</v>
      </c>
      <c r="D4" s="7">
        <v>2023</v>
      </c>
      <c r="E4" s="7">
        <v>71.11</v>
      </c>
      <c r="F4" s="7">
        <v>287</v>
      </c>
      <c r="G4" s="7">
        <v>5</v>
      </c>
      <c r="H4" s="6">
        <v>49504.18</v>
      </c>
      <c r="I4" s="6">
        <v>100</v>
      </c>
      <c r="J4" s="7" t="s">
        <v>20</v>
      </c>
      <c r="K4" s="8">
        <v>13.7</v>
      </c>
      <c r="L4" s="7">
        <f ca="1">IFERROR(__xludf.DUMMYFUNCTION("""COMPUTED_VALUE"""),287)</f>
        <v>287</v>
      </c>
    </row>
    <row r="5" spans="1:12" ht="15.5">
      <c r="A5" s="9" t="s">
        <v>11</v>
      </c>
      <c r="B5" s="7" t="s">
        <v>21</v>
      </c>
      <c r="C5" s="7" t="s">
        <v>13</v>
      </c>
      <c r="D5" s="7">
        <v>2023</v>
      </c>
      <c r="E5" s="7">
        <v>78.47</v>
      </c>
      <c r="F5" s="7">
        <v>184</v>
      </c>
      <c r="G5" s="7">
        <v>6</v>
      </c>
      <c r="H5" s="6">
        <v>67761.649999999994</v>
      </c>
      <c r="I5" s="6">
        <v>100</v>
      </c>
      <c r="J5" s="7" t="s">
        <v>22</v>
      </c>
      <c r="K5" s="8">
        <v>12.97</v>
      </c>
      <c r="L5" s="7">
        <f ca="1">IFERROR(__xludf.DUMMYFUNCTION("""COMPUTED_VALUE"""),184)</f>
        <v>184</v>
      </c>
    </row>
    <row r="6" spans="1:12" ht="15.5">
      <c r="A6" s="9" t="s">
        <v>11</v>
      </c>
      <c r="B6" s="7" t="s">
        <v>23</v>
      </c>
      <c r="C6" s="7" t="s">
        <v>13</v>
      </c>
      <c r="D6" s="7">
        <v>2023</v>
      </c>
      <c r="E6" s="7">
        <v>75.78</v>
      </c>
      <c r="F6" s="7">
        <v>232</v>
      </c>
      <c r="G6" s="7">
        <v>6</v>
      </c>
      <c r="H6" s="6">
        <v>107275.12</v>
      </c>
      <c r="I6" s="6" t="s">
        <v>24</v>
      </c>
      <c r="J6" s="7" t="s">
        <v>25</v>
      </c>
      <c r="K6" s="8">
        <v>8.61</v>
      </c>
      <c r="L6" s="7">
        <f ca="1">IFERROR(__xludf.DUMMYFUNCTION("""COMPUTED_VALUE"""),232)</f>
        <v>232</v>
      </c>
    </row>
    <row r="7" spans="1:12" ht="15.5">
      <c r="A7" s="9" t="s">
        <v>11</v>
      </c>
      <c r="B7" s="7" t="s">
        <v>26</v>
      </c>
      <c r="C7" s="7" t="s">
        <v>13</v>
      </c>
      <c r="D7" s="7">
        <v>2023</v>
      </c>
      <c r="E7" s="7">
        <v>65.569999999999993</v>
      </c>
      <c r="F7" s="7">
        <v>327</v>
      </c>
      <c r="G7" s="7">
        <v>4</v>
      </c>
      <c r="H7" s="6">
        <v>14793.04</v>
      </c>
      <c r="I7" s="6" t="s">
        <v>27</v>
      </c>
      <c r="J7" s="7" t="s">
        <v>28</v>
      </c>
      <c r="K7" s="8">
        <v>8.61</v>
      </c>
      <c r="L7" s="7">
        <f ca="1">IFERROR(__xludf.DUMMYFUNCTION("""COMPUTED_VALUE"""),327)</f>
        <v>327</v>
      </c>
    </row>
    <row r="8" spans="1:12" ht="15.5">
      <c r="A8" s="9" t="s">
        <v>11</v>
      </c>
      <c r="B8" s="7" t="s">
        <v>29</v>
      </c>
      <c r="C8" s="7" t="s">
        <v>13</v>
      </c>
      <c r="D8" s="7">
        <v>2023</v>
      </c>
      <c r="E8" s="7">
        <v>79.95</v>
      </c>
      <c r="F8" s="7">
        <v>159</v>
      </c>
      <c r="G8" s="7">
        <v>6</v>
      </c>
      <c r="H8" s="6">
        <v>52366.64</v>
      </c>
      <c r="I8" s="6">
        <v>100</v>
      </c>
      <c r="J8" s="7" t="s">
        <v>30</v>
      </c>
      <c r="K8" s="8">
        <v>6.16</v>
      </c>
      <c r="L8" s="7">
        <f ca="1">IFERROR(__xludf.DUMMYFUNCTION("""COMPUTED_VALUE"""),159)</f>
        <v>159</v>
      </c>
    </row>
    <row r="9" spans="1:12" ht="15.5">
      <c r="A9" s="9" t="s">
        <v>11</v>
      </c>
      <c r="B9" s="7" t="s">
        <v>31</v>
      </c>
      <c r="C9" s="7" t="s">
        <v>13</v>
      </c>
      <c r="D9" s="7">
        <v>2023</v>
      </c>
      <c r="E9" s="7">
        <v>85.62</v>
      </c>
      <c r="F9" s="7">
        <v>43</v>
      </c>
      <c r="G9" s="7">
        <v>6</v>
      </c>
      <c r="H9" s="6">
        <v>155477.39000000001</v>
      </c>
      <c r="I9" s="6" t="s">
        <v>32</v>
      </c>
      <c r="J9" s="7" t="s">
        <v>33</v>
      </c>
      <c r="K9" s="8">
        <v>8.58</v>
      </c>
      <c r="L9" s="7">
        <f ca="1">IFERROR(__xludf.DUMMYFUNCTION("""COMPUTED_VALUE"""),43)</f>
        <v>43</v>
      </c>
    </row>
    <row r="10" spans="1:12" ht="15.5">
      <c r="A10" s="9" t="s">
        <v>11</v>
      </c>
      <c r="B10" s="7" t="s">
        <v>34</v>
      </c>
      <c r="C10" s="7" t="s">
        <v>13</v>
      </c>
      <c r="D10" s="7">
        <v>2023</v>
      </c>
      <c r="E10" s="7">
        <v>75.69</v>
      </c>
      <c r="F10" s="7">
        <v>234</v>
      </c>
      <c r="G10" s="7">
        <v>6</v>
      </c>
      <c r="H10" s="6">
        <v>220582.38</v>
      </c>
      <c r="I10" s="6" t="s">
        <v>35</v>
      </c>
      <c r="J10" s="7" t="s">
        <v>36</v>
      </c>
      <c r="K10" s="8">
        <v>9.1199999999999992</v>
      </c>
      <c r="L10" s="7">
        <f ca="1">IFERROR(__xludf.DUMMYFUNCTION("""COMPUTED_VALUE"""),234)</f>
        <v>234</v>
      </c>
    </row>
    <row r="11" spans="1:12" ht="15.5">
      <c r="A11" s="9" t="s">
        <v>11</v>
      </c>
      <c r="B11" s="7" t="s">
        <v>37</v>
      </c>
      <c r="C11" s="7" t="s">
        <v>13</v>
      </c>
      <c r="D11" s="7">
        <v>2023</v>
      </c>
      <c r="E11" s="7">
        <v>81.34</v>
      </c>
      <c r="F11" s="7">
        <v>135</v>
      </c>
      <c r="G11" s="7">
        <v>6</v>
      </c>
      <c r="H11" s="6">
        <v>131436.31</v>
      </c>
      <c r="I11" s="6" t="s">
        <v>38</v>
      </c>
      <c r="J11" s="7" t="s">
        <v>39</v>
      </c>
      <c r="K11" s="8">
        <v>7.62</v>
      </c>
      <c r="L11" s="7">
        <f ca="1">IFERROR(__xludf.DUMMYFUNCTION("""COMPUTED_VALUE"""),135)</f>
        <v>135</v>
      </c>
    </row>
    <row r="12" spans="1:12" ht="15.5">
      <c r="A12" s="9" t="s">
        <v>11</v>
      </c>
      <c r="B12" s="10" t="s">
        <v>40</v>
      </c>
      <c r="C12" s="7" t="s">
        <v>13</v>
      </c>
      <c r="D12" s="7">
        <v>2023</v>
      </c>
      <c r="E12" s="7">
        <v>76.66</v>
      </c>
      <c r="F12" s="7">
        <v>219</v>
      </c>
      <c r="G12" s="7">
        <v>6</v>
      </c>
      <c r="H12" s="6">
        <v>238087.58</v>
      </c>
      <c r="I12" s="6" t="s">
        <v>41</v>
      </c>
      <c r="J12" s="7" t="s">
        <v>42</v>
      </c>
      <c r="K12" s="8">
        <v>14.24</v>
      </c>
      <c r="L12" s="7">
        <f ca="1">IFERROR(__xludf.DUMMYFUNCTION("""COMPUTED_VALUE"""),219)</f>
        <v>219</v>
      </c>
    </row>
    <row r="13" spans="1:12" ht="15.5">
      <c r="A13" s="9" t="s">
        <v>11</v>
      </c>
      <c r="B13" s="7" t="s">
        <v>43</v>
      </c>
      <c r="C13" s="7" t="s">
        <v>13</v>
      </c>
      <c r="D13" s="7">
        <v>2023</v>
      </c>
      <c r="E13" s="7">
        <v>76.930000000000007</v>
      </c>
      <c r="F13" s="7">
        <v>211</v>
      </c>
      <c r="G13" s="7">
        <v>6</v>
      </c>
      <c r="H13" s="6">
        <v>54743.27</v>
      </c>
      <c r="I13" s="6">
        <v>100</v>
      </c>
      <c r="J13" s="7" t="s">
        <v>44</v>
      </c>
      <c r="K13" s="8">
        <v>9.64</v>
      </c>
      <c r="L13" s="7">
        <f ca="1">IFERROR(__xludf.DUMMYFUNCTION("""COMPUTED_VALUE"""),211)</f>
        <v>211</v>
      </c>
    </row>
    <row r="14" spans="1:12" ht="15.5">
      <c r="A14" s="9" t="s">
        <v>11</v>
      </c>
      <c r="B14" s="7" t="s">
        <v>45</v>
      </c>
      <c r="C14" s="7" t="s">
        <v>13</v>
      </c>
      <c r="D14" s="7">
        <v>2023</v>
      </c>
      <c r="E14" s="7">
        <v>75.489999999999995</v>
      </c>
      <c r="F14" s="7">
        <v>238</v>
      </c>
      <c r="G14" s="7">
        <v>5</v>
      </c>
      <c r="H14" s="6">
        <v>24815.72</v>
      </c>
      <c r="I14" s="6" t="s">
        <v>46</v>
      </c>
      <c r="J14" s="7" t="s">
        <v>47</v>
      </c>
      <c r="K14" s="8">
        <v>9.18</v>
      </c>
      <c r="L14" s="7">
        <f ca="1">IFERROR(__xludf.DUMMYFUNCTION("""COMPUTED_VALUE"""),238)</f>
        <v>238</v>
      </c>
    </row>
    <row r="15" spans="1:12" ht="15.5">
      <c r="A15" s="9" t="s">
        <v>11</v>
      </c>
      <c r="B15" s="7" t="s">
        <v>48</v>
      </c>
      <c r="C15" s="7" t="s">
        <v>13</v>
      </c>
      <c r="D15" s="7">
        <v>2023</v>
      </c>
      <c r="E15" s="7">
        <v>81.41</v>
      </c>
      <c r="F15" s="7">
        <v>129</v>
      </c>
      <c r="G15" s="7">
        <v>6</v>
      </c>
      <c r="H15" s="6">
        <v>62428.72</v>
      </c>
      <c r="I15" s="6" t="s">
        <v>49</v>
      </c>
      <c r="J15" s="7" t="s">
        <v>50</v>
      </c>
      <c r="K15" s="8">
        <v>12.05</v>
      </c>
      <c r="L15" s="7">
        <f ca="1">IFERROR(__xludf.DUMMYFUNCTION("""COMPUTED_VALUE"""),129)</f>
        <v>129</v>
      </c>
    </row>
    <row r="16" spans="1:12" ht="15.5">
      <c r="A16" s="9" t="s">
        <v>11</v>
      </c>
      <c r="B16" s="7" t="s">
        <v>51</v>
      </c>
      <c r="C16" s="7" t="s">
        <v>13</v>
      </c>
      <c r="D16" s="7">
        <v>2023</v>
      </c>
      <c r="E16" s="7">
        <v>76.290000000000006</v>
      </c>
      <c r="F16" s="7">
        <v>226</v>
      </c>
      <c r="G16" s="7">
        <v>6</v>
      </c>
      <c r="H16" s="6">
        <v>42266.15</v>
      </c>
      <c r="I16" s="6" t="s">
        <v>14</v>
      </c>
      <c r="J16" s="7" t="s">
        <v>52</v>
      </c>
      <c r="K16" s="8">
        <v>3.43</v>
      </c>
      <c r="L16" s="7">
        <f ca="1">IFERROR(__xludf.DUMMYFUNCTION("""COMPUTED_VALUE"""),226)</f>
        <v>226</v>
      </c>
    </row>
    <row r="17" spans="1:23" ht="15.5">
      <c r="A17" s="9" t="s">
        <v>11</v>
      </c>
      <c r="B17" s="7" t="s">
        <v>53</v>
      </c>
      <c r="C17" s="7" t="s">
        <v>13</v>
      </c>
      <c r="D17" s="7">
        <v>2023</v>
      </c>
      <c r="E17" s="7">
        <v>80.22</v>
      </c>
      <c r="F17" s="7">
        <v>156</v>
      </c>
      <c r="G17" s="7">
        <v>6</v>
      </c>
      <c r="H17" s="6">
        <v>46061.66</v>
      </c>
      <c r="I17" s="6" t="s">
        <v>54</v>
      </c>
      <c r="J17" s="7" t="s">
        <v>55</v>
      </c>
      <c r="K17" s="8">
        <v>9.44</v>
      </c>
      <c r="L17" s="7">
        <f ca="1">IFERROR(__xludf.DUMMYFUNCTION("""COMPUTED_VALUE"""),156)</f>
        <v>156</v>
      </c>
    </row>
    <row r="18" spans="1:23" ht="15.5">
      <c r="A18" s="9" t="s">
        <v>11</v>
      </c>
      <c r="B18" s="7" t="s">
        <v>56</v>
      </c>
      <c r="C18" s="7" t="s">
        <v>13</v>
      </c>
      <c r="D18" s="7">
        <v>2023</v>
      </c>
      <c r="E18" s="7">
        <v>45.67</v>
      </c>
      <c r="F18" s="7">
        <v>392</v>
      </c>
      <c r="G18" s="7">
        <v>2</v>
      </c>
      <c r="H18" s="6">
        <v>1726.42</v>
      </c>
      <c r="I18" s="6" t="s">
        <v>57</v>
      </c>
      <c r="J18" s="7" t="s">
        <v>58</v>
      </c>
      <c r="K18" s="8">
        <v>7.22</v>
      </c>
      <c r="L18" s="7">
        <f ca="1">IFERROR(__xludf.DUMMYFUNCTION("""COMPUTED_VALUE"""),392)</f>
        <v>392</v>
      </c>
    </row>
    <row r="19" spans="1:23" ht="15.5">
      <c r="A19" s="9" t="s">
        <v>11</v>
      </c>
      <c r="B19" s="7" t="s">
        <v>59</v>
      </c>
      <c r="C19" s="7" t="s">
        <v>13</v>
      </c>
      <c r="D19" s="7">
        <v>2023</v>
      </c>
      <c r="E19" s="7">
        <v>77.69</v>
      </c>
      <c r="F19" s="7">
        <v>197</v>
      </c>
      <c r="G19" s="7">
        <v>6</v>
      </c>
      <c r="H19" s="6">
        <v>79480.06</v>
      </c>
      <c r="I19" s="6" t="s">
        <v>35</v>
      </c>
      <c r="J19" s="7" t="s">
        <v>60</v>
      </c>
      <c r="K19" s="8">
        <v>9.4700000000000006</v>
      </c>
      <c r="L19" s="7">
        <f ca="1">IFERROR(__xludf.DUMMYFUNCTION("""COMPUTED_VALUE"""),197)</f>
        <v>197</v>
      </c>
    </row>
    <row r="20" spans="1:23" ht="15.5">
      <c r="A20" s="9" t="s">
        <v>11</v>
      </c>
      <c r="B20" s="7" t="s">
        <v>61</v>
      </c>
      <c r="C20" s="7" t="s">
        <v>62</v>
      </c>
      <c r="D20" s="7">
        <v>2023</v>
      </c>
      <c r="E20" s="7">
        <v>86.97</v>
      </c>
      <c r="F20" s="7">
        <v>35</v>
      </c>
      <c r="G20" s="7">
        <v>6</v>
      </c>
      <c r="H20" s="6">
        <v>50.14</v>
      </c>
      <c r="I20" s="6">
        <v>100</v>
      </c>
      <c r="J20" s="7" t="s">
        <v>63</v>
      </c>
      <c r="K20" s="8">
        <v>5.47</v>
      </c>
      <c r="L20" s="7">
        <f ca="1">IFERROR(__xludf.DUMMYFUNCTION("""COMPUTED_VALUE"""),35)</f>
        <v>35</v>
      </c>
    </row>
    <row r="21" spans="1:23" ht="15.5">
      <c r="A21" s="9" t="s">
        <v>11</v>
      </c>
      <c r="B21" s="7" t="s">
        <v>64</v>
      </c>
      <c r="C21" s="7" t="s">
        <v>62</v>
      </c>
      <c r="D21" s="7">
        <v>2023</v>
      </c>
      <c r="E21" s="7">
        <v>73.88</v>
      </c>
      <c r="F21" s="7">
        <v>85</v>
      </c>
      <c r="G21" s="7">
        <v>6</v>
      </c>
      <c r="H21" s="11"/>
      <c r="I21" s="6" t="s">
        <v>65</v>
      </c>
      <c r="J21" s="7" t="s">
        <v>66</v>
      </c>
      <c r="K21" s="8">
        <v>9.01</v>
      </c>
      <c r="L21" s="7">
        <f ca="1">IFERROR(__xludf.DUMMYFUNCTION("""COMPUTED_VALUE"""),85)</f>
        <v>85</v>
      </c>
    </row>
    <row r="22" spans="1:23" ht="15.5">
      <c r="A22" s="9" t="s">
        <v>11</v>
      </c>
      <c r="B22" s="7" t="s">
        <v>67</v>
      </c>
      <c r="C22" s="7" t="s">
        <v>62</v>
      </c>
      <c r="D22" s="7">
        <v>2023</v>
      </c>
      <c r="E22" s="7">
        <v>76.95</v>
      </c>
      <c r="F22" s="7">
        <v>77</v>
      </c>
      <c r="G22" s="7">
        <v>6</v>
      </c>
      <c r="H22" s="6">
        <v>7137.31</v>
      </c>
      <c r="I22" s="6">
        <v>100</v>
      </c>
      <c r="J22" s="7" t="s">
        <v>68</v>
      </c>
      <c r="K22" s="8">
        <v>9.89</v>
      </c>
      <c r="L22" s="7">
        <f ca="1">IFERROR(__xludf.DUMMYFUNCTION("""COMPUTED_VALUE"""),77)</f>
        <v>77</v>
      </c>
      <c r="V22" s="7">
        <f ca="1">IFERROR(__xludf.DUMMYFUNCTION("unique(G2:G515)"),5)</f>
        <v>5</v>
      </c>
      <c r="W22" s="7">
        <f t="shared" ref="W22:W27" ca="1" si="0">COUNTIF($G$2:$G$515,V22)</f>
        <v>83</v>
      </c>
    </row>
    <row r="23" spans="1:23" ht="15.5">
      <c r="A23" s="9" t="s">
        <v>11</v>
      </c>
      <c r="B23" s="7" t="s">
        <v>69</v>
      </c>
      <c r="C23" s="7" t="s">
        <v>62</v>
      </c>
      <c r="D23" s="7">
        <v>2023</v>
      </c>
      <c r="E23" s="7">
        <v>80.67</v>
      </c>
      <c r="F23" s="7">
        <v>62</v>
      </c>
      <c r="G23" s="7">
        <v>6</v>
      </c>
      <c r="H23" s="6">
        <v>8796.74</v>
      </c>
      <c r="I23" s="6">
        <v>100</v>
      </c>
      <c r="J23" s="7" t="s">
        <v>70</v>
      </c>
      <c r="K23" s="8">
        <v>6.09</v>
      </c>
      <c r="L23" s="7">
        <f ca="1">IFERROR(__xludf.DUMMYFUNCTION("""COMPUTED_VALUE"""),62)</f>
        <v>62</v>
      </c>
      <c r="V23" s="7">
        <f ca="1">IFERROR(__xludf.DUMMYFUNCTION("""COMPUTED_VALUE"""),2)</f>
        <v>2</v>
      </c>
      <c r="W23" s="7">
        <f t="shared" ca="1" si="0"/>
        <v>18</v>
      </c>
    </row>
    <row r="24" spans="1:23" ht="15.5">
      <c r="A24" s="12" t="s">
        <v>11</v>
      </c>
      <c r="B24" s="13" t="s">
        <v>71</v>
      </c>
      <c r="C24" s="13" t="s">
        <v>62</v>
      </c>
      <c r="D24" s="13">
        <v>2023</v>
      </c>
      <c r="E24" s="13">
        <v>36.090000000000003</v>
      </c>
      <c r="F24" s="13">
        <v>98</v>
      </c>
      <c r="G24" s="13">
        <v>2</v>
      </c>
      <c r="H24" s="6">
        <v>102.97</v>
      </c>
      <c r="I24" s="6">
        <v>100</v>
      </c>
      <c r="J24" s="13" t="s">
        <v>72</v>
      </c>
      <c r="K24" s="14">
        <v>7.3</v>
      </c>
      <c r="L24" s="7">
        <f ca="1">IFERROR(__xludf.DUMMYFUNCTION("""COMPUTED_VALUE"""),98)</f>
        <v>98</v>
      </c>
      <c r="V24" s="7">
        <f ca="1">IFERROR(__xludf.DUMMYFUNCTION("""COMPUTED_VALUE"""),6)</f>
        <v>6</v>
      </c>
      <c r="W24" s="7">
        <f t="shared" ca="1" si="0"/>
        <v>324</v>
      </c>
    </row>
    <row r="25" spans="1:23" ht="15.5">
      <c r="A25" s="4" t="s">
        <v>73</v>
      </c>
      <c r="B25" s="5" t="s">
        <v>74</v>
      </c>
      <c r="C25" s="5" t="s">
        <v>13</v>
      </c>
      <c r="D25" s="5">
        <v>2023</v>
      </c>
      <c r="E25" s="5">
        <v>86.59</v>
      </c>
      <c r="F25" s="5">
        <v>33</v>
      </c>
      <c r="G25" s="5">
        <v>6</v>
      </c>
      <c r="H25" s="5">
        <v>63854</v>
      </c>
      <c r="I25" s="15">
        <v>100</v>
      </c>
      <c r="J25" s="5" t="s">
        <v>75</v>
      </c>
      <c r="K25" s="8">
        <v>7.6</v>
      </c>
      <c r="L25" s="7">
        <f ca="1">IFERROR(__xludf.DUMMYFUNCTION("""COMPUTED_VALUE"""),33)</f>
        <v>33</v>
      </c>
      <c r="V25" s="7">
        <f ca="1">IFERROR(__xludf.DUMMYFUNCTION("""COMPUTED_VALUE"""),4)</f>
        <v>4</v>
      </c>
      <c r="W25" s="7">
        <f t="shared" ca="1" si="0"/>
        <v>39</v>
      </c>
    </row>
    <row r="26" spans="1:23" ht="15.5">
      <c r="A26" s="9" t="s">
        <v>73</v>
      </c>
      <c r="B26" s="7" t="s">
        <v>76</v>
      </c>
      <c r="C26" s="7" t="s">
        <v>13</v>
      </c>
      <c r="D26" s="7">
        <v>2023</v>
      </c>
      <c r="E26" s="7">
        <v>90.54</v>
      </c>
      <c r="F26" s="7">
        <v>4</v>
      </c>
      <c r="G26" s="7">
        <v>6</v>
      </c>
      <c r="H26" s="7">
        <v>169512</v>
      </c>
      <c r="I26" s="6">
        <v>100</v>
      </c>
      <c r="J26" s="7" t="s">
        <v>77</v>
      </c>
      <c r="K26" s="8">
        <v>3.15</v>
      </c>
      <c r="L26" s="7">
        <f ca="1">IFERROR(__xludf.DUMMYFUNCTION("""COMPUTED_VALUE"""),4)</f>
        <v>4</v>
      </c>
      <c r="V26" s="7">
        <f ca="1">IFERROR(__xludf.DUMMYFUNCTION("""COMPUTED_VALUE"""),3)</f>
        <v>3</v>
      </c>
      <c r="W26" s="7">
        <f t="shared" ca="1" si="0"/>
        <v>29</v>
      </c>
    </row>
    <row r="27" spans="1:23" ht="15.5">
      <c r="A27" s="9" t="s">
        <v>73</v>
      </c>
      <c r="B27" s="7" t="s">
        <v>78</v>
      </c>
      <c r="C27" s="7" t="s">
        <v>13</v>
      </c>
      <c r="D27" s="7">
        <v>2023</v>
      </c>
      <c r="E27" s="7">
        <v>91.59</v>
      </c>
      <c r="F27" s="7">
        <v>2</v>
      </c>
      <c r="G27" s="7">
        <v>6</v>
      </c>
      <c r="H27" s="7">
        <v>104711</v>
      </c>
      <c r="I27" s="6">
        <v>100</v>
      </c>
      <c r="J27" s="7" t="s">
        <v>79</v>
      </c>
      <c r="K27" s="8">
        <v>1.23</v>
      </c>
      <c r="L27" s="7">
        <f ca="1">IFERROR(__xludf.DUMMYFUNCTION("""COMPUTED_VALUE"""),2)</f>
        <v>2</v>
      </c>
      <c r="V27" s="7">
        <f ca="1">IFERROR(__xludf.DUMMYFUNCTION("""COMPUTED_VALUE"""),1)</f>
        <v>1</v>
      </c>
      <c r="W27" s="7">
        <f t="shared" ca="1" si="0"/>
        <v>21</v>
      </c>
    </row>
    <row r="28" spans="1:23" ht="15.5">
      <c r="A28" s="9" t="s">
        <v>73</v>
      </c>
      <c r="B28" s="7" t="s">
        <v>80</v>
      </c>
      <c r="C28" s="7" t="s">
        <v>13</v>
      </c>
      <c r="D28" s="7">
        <v>2023</v>
      </c>
      <c r="E28" s="7">
        <v>92.16</v>
      </c>
      <c r="F28" s="7">
        <v>1</v>
      </c>
      <c r="G28" s="7">
        <v>6</v>
      </c>
      <c r="H28" s="7">
        <v>123420</v>
      </c>
      <c r="I28" s="6">
        <v>100</v>
      </c>
      <c r="J28" s="7" t="s">
        <v>63</v>
      </c>
      <c r="K28" s="8">
        <v>1.66</v>
      </c>
      <c r="L28" s="7">
        <f ca="1">IFERROR(__xludf.DUMMYFUNCTION("""COMPUTED_VALUE"""),1)</f>
        <v>1</v>
      </c>
    </row>
    <row r="29" spans="1:23" ht="15.5">
      <c r="A29" s="9" t="s">
        <v>73</v>
      </c>
      <c r="B29" s="7" t="s">
        <v>81</v>
      </c>
      <c r="C29" s="7" t="s">
        <v>13</v>
      </c>
      <c r="D29" s="7">
        <v>2023</v>
      </c>
      <c r="E29" s="7">
        <v>87.53</v>
      </c>
      <c r="F29" s="7">
        <v>19</v>
      </c>
      <c r="G29" s="7">
        <v>6</v>
      </c>
      <c r="H29" s="7">
        <v>28592</v>
      </c>
      <c r="I29" s="6">
        <v>100</v>
      </c>
      <c r="J29" s="7" t="s">
        <v>82</v>
      </c>
      <c r="K29" s="8">
        <v>4.9400000000000004</v>
      </c>
      <c r="L29" s="7">
        <f ca="1">IFERROR(__xludf.DUMMYFUNCTION("""COMPUTED_VALUE"""),19)</f>
        <v>19</v>
      </c>
    </row>
    <row r="30" spans="1:23" ht="15.5">
      <c r="A30" s="9" t="s">
        <v>73</v>
      </c>
      <c r="B30" s="7" t="s">
        <v>83</v>
      </c>
      <c r="C30" s="7" t="s">
        <v>13</v>
      </c>
      <c r="D30" s="7">
        <v>2023</v>
      </c>
      <c r="E30" s="7">
        <v>77.349999999999994</v>
      </c>
      <c r="F30" s="7">
        <v>202</v>
      </c>
      <c r="G30" s="7">
        <v>6</v>
      </c>
      <c r="H30" s="7">
        <v>20576</v>
      </c>
      <c r="I30" s="6">
        <v>100</v>
      </c>
      <c r="J30" s="7" t="s">
        <v>84</v>
      </c>
      <c r="K30" s="8">
        <v>3.71</v>
      </c>
      <c r="L30" s="7">
        <f ca="1">IFERROR(__xludf.DUMMYFUNCTION("""COMPUTED_VALUE"""),202)</f>
        <v>202</v>
      </c>
    </row>
    <row r="31" spans="1:23" ht="15.5">
      <c r="A31" s="9" t="s">
        <v>73</v>
      </c>
      <c r="B31" s="7" t="s">
        <v>85</v>
      </c>
      <c r="C31" s="7" t="s">
        <v>13</v>
      </c>
      <c r="D31" s="7">
        <v>2023</v>
      </c>
      <c r="E31" s="7">
        <v>85.28</v>
      </c>
      <c r="F31" s="7">
        <v>57</v>
      </c>
      <c r="G31" s="7">
        <v>6</v>
      </c>
      <c r="H31" s="7">
        <v>47628</v>
      </c>
      <c r="I31" s="6" t="s">
        <v>86</v>
      </c>
      <c r="J31" s="7" t="s">
        <v>87</v>
      </c>
      <c r="K31" s="8">
        <v>8.43</v>
      </c>
      <c r="L31" s="7">
        <f ca="1">IFERROR(__xludf.DUMMYFUNCTION("""COMPUTED_VALUE"""),57)</f>
        <v>57</v>
      </c>
    </row>
    <row r="32" spans="1:23" ht="15.5">
      <c r="A32" s="9" t="s">
        <v>73</v>
      </c>
      <c r="B32" s="7" t="s">
        <v>88</v>
      </c>
      <c r="C32" s="7" t="s">
        <v>13</v>
      </c>
      <c r="D32" s="7">
        <v>2023</v>
      </c>
      <c r="E32" s="7">
        <v>82.02</v>
      </c>
      <c r="F32" s="7">
        <v>118</v>
      </c>
      <c r="G32" s="7">
        <v>6</v>
      </c>
      <c r="H32" s="7">
        <v>91383</v>
      </c>
      <c r="I32" s="6" t="s">
        <v>89</v>
      </c>
      <c r="J32" s="7" t="s">
        <v>90</v>
      </c>
      <c r="K32" s="8">
        <v>7.64</v>
      </c>
      <c r="L32" s="7">
        <f ca="1">IFERROR(__xludf.DUMMYFUNCTION("""COMPUTED_VALUE"""),118)</f>
        <v>118</v>
      </c>
    </row>
    <row r="33" spans="1:12" ht="15.5">
      <c r="A33" s="12" t="s">
        <v>73</v>
      </c>
      <c r="B33" s="13" t="s">
        <v>91</v>
      </c>
      <c r="C33" s="13" t="s">
        <v>62</v>
      </c>
      <c r="D33" s="13">
        <v>2023</v>
      </c>
      <c r="E33" s="13">
        <v>95.8</v>
      </c>
      <c r="F33" s="13">
        <v>1</v>
      </c>
      <c r="G33" s="13">
        <v>6</v>
      </c>
      <c r="H33" s="13">
        <v>23904</v>
      </c>
      <c r="I33" s="16">
        <v>100</v>
      </c>
      <c r="J33" s="13" t="s">
        <v>92</v>
      </c>
      <c r="K33" s="14">
        <v>1.7</v>
      </c>
      <c r="L33" s="7">
        <f ca="1">IFERROR(__xludf.DUMMYFUNCTION("""COMPUTED_VALUE"""),243)</f>
        <v>243</v>
      </c>
    </row>
    <row r="34" spans="1:12" ht="15.5">
      <c r="A34" s="4" t="s">
        <v>93</v>
      </c>
      <c r="B34" s="5" t="s">
        <v>94</v>
      </c>
      <c r="C34" s="5" t="s">
        <v>13</v>
      </c>
      <c r="D34" s="5">
        <v>2023</v>
      </c>
      <c r="E34" s="5">
        <v>74.87</v>
      </c>
      <c r="F34" s="5">
        <v>243</v>
      </c>
      <c r="G34" s="5">
        <v>5</v>
      </c>
      <c r="H34" s="5">
        <v>486988.28</v>
      </c>
      <c r="I34" s="6" t="s">
        <v>95</v>
      </c>
      <c r="J34" s="5" t="s">
        <v>96</v>
      </c>
      <c r="K34" s="8">
        <v>4.6900000000000004</v>
      </c>
      <c r="L34" s="7">
        <f ca="1">IFERROR(__xludf.DUMMYFUNCTION("""COMPUTED_VALUE"""),274)</f>
        <v>274</v>
      </c>
    </row>
    <row r="35" spans="1:12" ht="15.5">
      <c r="A35" s="9" t="s">
        <v>93</v>
      </c>
      <c r="B35" s="7" t="s">
        <v>97</v>
      </c>
      <c r="C35" s="7" t="s">
        <v>13</v>
      </c>
      <c r="D35" s="7">
        <v>2023</v>
      </c>
      <c r="E35" s="7">
        <v>72.319999999999993</v>
      </c>
      <c r="F35" s="7">
        <v>274</v>
      </c>
      <c r="G35" s="7">
        <v>5</v>
      </c>
      <c r="H35" s="7">
        <v>401429.46</v>
      </c>
      <c r="I35" s="6" t="s">
        <v>98</v>
      </c>
      <c r="J35" s="7" t="s">
        <v>99</v>
      </c>
      <c r="K35" s="8">
        <v>4.82</v>
      </c>
      <c r="L35" s="7">
        <f ca="1">IFERROR(__xludf.DUMMYFUNCTION("""COMPUTED_VALUE"""),223)</f>
        <v>223</v>
      </c>
    </row>
    <row r="36" spans="1:12" ht="15.5">
      <c r="A36" s="9" t="s">
        <v>93</v>
      </c>
      <c r="B36" s="7" t="s">
        <v>100</v>
      </c>
      <c r="C36" s="7" t="s">
        <v>13</v>
      </c>
      <c r="D36" s="7">
        <v>2023</v>
      </c>
      <c r="E36" s="7">
        <v>76.489999999999995</v>
      </c>
      <c r="F36" s="7">
        <v>223</v>
      </c>
      <c r="G36" s="7">
        <v>6</v>
      </c>
      <c r="H36" s="7">
        <v>286244.56</v>
      </c>
      <c r="I36" s="6" t="s">
        <v>89</v>
      </c>
      <c r="J36" s="7" t="s">
        <v>101</v>
      </c>
      <c r="K36" s="8">
        <v>2.59</v>
      </c>
      <c r="L36" s="7">
        <f ca="1">IFERROR(__xludf.DUMMYFUNCTION("""COMPUTED_VALUE"""),172)</f>
        <v>172</v>
      </c>
    </row>
    <row r="37" spans="1:12" ht="15.5">
      <c r="A37" s="9" t="s">
        <v>93</v>
      </c>
      <c r="B37" s="7" t="s">
        <v>102</v>
      </c>
      <c r="C37" s="7" t="s">
        <v>13</v>
      </c>
      <c r="D37" s="7">
        <v>2023</v>
      </c>
      <c r="E37" s="7">
        <v>79.260000000000005</v>
      </c>
      <c r="F37" s="7">
        <v>172</v>
      </c>
      <c r="G37" s="7">
        <v>6</v>
      </c>
      <c r="H37" s="7">
        <v>434244.6</v>
      </c>
      <c r="I37" s="6" t="s">
        <v>103</v>
      </c>
      <c r="J37" s="7" t="s">
        <v>104</v>
      </c>
      <c r="K37" s="8">
        <v>3.23</v>
      </c>
      <c r="L37" s="7">
        <f ca="1">IFERROR(__xludf.DUMMYFUNCTION("""COMPUTED_VALUE"""),36)</f>
        <v>36</v>
      </c>
    </row>
    <row r="38" spans="1:12" ht="15.5">
      <c r="A38" s="9" t="s">
        <v>93</v>
      </c>
      <c r="B38" s="7" t="s">
        <v>105</v>
      </c>
      <c r="C38" s="7" t="s">
        <v>62</v>
      </c>
      <c r="D38" s="7">
        <v>2023</v>
      </c>
      <c r="E38" s="7">
        <v>86.39</v>
      </c>
      <c r="F38" s="7">
        <v>36</v>
      </c>
      <c r="G38" s="7">
        <v>6</v>
      </c>
      <c r="H38" s="7">
        <v>3031.77</v>
      </c>
      <c r="I38" s="6" t="s">
        <v>106</v>
      </c>
      <c r="J38" s="7" t="s">
        <v>107</v>
      </c>
      <c r="K38" s="8">
        <v>1.58</v>
      </c>
      <c r="L38" s="7">
        <f ca="1">IFERROR(__xludf.DUMMYFUNCTION("""COMPUTED_VALUE"""),59)</f>
        <v>59</v>
      </c>
    </row>
    <row r="39" spans="1:12" ht="15.5">
      <c r="A39" s="9" t="s">
        <v>93</v>
      </c>
      <c r="B39" s="7" t="s">
        <v>108</v>
      </c>
      <c r="C39" s="7" t="s">
        <v>62</v>
      </c>
      <c r="D39" s="7">
        <v>2023</v>
      </c>
      <c r="E39" s="7">
        <v>81.540000000000006</v>
      </c>
      <c r="F39" s="7">
        <v>59</v>
      </c>
      <c r="G39" s="7">
        <v>6</v>
      </c>
      <c r="H39" s="7">
        <v>8576.48</v>
      </c>
      <c r="I39" s="6" t="s">
        <v>109</v>
      </c>
      <c r="J39" s="7" t="s">
        <v>110</v>
      </c>
      <c r="K39" s="8">
        <v>2.19</v>
      </c>
      <c r="L39" s="7">
        <f ca="1">IFERROR(__xludf.DUMMYFUNCTION("""COMPUTED_VALUE"""),87)</f>
        <v>87</v>
      </c>
    </row>
    <row r="40" spans="1:12" ht="15.5">
      <c r="A40" s="9" t="s">
        <v>93</v>
      </c>
      <c r="B40" s="7" t="s">
        <v>111</v>
      </c>
      <c r="C40" s="7" t="s">
        <v>62</v>
      </c>
      <c r="D40" s="7">
        <v>2023</v>
      </c>
      <c r="E40" s="7">
        <v>71.42</v>
      </c>
      <c r="F40" s="7">
        <v>87</v>
      </c>
      <c r="G40" s="7">
        <v>6</v>
      </c>
      <c r="H40" s="7">
        <v>58250.44</v>
      </c>
      <c r="I40" s="6">
        <v>100</v>
      </c>
      <c r="J40" s="7" t="s">
        <v>112</v>
      </c>
      <c r="K40" s="8">
        <v>2.2999999999999998</v>
      </c>
      <c r="L40" s="7">
        <f ca="1">IFERROR(__xludf.DUMMYFUNCTION("""COMPUTED_VALUE"""),30)</f>
        <v>30</v>
      </c>
    </row>
    <row r="41" spans="1:12" ht="15.5">
      <c r="A41" s="12" t="s">
        <v>93</v>
      </c>
      <c r="B41" s="13" t="s">
        <v>113</v>
      </c>
      <c r="C41" s="13" t="s">
        <v>62</v>
      </c>
      <c r="D41" s="13">
        <v>2023</v>
      </c>
      <c r="E41" s="13">
        <v>87.43</v>
      </c>
      <c r="F41" s="13">
        <v>30</v>
      </c>
      <c r="G41" s="13">
        <v>6</v>
      </c>
      <c r="H41" s="13"/>
      <c r="I41" s="16" t="s">
        <v>14</v>
      </c>
      <c r="J41" s="13" t="s">
        <v>114</v>
      </c>
      <c r="K41" s="14">
        <v>1.92</v>
      </c>
      <c r="L41" s="7">
        <f ca="1">IFERROR(__xludf.DUMMYFUNCTION("""COMPUTED_VALUE"""),245)</f>
        <v>245</v>
      </c>
    </row>
    <row r="42" spans="1:12" ht="15.5">
      <c r="A42" s="4" t="s">
        <v>115</v>
      </c>
      <c r="B42" s="5" t="s">
        <v>116</v>
      </c>
      <c r="C42" s="5" t="s">
        <v>13</v>
      </c>
      <c r="D42" s="5">
        <v>2023</v>
      </c>
      <c r="E42" s="5">
        <v>74.63</v>
      </c>
      <c r="F42" s="5">
        <v>245</v>
      </c>
      <c r="G42" s="5">
        <v>5</v>
      </c>
      <c r="H42" s="5">
        <v>50248.79</v>
      </c>
      <c r="I42" s="6" t="s">
        <v>117</v>
      </c>
      <c r="J42" s="5" t="s">
        <v>118</v>
      </c>
      <c r="K42" s="8">
        <v>9.16</v>
      </c>
      <c r="L42" s="7">
        <f ca="1">IFERROR(__xludf.DUMMYFUNCTION("""COMPUTED_VALUE"""),271)</f>
        <v>271</v>
      </c>
    </row>
    <row r="43" spans="1:12" ht="15.5">
      <c r="A43" s="9" t="s">
        <v>115</v>
      </c>
      <c r="B43" s="7" t="s">
        <v>119</v>
      </c>
      <c r="C43" s="7" t="s">
        <v>13</v>
      </c>
      <c r="D43" s="7">
        <v>2023</v>
      </c>
      <c r="E43" s="7">
        <v>72.67</v>
      </c>
      <c r="F43" s="7">
        <v>271</v>
      </c>
      <c r="G43" s="7">
        <v>5</v>
      </c>
      <c r="H43" s="7">
        <v>36888.769999999997</v>
      </c>
      <c r="I43" s="6" t="s">
        <v>120</v>
      </c>
      <c r="J43" s="7" t="s">
        <v>121</v>
      </c>
      <c r="K43" s="8">
        <v>11.66</v>
      </c>
      <c r="L43" s="7">
        <f ca="1">IFERROR(__xludf.DUMMYFUNCTION("""COMPUTED_VALUE"""),291)</f>
        <v>291</v>
      </c>
    </row>
    <row r="44" spans="1:12" ht="15.5">
      <c r="A44" s="9" t="s">
        <v>115</v>
      </c>
      <c r="B44" s="7" t="s">
        <v>122</v>
      </c>
      <c r="C44" s="7" t="s">
        <v>13</v>
      </c>
      <c r="D44" s="7">
        <v>2023</v>
      </c>
      <c r="E44" s="7">
        <v>70.739999999999995</v>
      </c>
      <c r="F44" s="7">
        <v>291</v>
      </c>
      <c r="G44" s="7">
        <v>5</v>
      </c>
      <c r="H44" s="7">
        <v>19184.36</v>
      </c>
      <c r="I44" s="6">
        <v>100</v>
      </c>
      <c r="J44" s="7" t="s">
        <v>123</v>
      </c>
      <c r="K44" s="8">
        <v>7.49</v>
      </c>
      <c r="L44" s="7">
        <f ca="1">IFERROR(__xludf.DUMMYFUNCTION("""COMPUTED_VALUE"""),255)</f>
        <v>255</v>
      </c>
    </row>
    <row r="45" spans="1:12" ht="15.5">
      <c r="A45" s="9" t="s">
        <v>115</v>
      </c>
      <c r="B45" s="7" t="s">
        <v>124</v>
      </c>
      <c r="C45" s="7" t="s">
        <v>13</v>
      </c>
      <c r="D45" s="7">
        <v>2023</v>
      </c>
      <c r="E45" s="7">
        <v>73.900000000000006</v>
      </c>
      <c r="F45" s="7">
        <v>255</v>
      </c>
      <c r="G45" s="7">
        <v>5</v>
      </c>
      <c r="H45" s="7">
        <v>26239.3</v>
      </c>
      <c r="I45" s="6" t="s">
        <v>125</v>
      </c>
      <c r="J45" s="7" t="s">
        <v>126</v>
      </c>
      <c r="K45" s="8">
        <v>9.52</v>
      </c>
      <c r="L45" s="7">
        <f ca="1">IFERROR(__xludf.DUMMYFUNCTION("""COMPUTED_VALUE"""),282)</f>
        <v>282</v>
      </c>
    </row>
    <row r="46" spans="1:12" ht="15.5">
      <c r="A46" s="9" t="s">
        <v>115</v>
      </c>
      <c r="B46" s="7" t="s">
        <v>127</v>
      </c>
      <c r="C46" s="7" t="s">
        <v>13</v>
      </c>
      <c r="D46" s="7">
        <v>2023</v>
      </c>
      <c r="E46" s="7">
        <v>71.64</v>
      </c>
      <c r="F46" s="7">
        <v>282</v>
      </c>
      <c r="G46" s="7">
        <v>5</v>
      </c>
      <c r="H46" s="7">
        <v>43233.52</v>
      </c>
      <c r="I46" s="6" t="s">
        <v>128</v>
      </c>
      <c r="J46" s="7" t="s">
        <v>129</v>
      </c>
      <c r="K46" s="8">
        <v>9.06</v>
      </c>
      <c r="L46" s="7">
        <f ca="1">IFERROR(__xludf.DUMMYFUNCTION("""COMPUTED_VALUE"""),221)</f>
        <v>221</v>
      </c>
    </row>
    <row r="47" spans="1:12" ht="15.5">
      <c r="A47" s="9" t="s">
        <v>115</v>
      </c>
      <c r="B47" s="7" t="s">
        <v>130</v>
      </c>
      <c r="C47" s="7" t="s">
        <v>13</v>
      </c>
      <c r="D47" s="7">
        <v>2023</v>
      </c>
      <c r="E47" s="7">
        <v>76.63</v>
      </c>
      <c r="F47" s="7">
        <v>221</v>
      </c>
      <c r="G47" s="7">
        <v>6</v>
      </c>
      <c r="H47" s="7">
        <v>26983.74</v>
      </c>
      <c r="I47" s="6" t="s">
        <v>131</v>
      </c>
      <c r="J47" s="7" t="s">
        <v>132</v>
      </c>
      <c r="K47" s="8">
        <v>4.8600000000000003</v>
      </c>
      <c r="L47" s="7">
        <f ca="1">IFERROR(__xludf.DUMMYFUNCTION("""COMPUTED_VALUE"""),231)</f>
        <v>231</v>
      </c>
    </row>
    <row r="48" spans="1:12" ht="15.5">
      <c r="A48" s="9" t="s">
        <v>115</v>
      </c>
      <c r="B48" s="7" t="s">
        <v>133</v>
      </c>
      <c r="C48" s="7" t="s">
        <v>13</v>
      </c>
      <c r="D48" s="7">
        <v>2023</v>
      </c>
      <c r="E48" s="7">
        <v>75.84</v>
      </c>
      <c r="F48" s="7">
        <v>231</v>
      </c>
      <c r="G48" s="7">
        <v>6</v>
      </c>
      <c r="H48" s="7">
        <v>45412.56</v>
      </c>
      <c r="I48" s="6" t="s">
        <v>134</v>
      </c>
      <c r="J48" s="7" t="s">
        <v>135</v>
      </c>
      <c r="K48" s="8">
        <v>9.94</v>
      </c>
      <c r="L48" s="7">
        <f ca="1">IFERROR(__xludf.DUMMYFUNCTION("""COMPUTED_VALUE"""),305)</f>
        <v>305</v>
      </c>
    </row>
    <row r="49" spans="1:12" ht="15.5">
      <c r="A49" s="9" t="s">
        <v>115</v>
      </c>
      <c r="B49" s="7" t="s">
        <v>136</v>
      </c>
      <c r="C49" s="7" t="s">
        <v>13</v>
      </c>
      <c r="D49" s="7">
        <v>2023</v>
      </c>
      <c r="E49" s="7">
        <v>69.41</v>
      </c>
      <c r="F49" s="7">
        <v>305</v>
      </c>
      <c r="G49" s="7">
        <v>5</v>
      </c>
      <c r="H49" s="7">
        <v>19066.43</v>
      </c>
      <c r="I49" s="6" t="s">
        <v>137</v>
      </c>
      <c r="J49" s="7" t="s">
        <v>138</v>
      </c>
      <c r="K49" s="8">
        <v>13.17</v>
      </c>
      <c r="L49" s="7">
        <f ca="1">IFERROR(__xludf.DUMMYFUNCTION("""COMPUTED_VALUE"""),342)</f>
        <v>342</v>
      </c>
    </row>
    <row r="50" spans="1:12" ht="15.5">
      <c r="A50" s="9" t="s">
        <v>115</v>
      </c>
      <c r="B50" s="7" t="s">
        <v>139</v>
      </c>
      <c r="C50" s="7" t="s">
        <v>13</v>
      </c>
      <c r="D50" s="7">
        <v>2023</v>
      </c>
      <c r="E50" s="7">
        <v>61.54</v>
      </c>
      <c r="F50" s="7">
        <v>342</v>
      </c>
      <c r="G50" s="7">
        <v>4</v>
      </c>
      <c r="H50" s="7">
        <v>4817.8900000000003</v>
      </c>
      <c r="I50" s="6" t="s">
        <v>140</v>
      </c>
      <c r="J50" s="7" t="s">
        <v>141</v>
      </c>
      <c r="K50" s="8">
        <v>7.89</v>
      </c>
      <c r="L50" s="7">
        <f ca="1">IFERROR(__xludf.DUMMYFUNCTION("""COMPUTED_VALUE"""),82)</f>
        <v>82</v>
      </c>
    </row>
    <row r="51" spans="1:12" ht="15.5">
      <c r="A51" s="12" t="s">
        <v>115</v>
      </c>
      <c r="B51" s="13" t="s">
        <v>142</v>
      </c>
      <c r="C51" s="13" t="s">
        <v>62</v>
      </c>
      <c r="D51" s="13">
        <v>2023</v>
      </c>
      <c r="E51" s="13">
        <v>75.680000000000007</v>
      </c>
      <c r="F51" s="13">
        <v>82</v>
      </c>
      <c r="G51" s="13">
        <v>6</v>
      </c>
      <c r="H51" s="13">
        <v>5234.6499999999996</v>
      </c>
      <c r="I51" s="16" t="s">
        <v>103</v>
      </c>
      <c r="J51" s="13" t="s">
        <v>143</v>
      </c>
      <c r="K51" s="14">
        <v>9.81</v>
      </c>
      <c r="L51" s="7">
        <f ca="1">IFERROR(__xludf.DUMMYFUNCTION("""COMPUTED_VALUE"""),46)</f>
        <v>46</v>
      </c>
    </row>
    <row r="52" spans="1:12" ht="15.5">
      <c r="A52" s="4" t="s">
        <v>144</v>
      </c>
      <c r="B52" s="5" t="s">
        <v>145</v>
      </c>
      <c r="C52" s="5" t="s">
        <v>13</v>
      </c>
      <c r="D52" s="5">
        <v>2023</v>
      </c>
      <c r="E52" s="5">
        <v>85.54</v>
      </c>
      <c r="F52" s="5">
        <v>46</v>
      </c>
      <c r="G52" s="5">
        <v>6</v>
      </c>
      <c r="H52" s="5">
        <v>102615.55</v>
      </c>
      <c r="I52" s="6">
        <v>100</v>
      </c>
      <c r="J52" s="5" t="s">
        <v>146</v>
      </c>
      <c r="K52" s="8">
        <v>13.44</v>
      </c>
      <c r="L52" s="7">
        <f ca="1">IFERROR(__xludf.DUMMYFUNCTION("""COMPUTED_VALUE"""),116)</f>
        <v>116</v>
      </c>
    </row>
    <row r="53" spans="1:12" ht="15.5">
      <c r="A53" s="9" t="s">
        <v>144</v>
      </c>
      <c r="B53" s="7" t="s">
        <v>147</v>
      </c>
      <c r="C53" s="7" t="s">
        <v>13</v>
      </c>
      <c r="D53" s="7">
        <v>2023</v>
      </c>
      <c r="E53" s="7">
        <v>82.07</v>
      </c>
      <c r="F53" s="7">
        <v>116</v>
      </c>
      <c r="G53" s="7">
        <v>6</v>
      </c>
      <c r="H53" s="7">
        <v>123334.35</v>
      </c>
      <c r="I53" s="6">
        <v>100</v>
      </c>
      <c r="J53" s="7" t="s">
        <v>63</v>
      </c>
      <c r="K53" s="8">
        <v>9.75</v>
      </c>
      <c r="L53" s="7">
        <f ca="1">IFERROR(__xludf.DUMMYFUNCTION("""COMPUTED_VALUE"""),119)</f>
        <v>119</v>
      </c>
    </row>
    <row r="54" spans="1:12" ht="15.5">
      <c r="A54" s="9" t="s">
        <v>144</v>
      </c>
      <c r="B54" s="7" t="s">
        <v>148</v>
      </c>
      <c r="C54" s="7" t="s">
        <v>13</v>
      </c>
      <c r="D54" s="7">
        <v>2023</v>
      </c>
      <c r="E54" s="7">
        <v>81.98</v>
      </c>
      <c r="F54" s="7">
        <v>119</v>
      </c>
      <c r="G54" s="7">
        <v>6</v>
      </c>
      <c r="H54" s="7">
        <v>191652.15</v>
      </c>
      <c r="I54" s="6">
        <v>100</v>
      </c>
      <c r="J54" s="7" t="s">
        <v>149</v>
      </c>
      <c r="K54" s="8">
        <v>14.67</v>
      </c>
      <c r="L54" s="7">
        <f ca="1">IFERROR(__xludf.DUMMYFUNCTION("""COMPUTED_VALUE"""),94)</f>
        <v>94</v>
      </c>
    </row>
    <row r="55" spans="1:12" ht="15.5">
      <c r="A55" s="9" t="s">
        <v>144</v>
      </c>
      <c r="B55" s="7" t="s">
        <v>150</v>
      </c>
      <c r="C55" s="7" t="s">
        <v>13</v>
      </c>
      <c r="D55" s="7">
        <v>2023</v>
      </c>
      <c r="E55" s="7">
        <v>83.16</v>
      </c>
      <c r="F55" s="7">
        <v>94</v>
      </c>
      <c r="G55" s="7">
        <v>6</v>
      </c>
      <c r="H55" s="7">
        <v>115162.23</v>
      </c>
      <c r="I55" s="6">
        <v>100</v>
      </c>
      <c r="J55" s="7" t="s">
        <v>151</v>
      </c>
      <c r="K55" s="8">
        <v>6.64</v>
      </c>
      <c r="L55" s="7">
        <f ca="1">IFERROR(__xludf.DUMMYFUNCTION("""COMPUTED_VALUE"""),54)</f>
        <v>54</v>
      </c>
    </row>
    <row r="56" spans="1:12" ht="15.5">
      <c r="A56" s="12" t="s">
        <v>144</v>
      </c>
      <c r="B56" s="13" t="s">
        <v>152</v>
      </c>
      <c r="C56" s="13" t="s">
        <v>62</v>
      </c>
      <c r="D56" s="13">
        <v>2023</v>
      </c>
      <c r="E56" s="13">
        <v>83.11</v>
      </c>
      <c r="F56" s="13">
        <v>54</v>
      </c>
      <c r="G56" s="13">
        <v>6</v>
      </c>
      <c r="H56" s="13">
        <v>40.98</v>
      </c>
      <c r="I56" s="16">
        <v>100</v>
      </c>
      <c r="J56" s="13" t="s">
        <v>153</v>
      </c>
      <c r="K56" s="14">
        <v>8.74</v>
      </c>
      <c r="L56" s="7">
        <f ca="1">IFERROR(__xludf.DUMMYFUNCTION("""COMPUTED_VALUE"""),363)</f>
        <v>363</v>
      </c>
    </row>
    <row r="57" spans="1:12" ht="15.5">
      <c r="A57" s="4" t="s">
        <v>154</v>
      </c>
      <c r="B57" s="5" t="s">
        <v>155</v>
      </c>
      <c r="C57" s="5" t="s">
        <v>13</v>
      </c>
      <c r="D57" s="5">
        <v>2023</v>
      </c>
      <c r="E57" s="5">
        <v>56.63</v>
      </c>
      <c r="F57" s="5">
        <v>363</v>
      </c>
      <c r="G57" s="5">
        <v>3</v>
      </c>
      <c r="H57" s="5"/>
      <c r="I57" s="6">
        <v>100</v>
      </c>
      <c r="J57" s="5" t="s">
        <v>156</v>
      </c>
      <c r="K57" s="8">
        <v>3.63</v>
      </c>
      <c r="L57" s="7">
        <f ca="1">IFERROR(__xludf.DUMMYFUNCTION("""COMPUTED_VALUE"""),23)</f>
        <v>23</v>
      </c>
    </row>
    <row r="58" spans="1:12" ht="15.5">
      <c r="A58" s="9" t="s">
        <v>154</v>
      </c>
      <c r="B58" s="7" t="s">
        <v>157</v>
      </c>
      <c r="C58" s="7" t="s">
        <v>62</v>
      </c>
      <c r="D58" s="7">
        <v>2023</v>
      </c>
      <c r="E58" s="7">
        <v>88.64</v>
      </c>
      <c r="F58" s="7">
        <v>23</v>
      </c>
      <c r="G58" s="7">
        <v>6</v>
      </c>
      <c r="I58" s="6">
        <v>100</v>
      </c>
      <c r="J58" s="7" t="s">
        <v>158</v>
      </c>
      <c r="K58" s="8">
        <v>2.2799999999999998</v>
      </c>
      <c r="L58" s="7">
        <f ca="1">IFERROR(__xludf.DUMMYFUNCTION("""COMPUTED_VALUE"""),14)</f>
        <v>14</v>
      </c>
    </row>
    <row r="59" spans="1:12" ht="15.5">
      <c r="A59" s="9" t="s">
        <v>154</v>
      </c>
      <c r="B59" s="7" t="s">
        <v>159</v>
      </c>
      <c r="C59" s="7" t="s">
        <v>62</v>
      </c>
      <c r="D59" s="7">
        <v>2023</v>
      </c>
      <c r="E59" s="7">
        <v>90.21</v>
      </c>
      <c r="F59" s="7">
        <v>14</v>
      </c>
      <c r="G59" s="7">
        <v>6</v>
      </c>
      <c r="H59" s="7">
        <v>238.76</v>
      </c>
      <c r="I59" s="6" t="s">
        <v>54</v>
      </c>
      <c r="J59" s="7" t="s">
        <v>160</v>
      </c>
      <c r="K59" s="8">
        <v>3.08</v>
      </c>
      <c r="L59" s="7">
        <f ca="1">IFERROR(__xludf.DUMMYFUNCTION("""COMPUTED_VALUE"""),11)</f>
        <v>11</v>
      </c>
    </row>
    <row r="60" spans="1:12" ht="15.5">
      <c r="A60" s="9" t="s">
        <v>154</v>
      </c>
      <c r="B60" s="7" t="s">
        <v>161</v>
      </c>
      <c r="C60" s="7" t="s">
        <v>62</v>
      </c>
      <c r="D60" s="7">
        <v>2023</v>
      </c>
      <c r="E60" s="7">
        <v>91</v>
      </c>
      <c r="F60" s="7">
        <v>11</v>
      </c>
      <c r="G60" s="7">
        <v>6</v>
      </c>
      <c r="I60" s="6" t="s">
        <v>162</v>
      </c>
      <c r="J60" s="7" t="s">
        <v>163</v>
      </c>
      <c r="K60" s="8">
        <v>2.91</v>
      </c>
      <c r="L60" s="7">
        <f ca="1">IFERROR(__xludf.DUMMYFUNCTION("""COMPUTED_VALUE"""),12)</f>
        <v>12</v>
      </c>
    </row>
    <row r="61" spans="1:12" ht="15.5">
      <c r="A61" s="9" t="s">
        <v>154</v>
      </c>
      <c r="B61" s="7" t="s">
        <v>164</v>
      </c>
      <c r="C61" s="7" t="s">
        <v>62</v>
      </c>
      <c r="D61" s="7">
        <v>2023</v>
      </c>
      <c r="E61" s="7">
        <v>90.84</v>
      </c>
      <c r="F61" s="7">
        <v>12</v>
      </c>
      <c r="G61" s="7">
        <v>6</v>
      </c>
      <c r="H61" s="7">
        <v>155.24</v>
      </c>
      <c r="I61" s="6">
        <v>100</v>
      </c>
      <c r="J61" s="7" t="s">
        <v>165</v>
      </c>
      <c r="K61" s="8">
        <v>2.0299999999999998</v>
      </c>
      <c r="L61" s="7">
        <f ca="1">IFERROR(__xludf.DUMMYFUNCTION("""COMPUTED_VALUE"""),41)</f>
        <v>41</v>
      </c>
    </row>
    <row r="62" spans="1:12" ht="15.5">
      <c r="A62" s="12" t="s">
        <v>154</v>
      </c>
      <c r="B62" s="13" t="s">
        <v>166</v>
      </c>
      <c r="C62" s="13" t="s">
        <v>62</v>
      </c>
      <c r="D62" s="13">
        <v>2023</v>
      </c>
      <c r="E62" s="13">
        <v>85.46</v>
      </c>
      <c r="F62" s="13">
        <v>41</v>
      </c>
      <c r="G62" s="13">
        <v>6</v>
      </c>
      <c r="H62" s="13">
        <v>2409.2399999999998</v>
      </c>
      <c r="I62" s="16" t="s">
        <v>95</v>
      </c>
      <c r="J62" s="13" t="s">
        <v>167</v>
      </c>
      <c r="K62" s="14">
        <v>7.41</v>
      </c>
      <c r="L62" s="7">
        <f ca="1">IFERROR(__xludf.DUMMYFUNCTION("""COMPUTED_VALUE"""),131)</f>
        <v>131</v>
      </c>
    </row>
    <row r="63" spans="1:12" ht="15.5">
      <c r="A63" s="4" t="s">
        <v>168</v>
      </c>
      <c r="B63" s="5" t="s">
        <v>169</v>
      </c>
      <c r="C63" s="5" t="s">
        <v>13</v>
      </c>
      <c r="D63" s="5">
        <v>2023</v>
      </c>
      <c r="E63" s="5">
        <v>81.41</v>
      </c>
      <c r="F63" s="5">
        <v>131</v>
      </c>
      <c r="G63" s="5">
        <v>6</v>
      </c>
      <c r="H63" s="5">
        <v>33208.89</v>
      </c>
      <c r="I63" s="6" t="s">
        <v>57</v>
      </c>
      <c r="J63" s="5" t="s">
        <v>170</v>
      </c>
      <c r="K63" s="8">
        <v>13.99</v>
      </c>
      <c r="L63" s="7">
        <f ca="1">IFERROR(__xludf.DUMMYFUNCTION("""COMPUTED_VALUE"""),157)</f>
        <v>157</v>
      </c>
    </row>
    <row r="64" spans="1:12" ht="15.5">
      <c r="A64" s="9" t="s">
        <v>168</v>
      </c>
      <c r="B64" s="7" t="s">
        <v>168</v>
      </c>
      <c r="C64" s="7" t="s">
        <v>13</v>
      </c>
      <c r="D64" s="7">
        <v>2023</v>
      </c>
      <c r="E64" s="7">
        <v>80.13</v>
      </c>
      <c r="F64" s="7">
        <v>157</v>
      </c>
      <c r="G64" s="7">
        <v>6</v>
      </c>
      <c r="H64" s="7">
        <v>121644.22</v>
      </c>
      <c r="I64" s="6" t="s">
        <v>171</v>
      </c>
      <c r="J64" s="7" t="s">
        <v>172</v>
      </c>
      <c r="K64" s="8">
        <v>14.97</v>
      </c>
      <c r="L64" s="7">
        <f ca="1">IFERROR(__xludf.DUMMYFUNCTION("""COMPUTED_VALUE"""),91)</f>
        <v>91</v>
      </c>
    </row>
    <row r="65" spans="1:12" ht="15.5">
      <c r="A65" s="9" t="s">
        <v>168</v>
      </c>
      <c r="B65" s="7" t="s">
        <v>173</v>
      </c>
      <c r="C65" s="7" t="s">
        <v>13</v>
      </c>
      <c r="D65" s="7">
        <v>2023</v>
      </c>
      <c r="E65" s="7">
        <v>83.34</v>
      </c>
      <c r="F65" s="7">
        <v>91</v>
      </c>
      <c r="G65" s="7">
        <v>6</v>
      </c>
      <c r="H65" s="7">
        <v>21436.07</v>
      </c>
      <c r="I65" s="6" t="s">
        <v>14</v>
      </c>
      <c r="J65" s="7" t="s">
        <v>174</v>
      </c>
      <c r="K65" s="8">
        <v>18.72</v>
      </c>
      <c r="L65" s="7">
        <f ca="1">IFERROR(__xludf.DUMMYFUNCTION("""COMPUTED_VALUE"""),185)</f>
        <v>185</v>
      </c>
    </row>
    <row r="66" spans="1:12" ht="15.5">
      <c r="A66" s="9" t="s">
        <v>168</v>
      </c>
      <c r="B66" s="7" t="s">
        <v>175</v>
      </c>
      <c r="C66" s="7" t="s">
        <v>13</v>
      </c>
      <c r="D66" s="7">
        <v>2023</v>
      </c>
      <c r="E66" s="7">
        <v>78.27</v>
      </c>
      <c r="F66" s="7">
        <v>185</v>
      </c>
      <c r="G66" s="7">
        <v>6</v>
      </c>
      <c r="H66" s="7">
        <v>28690.84</v>
      </c>
      <c r="I66" s="6" t="s">
        <v>176</v>
      </c>
      <c r="J66" s="7" t="s">
        <v>177</v>
      </c>
      <c r="K66" s="8">
        <v>16.03</v>
      </c>
      <c r="L66" s="7">
        <f ca="1">IFERROR(__xludf.DUMMYFUNCTION("""COMPUTED_VALUE"""),175)</f>
        <v>175</v>
      </c>
    </row>
    <row r="67" spans="1:12" ht="15.5">
      <c r="A67" s="9" t="s">
        <v>168</v>
      </c>
      <c r="B67" s="7" t="s">
        <v>178</v>
      </c>
      <c r="C67" s="7" t="s">
        <v>13</v>
      </c>
      <c r="D67" s="7">
        <v>2023</v>
      </c>
      <c r="E67" s="7">
        <v>79.069999999999993</v>
      </c>
      <c r="F67" s="7">
        <v>175</v>
      </c>
      <c r="G67" s="7">
        <v>6</v>
      </c>
      <c r="H67" s="7">
        <v>25256.15</v>
      </c>
      <c r="I67" s="6" t="s">
        <v>179</v>
      </c>
      <c r="J67" s="7" t="s">
        <v>180</v>
      </c>
      <c r="K67" s="8">
        <v>18.899999999999999</v>
      </c>
      <c r="L67" s="7">
        <f ca="1">IFERROR(__xludf.DUMMYFUNCTION("""COMPUTED_VALUE"""),29)</f>
        <v>29</v>
      </c>
    </row>
    <row r="68" spans="1:12" ht="15.5">
      <c r="A68" s="12" t="s">
        <v>168</v>
      </c>
      <c r="B68" s="13" t="s">
        <v>181</v>
      </c>
      <c r="C68" s="13" t="s">
        <v>62</v>
      </c>
      <c r="D68" s="13">
        <v>2023</v>
      </c>
      <c r="E68" s="13">
        <v>87.59</v>
      </c>
      <c r="F68" s="13">
        <v>29</v>
      </c>
      <c r="G68" s="13">
        <v>6</v>
      </c>
      <c r="H68" s="13">
        <v>12957.32</v>
      </c>
      <c r="I68" s="16">
        <v>100</v>
      </c>
      <c r="J68" s="13" t="s">
        <v>182</v>
      </c>
      <c r="K68" s="14">
        <v>10.84</v>
      </c>
      <c r="L68" s="7">
        <f ca="1">IFERROR(__xludf.DUMMYFUNCTION("""COMPUTED_VALUE"""),109)</f>
        <v>109</v>
      </c>
    </row>
    <row r="69" spans="1:12" ht="15.5">
      <c r="A69" s="4" t="s">
        <v>183</v>
      </c>
      <c r="B69" s="5" t="s">
        <v>184</v>
      </c>
      <c r="C69" s="5" t="s">
        <v>13</v>
      </c>
      <c r="D69" s="5">
        <v>2023</v>
      </c>
      <c r="E69" s="5">
        <v>82.42</v>
      </c>
      <c r="F69" s="5">
        <v>109</v>
      </c>
      <c r="G69" s="5">
        <v>6</v>
      </c>
      <c r="H69" s="5">
        <v>81362.86</v>
      </c>
      <c r="I69" s="6" t="s">
        <v>185</v>
      </c>
      <c r="J69" s="5" t="s">
        <v>186</v>
      </c>
      <c r="K69" s="8">
        <v>15.09</v>
      </c>
      <c r="L69" s="7">
        <f ca="1">IFERROR(__xludf.DUMMYFUNCTION("""COMPUTED_VALUE"""),281)</f>
        <v>281</v>
      </c>
    </row>
    <row r="70" spans="1:12" ht="15.5">
      <c r="A70" s="9" t="s">
        <v>183</v>
      </c>
      <c r="B70" s="7" t="s">
        <v>187</v>
      </c>
      <c r="C70" s="7" t="s">
        <v>13</v>
      </c>
      <c r="D70" s="7">
        <v>2023</v>
      </c>
      <c r="E70" s="7">
        <v>71.66</v>
      </c>
      <c r="F70" s="7">
        <v>281</v>
      </c>
      <c r="G70" s="7">
        <v>5</v>
      </c>
      <c r="H70" s="7">
        <v>24497.57</v>
      </c>
      <c r="I70" s="6" t="s">
        <v>188</v>
      </c>
      <c r="J70" s="7" t="s">
        <v>189</v>
      </c>
      <c r="K70" s="8">
        <v>15.14</v>
      </c>
      <c r="L70" s="7">
        <f ca="1">IFERROR(__xludf.DUMMYFUNCTION("""COMPUTED_VALUE"""),332)</f>
        <v>332</v>
      </c>
    </row>
    <row r="71" spans="1:12" ht="15.5">
      <c r="A71" s="9" t="s">
        <v>183</v>
      </c>
      <c r="B71" s="7" t="s">
        <v>190</v>
      </c>
      <c r="C71" s="7" t="s">
        <v>13</v>
      </c>
      <c r="D71" s="7">
        <v>2023</v>
      </c>
      <c r="E71" s="7">
        <v>64.010000000000005</v>
      </c>
      <c r="F71" s="7">
        <v>332</v>
      </c>
      <c r="G71" s="7">
        <v>4</v>
      </c>
      <c r="H71" s="7">
        <v>12377.58</v>
      </c>
      <c r="I71" s="6" t="s">
        <v>191</v>
      </c>
      <c r="J71" s="7" t="s">
        <v>192</v>
      </c>
      <c r="K71" s="8">
        <v>12.77</v>
      </c>
      <c r="L71" s="7">
        <f ca="1">IFERROR(__xludf.DUMMYFUNCTION("""COMPUTED_VALUE"""),290)</f>
        <v>290</v>
      </c>
    </row>
    <row r="72" spans="1:12" ht="15.5">
      <c r="A72" s="9" t="s">
        <v>183</v>
      </c>
      <c r="B72" s="7" t="s">
        <v>193</v>
      </c>
      <c r="C72" s="7" t="s">
        <v>13</v>
      </c>
      <c r="D72" s="7">
        <v>2023</v>
      </c>
      <c r="E72" s="7">
        <v>70.790000000000006</v>
      </c>
      <c r="F72" s="7">
        <v>290</v>
      </c>
      <c r="G72" s="7">
        <v>5</v>
      </c>
      <c r="H72" s="7">
        <v>19942.84</v>
      </c>
      <c r="I72" s="6" t="s">
        <v>194</v>
      </c>
      <c r="J72" s="7" t="s">
        <v>195</v>
      </c>
      <c r="K72" s="8">
        <v>15.48</v>
      </c>
      <c r="L72" s="7">
        <f ca="1">IFERROR(__xludf.DUMMYFUNCTION("""COMPUTED_VALUE"""),323)</f>
        <v>323</v>
      </c>
    </row>
    <row r="73" spans="1:12" ht="15.5">
      <c r="A73" s="9" t="s">
        <v>183</v>
      </c>
      <c r="B73" s="7" t="s">
        <v>196</v>
      </c>
      <c r="C73" s="7" t="s">
        <v>13</v>
      </c>
      <c r="D73" s="7">
        <v>2023</v>
      </c>
      <c r="E73" s="7">
        <v>65.900000000000006</v>
      </c>
      <c r="F73" s="7">
        <v>323</v>
      </c>
      <c r="G73" s="7">
        <v>4</v>
      </c>
      <c r="H73" s="7">
        <v>17206.82</v>
      </c>
      <c r="I73" s="6" t="s">
        <v>197</v>
      </c>
      <c r="J73" s="7" t="s">
        <v>198</v>
      </c>
      <c r="K73" s="8">
        <v>11.14</v>
      </c>
      <c r="L73" s="7">
        <f ca="1">IFERROR(__xludf.DUMMYFUNCTION("""COMPUTED_VALUE"""),286)</f>
        <v>286</v>
      </c>
    </row>
    <row r="74" spans="1:12" ht="15.5">
      <c r="A74" s="9" t="s">
        <v>183</v>
      </c>
      <c r="B74" s="7" t="s">
        <v>199</v>
      </c>
      <c r="C74" s="7" t="s">
        <v>13</v>
      </c>
      <c r="D74" s="7">
        <v>2023</v>
      </c>
      <c r="E74" s="7">
        <v>71.22</v>
      </c>
      <c r="F74" s="7">
        <v>286</v>
      </c>
      <c r="G74" s="7">
        <v>5</v>
      </c>
      <c r="H74" s="7">
        <v>23454.39</v>
      </c>
      <c r="I74" s="6" t="s">
        <v>200</v>
      </c>
      <c r="J74" s="7" t="s">
        <v>201</v>
      </c>
      <c r="K74" s="8">
        <v>12.32</v>
      </c>
      <c r="L74" s="7">
        <f ca="1">IFERROR(__xludf.DUMMYFUNCTION("""COMPUTED_VALUE"""),334)</f>
        <v>334</v>
      </c>
    </row>
    <row r="75" spans="1:12" ht="15.5">
      <c r="A75" s="9" t="s">
        <v>183</v>
      </c>
      <c r="B75" s="7" t="s">
        <v>202</v>
      </c>
      <c r="C75" s="7" t="s">
        <v>13</v>
      </c>
      <c r="D75" s="7">
        <v>2023</v>
      </c>
      <c r="E75" s="7">
        <v>63.59</v>
      </c>
      <c r="F75" s="7">
        <v>334</v>
      </c>
      <c r="G75" s="7">
        <v>4</v>
      </c>
      <c r="H75" s="7">
        <v>24899.32</v>
      </c>
      <c r="I75" s="6" t="s">
        <v>203</v>
      </c>
      <c r="J75" s="7" t="s">
        <v>204</v>
      </c>
      <c r="K75" s="8">
        <v>14.32</v>
      </c>
      <c r="L75" s="7">
        <f ca="1">IFERROR(__xludf.DUMMYFUNCTION("""COMPUTED_VALUE"""),289)</f>
        <v>289</v>
      </c>
    </row>
    <row r="76" spans="1:12" ht="15.5">
      <c r="A76" s="9" t="s">
        <v>183</v>
      </c>
      <c r="B76" s="7" t="s">
        <v>205</v>
      </c>
      <c r="C76" s="7" t="s">
        <v>13</v>
      </c>
      <c r="D76" s="7">
        <v>2023</v>
      </c>
      <c r="E76" s="7">
        <v>70.89</v>
      </c>
      <c r="F76" s="7">
        <v>289</v>
      </c>
      <c r="G76" s="7">
        <v>5</v>
      </c>
      <c r="H76" s="7">
        <v>18369.72</v>
      </c>
      <c r="I76" s="6" t="s">
        <v>206</v>
      </c>
      <c r="J76" s="7" t="s">
        <v>207</v>
      </c>
      <c r="K76" s="8">
        <v>13.98</v>
      </c>
      <c r="L76" s="7">
        <f ca="1">IFERROR(__xludf.DUMMYFUNCTION("""COMPUTED_VALUE"""),326)</f>
        <v>326</v>
      </c>
    </row>
    <row r="77" spans="1:12" ht="15.5">
      <c r="A77" s="9" t="s">
        <v>183</v>
      </c>
      <c r="B77" s="7" t="s">
        <v>208</v>
      </c>
      <c r="C77" s="7" t="s">
        <v>13</v>
      </c>
      <c r="D77" s="7">
        <v>2023</v>
      </c>
      <c r="E77" s="7">
        <v>65.599999999999994</v>
      </c>
      <c r="F77" s="7">
        <v>326</v>
      </c>
      <c r="G77" s="7">
        <v>4</v>
      </c>
      <c r="H77" s="7">
        <v>20188.599999999999</v>
      </c>
      <c r="I77" s="6" t="s">
        <v>209</v>
      </c>
      <c r="J77" s="7" t="s">
        <v>210</v>
      </c>
      <c r="K77" s="8">
        <v>9.5399999999999991</v>
      </c>
      <c r="L77" s="7">
        <f ca="1">IFERROR(__xludf.DUMMYFUNCTION("""COMPUTED_VALUE"""),45)</f>
        <v>45</v>
      </c>
    </row>
    <row r="78" spans="1:12" ht="15.5">
      <c r="A78" s="9" t="s">
        <v>183</v>
      </c>
      <c r="B78" s="7" t="s">
        <v>211</v>
      </c>
      <c r="C78" s="7" t="s">
        <v>62</v>
      </c>
      <c r="D78" s="7">
        <v>2023</v>
      </c>
      <c r="E78" s="7">
        <v>84.66</v>
      </c>
      <c r="F78" s="7">
        <v>45</v>
      </c>
      <c r="G78" s="7">
        <v>6</v>
      </c>
      <c r="H78" s="7">
        <v>1281.94</v>
      </c>
      <c r="I78" s="6">
        <v>100</v>
      </c>
      <c r="J78" s="7" t="s">
        <v>212</v>
      </c>
      <c r="K78" s="8">
        <v>10.66</v>
      </c>
      <c r="L78" s="7">
        <f ca="1">IFERROR(__xludf.DUMMYFUNCTION("""COMPUTED_VALUE"""),53)</f>
        <v>53</v>
      </c>
    </row>
    <row r="79" spans="1:12" ht="15.5">
      <c r="A79" s="12" t="s">
        <v>183</v>
      </c>
      <c r="B79" s="13" t="s">
        <v>213</v>
      </c>
      <c r="C79" s="13" t="s">
        <v>62</v>
      </c>
      <c r="D79" s="13">
        <v>2023</v>
      </c>
      <c r="E79" s="13">
        <v>83.14</v>
      </c>
      <c r="F79" s="13">
        <v>53</v>
      </c>
      <c r="G79" s="13">
        <v>6</v>
      </c>
      <c r="H79" s="13">
        <v>30975.45</v>
      </c>
      <c r="I79" s="16">
        <v>100</v>
      </c>
      <c r="J79" s="13" t="s">
        <v>214</v>
      </c>
      <c r="K79" s="14">
        <v>15.75</v>
      </c>
      <c r="L79" s="7">
        <f ca="1">IFERROR(__xludf.DUMMYFUNCTION("""COMPUTED_VALUE"""),292)</f>
        <v>292</v>
      </c>
    </row>
    <row r="80" spans="1:12" ht="15.5">
      <c r="A80" s="4" t="s">
        <v>215</v>
      </c>
      <c r="B80" s="5" t="s">
        <v>216</v>
      </c>
      <c r="C80" s="5" t="s">
        <v>13</v>
      </c>
      <c r="D80" s="5">
        <v>2023</v>
      </c>
      <c r="E80" s="5">
        <v>70.569999999999993</v>
      </c>
      <c r="F80" s="5">
        <v>292</v>
      </c>
      <c r="G80" s="5">
        <v>5</v>
      </c>
      <c r="H80" s="5">
        <v>281152.68</v>
      </c>
      <c r="I80" s="6">
        <v>100</v>
      </c>
      <c r="J80" s="5" t="s">
        <v>217</v>
      </c>
      <c r="K80" s="8">
        <v>5.3</v>
      </c>
      <c r="L80" s="7">
        <f ca="1">IFERROR(__xludf.DUMMYFUNCTION("""COMPUTED_VALUE"""),199)</f>
        <v>199</v>
      </c>
    </row>
    <row r="81" spans="1:12" ht="15.5">
      <c r="A81" s="9" t="s">
        <v>215</v>
      </c>
      <c r="B81" s="7" t="s">
        <v>218</v>
      </c>
      <c r="C81" s="7" t="s">
        <v>13</v>
      </c>
      <c r="D81" s="7">
        <v>2023</v>
      </c>
      <c r="E81" s="7">
        <v>77.650000000000006</v>
      </c>
      <c r="F81" s="7">
        <v>199</v>
      </c>
      <c r="G81" s="7">
        <v>6</v>
      </c>
      <c r="H81" s="7">
        <v>515136.17</v>
      </c>
      <c r="I81" s="6" t="s">
        <v>219</v>
      </c>
      <c r="J81" s="7" t="s">
        <v>220</v>
      </c>
      <c r="K81" s="8">
        <v>5.98</v>
      </c>
      <c r="L81" s="7">
        <f ca="1">IFERROR(__xludf.DUMMYFUNCTION("""COMPUTED_VALUE"""),178)</f>
        <v>178</v>
      </c>
    </row>
    <row r="82" spans="1:12" ht="15.5">
      <c r="A82" s="9" t="s">
        <v>215</v>
      </c>
      <c r="B82" s="7" t="s">
        <v>221</v>
      </c>
      <c r="C82" s="7" t="s">
        <v>13</v>
      </c>
      <c r="D82" s="7">
        <v>2023</v>
      </c>
      <c r="E82" s="7">
        <v>78.989999999999995</v>
      </c>
      <c r="F82" s="7">
        <v>178</v>
      </c>
      <c r="G82" s="7">
        <v>6</v>
      </c>
      <c r="H82" s="7">
        <v>639006.05000000005</v>
      </c>
      <c r="I82" s="6" t="s">
        <v>222</v>
      </c>
      <c r="J82" s="7" t="s">
        <v>223</v>
      </c>
      <c r="K82" s="8">
        <v>7.02</v>
      </c>
      <c r="L82" s="7">
        <f ca="1">IFERROR(__xludf.DUMMYFUNCTION("""COMPUTED_VALUE"""),108)</f>
        <v>108</v>
      </c>
    </row>
    <row r="83" spans="1:12" ht="15.5">
      <c r="A83" s="9" t="s">
        <v>215</v>
      </c>
      <c r="B83" s="7" t="s">
        <v>224</v>
      </c>
      <c r="C83" s="7" t="s">
        <v>13</v>
      </c>
      <c r="D83" s="7">
        <v>2023</v>
      </c>
      <c r="E83" s="7">
        <v>82.48</v>
      </c>
      <c r="F83" s="7">
        <v>108</v>
      </c>
      <c r="G83" s="7">
        <v>6</v>
      </c>
      <c r="H83" s="7">
        <v>303918.7</v>
      </c>
      <c r="I83" s="6">
        <v>100</v>
      </c>
      <c r="J83" s="7" t="s">
        <v>225</v>
      </c>
      <c r="K83" s="8">
        <v>5.19</v>
      </c>
      <c r="L83" s="7">
        <f ca="1">IFERROR(__xludf.DUMMYFUNCTION("""COMPUTED_VALUE"""),190)</f>
        <v>190</v>
      </c>
    </row>
    <row r="84" spans="1:12" ht="15.5">
      <c r="A84" s="9" t="s">
        <v>215</v>
      </c>
      <c r="B84" s="7" t="s">
        <v>226</v>
      </c>
      <c r="C84" s="7" t="s">
        <v>13</v>
      </c>
      <c r="D84" s="7">
        <v>2023</v>
      </c>
      <c r="E84" s="7">
        <v>78.040000000000006</v>
      </c>
      <c r="F84" s="7">
        <v>190</v>
      </c>
      <c r="G84" s="7">
        <v>6</v>
      </c>
      <c r="H84" s="7">
        <v>452259.65</v>
      </c>
      <c r="I84" s="6">
        <v>100</v>
      </c>
      <c r="J84" s="7" t="s">
        <v>227</v>
      </c>
      <c r="K84" s="8">
        <v>5.76</v>
      </c>
      <c r="L84" s="7">
        <f ca="1">IFERROR(__xludf.DUMMYFUNCTION("""COMPUTED_VALUE"""),235)</f>
        <v>235</v>
      </c>
    </row>
    <row r="85" spans="1:12" ht="15.5">
      <c r="A85" s="9" t="s">
        <v>215</v>
      </c>
      <c r="B85" s="7" t="s">
        <v>228</v>
      </c>
      <c r="C85" s="7" t="s">
        <v>13</v>
      </c>
      <c r="D85" s="7">
        <v>2023</v>
      </c>
      <c r="E85" s="7">
        <v>75.680000000000007</v>
      </c>
      <c r="F85" s="7">
        <v>235</v>
      </c>
      <c r="G85" s="7">
        <v>6</v>
      </c>
      <c r="H85" s="7">
        <v>407493.86</v>
      </c>
      <c r="I85" s="6" t="s">
        <v>229</v>
      </c>
      <c r="J85" s="7" t="s">
        <v>230</v>
      </c>
      <c r="K85" s="8">
        <v>8.65</v>
      </c>
      <c r="L85" s="7">
        <f ca="1">IFERROR(__xludf.DUMMYFUNCTION("""COMPUTED_VALUE"""),110)</f>
        <v>110</v>
      </c>
    </row>
    <row r="86" spans="1:12" ht="15.5">
      <c r="A86" s="9" t="s">
        <v>215</v>
      </c>
      <c r="B86" s="7" t="s">
        <v>231</v>
      </c>
      <c r="C86" s="7" t="s">
        <v>13</v>
      </c>
      <c r="D86" s="7">
        <v>2023</v>
      </c>
      <c r="E86" s="7">
        <v>82.36</v>
      </c>
      <c r="F86" s="7">
        <v>110</v>
      </c>
      <c r="G86" s="7">
        <v>6</v>
      </c>
      <c r="H86" s="7">
        <v>295876.40000000002</v>
      </c>
      <c r="I86" s="6" t="s">
        <v>232</v>
      </c>
      <c r="J86" s="7" t="s">
        <v>233</v>
      </c>
      <c r="K86" s="8">
        <v>6.1</v>
      </c>
      <c r="L86" s="7">
        <f ca="1">IFERROR(__xludf.DUMMYFUNCTION("""COMPUTED_VALUE"""),141)</f>
        <v>141</v>
      </c>
    </row>
    <row r="87" spans="1:12" ht="15.5">
      <c r="A87" s="9" t="s">
        <v>215</v>
      </c>
      <c r="B87" s="7" t="s">
        <v>234</v>
      </c>
      <c r="C87" s="7" t="s">
        <v>13</v>
      </c>
      <c r="D87" s="7">
        <v>2023</v>
      </c>
      <c r="E87" s="7">
        <v>80.95</v>
      </c>
      <c r="F87" s="7">
        <v>141</v>
      </c>
      <c r="G87" s="7">
        <v>6</v>
      </c>
      <c r="H87" s="7">
        <v>256847.69</v>
      </c>
      <c r="I87" s="6" t="s">
        <v>134</v>
      </c>
      <c r="J87" s="7" t="s">
        <v>235</v>
      </c>
      <c r="K87" s="8">
        <v>6.43</v>
      </c>
      <c r="L87" s="7">
        <f ca="1">IFERROR(__xludf.DUMMYFUNCTION("""COMPUTED_VALUE"""),117)</f>
        <v>117</v>
      </c>
    </row>
    <row r="88" spans="1:12" ht="15.5">
      <c r="A88" s="9" t="s">
        <v>215</v>
      </c>
      <c r="B88" s="7" t="s">
        <v>236</v>
      </c>
      <c r="C88" s="7" t="s">
        <v>13</v>
      </c>
      <c r="D88" s="7">
        <v>2023</v>
      </c>
      <c r="E88" s="7">
        <v>82.03</v>
      </c>
      <c r="F88" s="7">
        <v>117</v>
      </c>
      <c r="G88" s="7">
        <v>6</v>
      </c>
      <c r="H88" s="7">
        <v>488476.01</v>
      </c>
      <c r="I88" s="6">
        <v>100</v>
      </c>
      <c r="J88" s="7" t="s">
        <v>237</v>
      </c>
      <c r="K88" s="8">
        <v>7.28</v>
      </c>
      <c r="L88" s="7">
        <f ca="1">IFERROR(__xludf.DUMMYFUNCTION("""COMPUTED_VALUE"""),132)</f>
        <v>132</v>
      </c>
    </row>
    <row r="89" spans="1:12" ht="15.5">
      <c r="A89" s="9" t="s">
        <v>215</v>
      </c>
      <c r="B89" s="7" t="s">
        <v>238</v>
      </c>
      <c r="C89" s="7" t="s">
        <v>13</v>
      </c>
      <c r="D89" s="7">
        <v>2023</v>
      </c>
      <c r="E89" s="7">
        <v>81.39</v>
      </c>
      <c r="F89" s="7">
        <v>132</v>
      </c>
      <c r="G89" s="7">
        <v>6</v>
      </c>
      <c r="H89" s="7">
        <v>556781.75</v>
      </c>
      <c r="I89" s="6">
        <v>100</v>
      </c>
      <c r="J89" s="7" t="s">
        <v>239</v>
      </c>
      <c r="K89" s="8">
        <v>7.9</v>
      </c>
      <c r="L89" s="7">
        <f ca="1">IFERROR(__xludf.DUMMYFUNCTION("""COMPUTED_VALUE"""),67)</f>
        <v>67</v>
      </c>
    </row>
    <row r="90" spans="1:12" ht="15.5">
      <c r="A90" s="9" t="s">
        <v>215</v>
      </c>
      <c r="B90" s="7" t="s">
        <v>240</v>
      </c>
      <c r="C90" s="7" t="s">
        <v>13</v>
      </c>
      <c r="D90" s="7">
        <v>2023</v>
      </c>
      <c r="E90" s="7">
        <v>84.88</v>
      </c>
      <c r="F90" s="7">
        <v>62</v>
      </c>
      <c r="G90" s="7">
        <v>6</v>
      </c>
      <c r="H90" s="7">
        <v>287826.46999999997</v>
      </c>
      <c r="I90" s="6">
        <v>100</v>
      </c>
      <c r="J90" s="7" t="s">
        <v>241</v>
      </c>
      <c r="K90" s="8">
        <v>5.55</v>
      </c>
      <c r="L90" s="7">
        <f ca="1">IFERROR(__xludf.DUMMYFUNCTION("""COMPUTED_VALUE"""),55)</f>
        <v>55</v>
      </c>
    </row>
    <row r="91" spans="1:12" ht="15.5">
      <c r="A91" s="9" t="s">
        <v>215</v>
      </c>
      <c r="B91" s="7" t="s">
        <v>242</v>
      </c>
      <c r="C91" s="7" t="s">
        <v>13</v>
      </c>
      <c r="D91" s="7">
        <v>2023</v>
      </c>
      <c r="E91" s="7">
        <v>84.52</v>
      </c>
      <c r="F91" s="7">
        <v>67</v>
      </c>
      <c r="G91" s="7">
        <v>6</v>
      </c>
      <c r="H91" s="7">
        <v>1419735.58</v>
      </c>
      <c r="I91" s="6" t="s">
        <v>89</v>
      </c>
      <c r="J91" s="7" t="s">
        <v>243</v>
      </c>
      <c r="K91" s="8">
        <v>5.4</v>
      </c>
      <c r="L91" s="7">
        <f ca="1">IFERROR(__xludf.DUMMYFUNCTION("""COMPUTED_VALUE"""),152)</f>
        <v>152</v>
      </c>
    </row>
    <row r="92" spans="1:12" ht="15.5">
      <c r="A92" s="9" t="s">
        <v>215</v>
      </c>
      <c r="B92" s="7" t="s">
        <v>244</v>
      </c>
      <c r="C92" s="7" t="s">
        <v>13</v>
      </c>
      <c r="D92" s="7">
        <v>2023</v>
      </c>
      <c r="E92" s="7">
        <v>85.31</v>
      </c>
      <c r="F92" s="7">
        <v>55</v>
      </c>
      <c r="G92" s="7">
        <v>6</v>
      </c>
      <c r="H92" s="7">
        <v>1016077.04</v>
      </c>
      <c r="I92" s="6">
        <v>100</v>
      </c>
      <c r="J92" s="7" t="s">
        <v>245</v>
      </c>
      <c r="K92" s="8">
        <v>6.23</v>
      </c>
      <c r="L92" s="7">
        <f ca="1">IFERROR(__xludf.DUMMYFUNCTION("""COMPUTED_VALUE"""),10)</f>
        <v>10</v>
      </c>
    </row>
    <row r="93" spans="1:12" ht="15.5">
      <c r="A93" s="9" t="s">
        <v>215</v>
      </c>
      <c r="B93" s="7" t="s">
        <v>246</v>
      </c>
      <c r="C93" s="7" t="s">
        <v>13</v>
      </c>
      <c r="D93" s="7">
        <v>2023</v>
      </c>
      <c r="E93" s="7">
        <v>80.42</v>
      </c>
      <c r="F93" s="7">
        <v>152</v>
      </c>
      <c r="G93" s="7">
        <v>6</v>
      </c>
      <c r="H93" s="7">
        <v>184326.98</v>
      </c>
      <c r="I93" s="6">
        <v>100</v>
      </c>
      <c r="J93" s="7" t="s">
        <v>225</v>
      </c>
      <c r="K93" s="8">
        <v>5.07</v>
      </c>
      <c r="L93" s="7">
        <f ca="1">IFERROR(__xludf.DUMMYFUNCTION("""COMPUTED_VALUE"""),13)</f>
        <v>13</v>
      </c>
    </row>
    <row r="94" spans="1:12" ht="15.5">
      <c r="A94" s="9" t="s">
        <v>215</v>
      </c>
      <c r="B94" s="7" t="s">
        <v>247</v>
      </c>
      <c r="C94" s="7" t="s">
        <v>13</v>
      </c>
      <c r="D94" s="7">
        <v>2023</v>
      </c>
      <c r="E94" s="7">
        <v>88.48</v>
      </c>
      <c r="F94" s="7">
        <v>10</v>
      </c>
      <c r="G94" s="7">
        <v>6</v>
      </c>
      <c r="H94" s="7">
        <v>1096656.79</v>
      </c>
      <c r="I94" s="6" t="s">
        <v>38</v>
      </c>
      <c r="J94" s="7" t="s">
        <v>248</v>
      </c>
      <c r="K94" s="8">
        <v>5.93</v>
      </c>
      <c r="L94" s="7">
        <f ca="1">IFERROR(__xludf.DUMMYFUNCTION("""COMPUTED_VALUE"""),251)</f>
        <v>251</v>
      </c>
    </row>
    <row r="95" spans="1:12" ht="15.5">
      <c r="A95" s="9" t="s">
        <v>215</v>
      </c>
      <c r="B95" s="7" t="s">
        <v>249</v>
      </c>
      <c r="C95" s="7" t="s">
        <v>13</v>
      </c>
      <c r="D95" s="7">
        <v>2023</v>
      </c>
      <c r="E95" s="7">
        <v>88.05</v>
      </c>
      <c r="F95" s="7">
        <v>13</v>
      </c>
      <c r="G95" s="7">
        <v>6</v>
      </c>
      <c r="H95" s="7">
        <v>507361.07</v>
      </c>
      <c r="I95" s="6" t="s">
        <v>250</v>
      </c>
      <c r="J95" s="7" t="s">
        <v>158</v>
      </c>
      <c r="K95" s="8">
        <v>4.3600000000000003</v>
      </c>
      <c r="L95" s="7">
        <f ca="1">IFERROR(__xludf.DUMMYFUNCTION("""COMPUTED_VALUE"""),86)</f>
        <v>86</v>
      </c>
    </row>
    <row r="96" spans="1:12" ht="15.5">
      <c r="A96" s="9" t="s">
        <v>215</v>
      </c>
      <c r="B96" s="7" t="s">
        <v>251</v>
      </c>
      <c r="C96" s="7" t="s">
        <v>13</v>
      </c>
      <c r="D96" s="7">
        <v>2023</v>
      </c>
      <c r="E96" s="7">
        <v>74.19</v>
      </c>
      <c r="F96" s="7">
        <v>251</v>
      </c>
      <c r="G96" s="7">
        <v>5</v>
      </c>
      <c r="H96" s="7">
        <v>146164.76999999999</v>
      </c>
      <c r="I96" s="6" t="s">
        <v>252</v>
      </c>
      <c r="J96" s="7" t="s">
        <v>253</v>
      </c>
      <c r="K96" s="8">
        <v>7.48</v>
      </c>
      <c r="L96" s="7">
        <f ca="1">IFERROR(__xludf.DUMMYFUNCTION("""COMPUTED_VALUE"""),47)</f>
        <v>47</v>
      </c>
    </row>
    <row r="97" spans="1:12" ht="15.5">
      <c r="A97" s="9" t="s">
        <v>215</v>
      </c>
      <c r="B97" s="7" t="s">
        <v>254</v>
      </c>
      <c r="C97" s="7" t="s">
        <v>13</v>
      </c>
      <c r="D97" s="7">
        <v>2023</v>
      </c>
      <c r="E97" s="7">
        <v>83.57</v>
      </c>
      <c r="F97" s="7">
        <v>86</v>
      </c>
      <c r="G97" s="7">
        <v>6</v>
      </c>
      <c r="H97" s="7">
        <v>141465.49</v>
      </c>
      <c r="I97" s="6" t="s">
        <v>255</v>
      </c>
      <c r="J97" s="7" t="s">
        <v>256</v>
      </c>
      <c r="K97" s="8">
        <v>6.04</v>
      </c>
      <c r="L97" s="7">
        <f ca="1">IFERROR(__xludf.DUMMYFUNCTION("""COMPUTED_VALUE"""),71)</f>
        <v>71</v>
      </c>
    </row>
    <row r="98" spans="1:12" ht="15.5">
      <c r="A98" s="9" t="s">
        <v>215</v>
      </c>
      <c r="B98" s="7" t="s">
        <v>257</v>
      </c>
      <c r="C98" s="7" t="s">
        <v>62</v>
      </c>
      <c r="D98" s="7">
        <v>2023</v>
      </c>
      <c r="E98" s="7">
        <v>83.78</v>
      </c>
      <c r="F98" s="7">
        <v>47</v>
      </c>
      <c r="G98" s="7">
        <v>6</v>
      </c>
      <c r="H98" s="7">
        <v>117.84</v>
      </c>
      <c r="I98" s="7">
        <v>100</v>
      </c>
      <c r="J98" s="7" t="s">
        <v>163</v>
      </c>
      <c r="K98" s="8">
        <v>4.8600000000000003</v>
      </c>
      <c r="L98" s="7">
        <f ca="1">IFERROR(__xludf.DUMMYFUNCTION("""COMPUTED_VALUE"""),48)</f>
        <v>48</v>
      </c>
    </row>
    <row r="99" spans="1:12" ht="15.5">
      <c r="A99" s="9" t="s">
        <v>215</v>
      </c>
      <c r="B99" s="7" t="s">
        <v>258</v>
      </c>
      <c r="C99" s="7" t="s">
        <v>62</v>
      </c>
      <c r="D99" s="7">
        <v>2023</v>
      </c>
      <c r="E99" s="7">
        <v>79.08</v>
      </c>
      <c r="F99" s="7">
        <v>71</v>
      </c>
      <c r="G99" s="7">
        <v>6</v>
      </c>
      <c r="H99" s="7">
        <v>16229.01</v>
      </c>
      <c r="I99" s="7">
        <v>100</v>
      </c>
      <c r="J99" s="7" t="s">
        <v>259</v>
      </c>
      <c r="K99" s="8">
        <v>5.23</v>
      </c>
      <c r="L99" s="7">
        <f ca="1">IFERROR(__xludf.DUMMYFUNCTION("""COMPUTED_VALUE"""),3)</f>
        <v>3</v>
      </c>
    </row>
    <row r="100" spans="1:12" ht="15.5">
      <c r="A100" s="9" t="s">
        <v>215</v>
      </c>
      <c r="B100" s="7" t="s">
        <v>260</v>
      </c>
      <c r="C100" s="7" t="s">
        <v>62</v>
      </c>
      <c r="D100" s="7">
        <v>2023</v>
      </c>
      <c r="E100" s="7">
        <v>90.46</v>
      </c>
      <c r="F100" s="7">
        <v>13</v>
      </c>
      <c r="G100" s="7">
        <v>6</v>
      </c>
      <c r="H100" s="7">
        <v>6178.5</v>
      </c>
      <c r="I100" s="7" t="s">
        <v>54</v>
      </c>
      <c r="J100" s="7" t="s">
        <v>261</v>
      </c>
      <c r="K100" s="8">
        <v>3.64</v>
      </c>
      <c r="L100" s="7">
        <f ca="1">IFERROR(__xludf.DUMMYFUNCTION("""COMPUTED_VALUE"""),34)</f>
        <v>34</v>
      </c>
    </row>
    <row r="101" spans="1:12" ht="15.5">
      <c r="A101" s="9" t="s">
        <v>215</v>
      </c>
      <c r="B101" s="7" t="s">
        <v>262</v>
      </c>
      <c r="C101" s="7" t="s">
        <v>62</v>
      </c>
      <c r="D101" s="7">
        <v>2023</v>
      </c>
      <c r="E101" s="7">
        <v>83.77</v>
      </c>
      <c r="F101" s="7">
        <v>48</v>
      </c>
      <c r="G101" s="7">
        <v>6</v>
      </c>
      <c r="H101" s="7">
        <v>765.87</v>
      </c>
      <c r="I101" s="7" t="s">
        <v>38</v>
      </c>
      <c r="J101" s="7" t="s">
        <v>241</v>
      </c>
      <c r="K101" s="8">
        <v>6.85</v>
      </c>
      <c r="L101" s="7">
        <f ca="1">IFERROR(__xludf.DUMMYFUNCTION("""COMPUTED_VALUE"""),69)</f>
        <v>69</v>
      </c>
    </row>
    <row r="102" spans="1:12" ht="15.5">
      <c r="A102" s="9" t="s">
        <v>215</v>
      </c>
      <c r="B102" s="7" t="s">
        <v>263</v>
      </c>
      <c r="C102" s="7" t="s">
        <v>62</v>
      </c>
      <c r="D102" s="7">
        <v>2023</v>
      </c>
      <c r="E102" s="7">
        <v>93.55</v>
      </c>
      <c r="F102" s="7">
        <v>3</v>
      </c>
      <c r="G102" s="7">
        <v>6</v>
      </c>
      <c r="H102" s="7">
        <v>1310.45</v>
      </c>
      <c r="I102" s="7" t="s">
        <v>38</v>
      </c>
      <c r="J102" s="7" t="s">
        <v>264</v>
      </c>
      <c r="K102" s="8">
        <v>2.27</v>
      </c>
      <c r="L102" s="7">
        <f ca="1">IFERROR(__xludf.DUMMYFUNCTION("""COMPUTED_VALUE"""),76)</f>
        <v>76</v>
      </c>
    </row>
    <row r="103" spans="1:12" ht="15.5">
      <c r="A103" s="9" t="s">
        <v>215</v>
      </c>
      <c r="B103" s="7" t="s">
        <v>265</v>
      </c>
      <c r="C103" s="7" t="s">
        <v>62</v>
      </c>
      <c r="D103" s="7">
        <v>2023</v>
      </c>
      <c r="E103" s="7">
        <v>89.47</v>
      </c>
      <c r="F103" s="7">
        <v>19</v>
      </c>
      <c r="G103" s="7">
        <v>6</v>
      </c>
      <c r="H103" s="7">
        <v>33.119999999999997</v>
      </c>
      <c r="I103" s="7">
        <v>100</v>
      </c>
      <c r="J103" s="7" t="s">
        <v>266</v>
      </c>
      <c r="K103" s="8">
        <v>1.99</v>
      </c>
      <c r="L103" s="7">
        <f ca="1">IFERROR(__xludf.DUMMYFUNCTION("""COMPUTED_VALUE"""),164)</f>
        <v>164</v>
      </c>
    </row>
    <row r="104" spans="1:12" ht="15.5">
      <c r="A104" s="9" t="s">
        <v>215</v>
      </c>
      <c r="B104" s="7" t="s">
        <v>267</v>
      </c>
      <c r="C104" s="7" t="s">
        <v>62</v>
      </c>
      <c r="D104" s="7">
        <v>2023</v>
      </c>
      <c r="E104" s="7">
        <v>87.17</v>
      </c>
      <c r="F104" s="7">
        <v>34</v>
      </c>
      <c r="G104" s="7">
        <v>6</v>
      </c>
      <c r="H104" s="7">
        <v>445.52</v>
      </c>
      <c r="I104" s="7">
        <v>100</v>
      </c>
      <c r="J104" s="7" t="s">
        <v>217</v>
      </c>
      <c r="K104" s="8">
        <v>2.98</v>
      </c>
      <c r="L104" s="7">
        <f ca="1">IFERROR(__xludf.DUMMYFUNCTION("""COMPUTED_VALUE"""),189)</f>
        <v>189</v>
      </c>
    </row>
    <row r="105" spans="1:12" ht="15.5">
      <c r="A105" s="9" t="s">
        <v>215</v>
      </c>
      <c r="B105" s="7" t="s">
        <v>268</v>
      </c>
      <c r="C105" s="7" t="s">
        <v>62</v>
      </c>
      <c r="D105" s="7">
        <v>2023</v>
      </c>
      <c r="E105" s="7">
        <v>72.709999999999994</v>
      </c>
      <c r="F105" s="7">
        <v>86</v>
      </c>
      <c r="G105" s="7">
        <v>6</v>
      </c>
      <c r="H105" s="7">
        <v>42032.34</v>
      </c>
      <c r="I105" s="7">
        <v>100</v>
      </c>
      <c r="J105" s="7" t="s">
        <v>269</v>
      </c>
      <c r="K105" s="8">
        <v>5.14</v>
      </c>
      <c r="L105" s="7">
        <f ca="1">IFERROR(__xludf.DUMMYFUNCTION("""COMPUTED_VALUE"""),155)</f>
        <v>155</v>
      </c>
    </row>
    <row r="106" spans="1:12" ht="15.5">
      <c r="A106" s="12" t="s">
        <v>215</v>
      </c>
      <c r="B106" s="13" t="s">
        <v>270</v>
      </c>
      <c r="C106" s="13" t="s">
        <v>62</v>
      </c>
      <c r="D106" s="13">
        <v>2023</v>
      </c>
      <c r="E106" s="13">
        <v>79.55</v>
      </c>
      <c r="F106" s="13">
        <v>69</v>
      </c>
      <c r="G106" s="13">
        <v>6</v>
      </c>
      <c r="H106" s="13">
        <v>32262.23</v>
      </c>
      <c r="I106" s="13">
        <v>100</v>
      </c>
      <c r="J106" s="13" t="s">
        <v>15</v>
      </c>
      <c r="K106" s="14">
        <v>5.55</v>
      </c>
      <c r="L106" s="7">
        <f ca="1">IFERROR(__xludf.DUMMYFUNCTION("""COMPUTED_VALUE"""),153)</f>
        <v>153</v>
      </c>
    </row>
    <row r="107" spans="1:12" ht="15.5">
      <c r="A107" s="4" t="s">
        <v>271</v>
      </c>
      <c r="B107" s="5" t="s">
        <v>272</v>
      </c>
      <c r="C107" s="5" t="s">
        <v>13</v>
      </c>
      <c r="D107" s="5">
        <v>2023</v>
      </c>
      <c r="E107" s="5">
        <v>84.13</v>
      </c>
      <c r="F107" s="5">
        <v>76</v>
      </c>
      <c r="G107" s="5">
        <v>6</v>
      </c>
      <c r="H107" s="5">
        <v>766923.48</v>
      </c>
      <c r="I107" s="6">
        <v>100</v>
      </c>
      <c r="J107" s="5" t="s">
        <v>273</v>
      </c>
      <c r="K107" s="8">
        <v>12.29</v>
      </c>
      <c r="L107" s="7">
        <f ca="1">IFERROR(__xludf.DUMMYFUNCTION("""COMPUTED_VALUE"""),64)</f>
        <v>64</v>
      </c>
    </row>
    <row r="108" spans="1:12" ht="15.5">
      <c r="A108" s="9" t="s">
        <v>271</v>
      </c>
      <c r="B108" s="7" t="s">
        <v>274</v>
      </c>
      <c r="C108" s="7" t="s">
        <v>13</v>
      </c>
      <c r="D108" s="7">
        <v>2023</v>
      </c>
      <c r="E108" s="7">
        <v>79.81</v>
      </c>
      <c r="F108" s="7">
        <v>164</v>
      </c>
      <c r="G108" s="7">
        <v>6</v>
      </c>
      <c r="H108" s="7">
        <v>279426.07</v>
      </c>
      <c r="I108" s="6">
        <v>100</v>
      </c>
      <c r="J108" s="7" t="s">
        <v>248</v>
      </c>
      <c r="K108" s="8">
        <v>10.84</v>
      </c>
      <c r="L108" s="7">
        <f ca="1">IFERROR(__xludf.DUMMYFUNCTION("""COMPUTED_VALUE"""),195)</f>
        <v>195</v>
      </c>
    </row>
    <row r="109" spans="1:12" ht="15.5">
      <c r="A109" s="9" t="s">
        <v>271</v>
      </c>
      <c r="B109" s="7" t="s">
        <v>275</v>
      </c>
      <c r="C109" s="7" t="s">
        <v>13</v>
      </c>
      <c r="D109" s="7">
        <v>2023</v>
      </c>
      <c r="E109" s="7">
        <v>78.05</v>
      </c>
      <c r="F109" s="7">
        <v>189</v>
      </c>
      <c r="G109" s="7">
        <v>6</v>
      </c>
      <c r="H109" s="7">
        <v>140772.31</v>
      </c>
      <c r="I109" s="6" t="s">
        <v>252</v>
      </c>
      <c r="J109" s="7" t="s">
        <v>172</v>
      </c>
      <c r="K109" s="8">
        <v>10.08</v>
      </c>
      <c r="L109" s="7">
        <f ca="1">IFERROR(__xludf.DUMMYFUNCTION("""COMPUTED_VALUE"""),161)</f>
        <v>161</v>
      </c>
    </row>
    <row r="110" spans="1:12" ht="15.5">
      <c r="A110" s="9" t="s">
        <v>271</v>
      </c>
      <c r="B110" s="7" t="s">
        <v>276</v>
      </c>
      <c r="C110" s="7" t="s">
        <v>13</v>
      </c>
      <c r="D110" s="7">
        <v>2023</v>
      </c>
      <c r="E110" s="7">
        <v>80.28</v>
      </c>
      <c r="F110" s="7">
        <v>155</v>
      </c>
      <c r="G110" s="7">
        <v>6</v>
      </c>
      <c r="H110" s="7">
        <v>100417.99</v>
      </c>
      <c r="I110" s="6" t="s">
        <v>27</v>
      </c>
      <c r="J110" s="7" t="s">
        <v>277</v>
      </c>
      <c r="K110" s="8">
        <v>12.14</v>
      </c>
      <c r="L110" s="7">
        <f ca="1">IFERROR(__xludf.DUMMYFUNCTION("""COMPUTED_VALUE"""),24)</f>
        <v>24</v>
      </c>
    </row>
    <row r="111" spans="1:12" ht="15.5">
      <c r="A111" s="9" t="s">
        <v>271</v>
      </c>
      <c r="B111" s="7" t="s">
        <v>278</v>
      </c>
      <c r="C111" s="7" t="s">
        <v>13</v>
      </c>
      <c r="D111" s="7">
        <v>2023</v>
      </c>
      <c r="E111" s="7">
        <v>80.34</v>
      </c>
      <c r="F111" s="7">
        <v>153</v>
      </c>
      <c r="G111" s="7">
        <v>6</v>
      </c>
      <c r="H111" s="7">
        <v>403756.99</v>
      </c>
      <c r="I111" s="6">
        <v>100</v>
      </c>
      <c r="J111" s="7" t="s">
        <v>279</v>
      </c>
      <c r="K111" s="8">
        <v>12</v>
      </c>
      <c r="L111" s="7">
        <f ca="1">IFERROR(__xludf.DUMMYFUNCTION("""COMPUTED_VALUE"""),16)</f>
        <v>16</v>
      </c>
    </row>
    <row r="112" spans="1:12" ht="15.5">
      <c r="A112" s="9" t="s">
        <v>271</v>
      </c>
      <c r="B112" s="7" t="s">
        <v>280</v>
      </c>
      <c r="C112" s="7" t="s">
        <v>13</v>
      </c>
      <c r="D112" s="7">
        <v>2023</v>
      </c>
      <c r="E112" s="7">
        <v>84.74</v>
      </c>
      <c r="F112" s="7">
        <v>64</v>
      </c>
      <c r="G112" s="7">
        <v>6</v>
      </c>
      <c r="H112" s="7">
        <v>287702.75</v>
      </c>
      <c r="I112" s="6">
        <v>100</v>
      </c>
      <c r="J112" s="7" t="s">
        <v>261</v>
      </c>
      <c r="K112" s="8">
        <v>14.71</v>
      </c>
      <c r="L112" s="7">
        <f ca="1">IFERROR(__xludf.DUMMYFUNCTION("""COMPUTED_VALUE"""),9)</f>
        <v>9</v>
      </c>
    </row>
    <row r="113" spans="1:12" ht="15.5">
      <c r="A113" s="9" t="s">
        <v>271</v>
      </c>
      <c r="B113" s="7" t="s">
        <v>281</v>
      </c>
      <c r="C113" s="7" t="s">
        <v>13</v>
      </c>
      <c r="D113" s="7">
        <v>2023</v>
      </c>
      <c r="E113" s="7">
        <v>77.819999999999993</v>
      </c>
      <c r="F113" s="7">
        <v>195</v>
      </c>
      <c r="G113" s="7">
        <v>6</v>
      </c>
      <c r="H113" s="7">
        <v>63487.05</v>
      </c>
      <c r="I113" s="6">
        <v>100</v>
      </c>
      <c r="J113" s="7" t="s">
        <v>282</v>
      </c>
      <c r="K113" s="8">
        <v>12.89</v>
      </c>
      <c r="L113" s="7">
        <f ca="1">IFERROR(__xludf.DUMMYFUNCTION("""COMPUTED_VALUE"""),27)</f>
        <v>27</v>
      </c>
    </row>
    <row r="114" spans="1:12" ht="15.5">
      <c r="A114" s="9" t="s">
        <v>271</v>
      </c>
      <c r="B114" s="7" t="s">
        <v>283</v>
      </c>
      <c r="C114" s="7" t="s">
        <v>13</v>
      </c>
      <c r="D114" s="7">
        <v>2023</v>
      </c>
      <c r="E114" s="7">
        <v>79.91</v>
      </c>
      <c r="F114" s="7">
        <v>161</v>
      </c>
      <c r="G114" s="7">
        <v>6</v>
      </c>
      <c r="H114" s="7">
        <v>161747.04999999999</v>
      </c>
      <c r="I114" s="6" t="s">
        <v>14</v>
      </c>
      <c r="J114" s="7" t="s">
        <v>149</v>
      </c>
      <c r="K114" s="8">
        <v>11.23</v>
      </c>
      <c r="L114" s="7">
        <f ca="1">IFERROR(__xludf.DUMMYFUNCTION("""COMPUTED_VALUE"""),28)</f>
        <v>28</v>
      </c>
    </row>
    <row r="115" spans="1:12" ht="15.5">
      <c r="A115" s="9" t="s">
        <v>271</v>
      </c>
      <c r="B115" s="7" t="s">
        <v>284</v>
      </c>
      <c r="C115" s="7" t="s">
        <v>13</v>
      </c>
      <c r="D115" s="7">
        <v>2023</v>
      </c>
      <c r="E115" s="7">
        <v>87.31</v>
      </c>
      <c r="F115" s="7">
        <v>24</v>
      </c>
      <c r="G115" s="7">
        <v>6</v>
      </c>
      <c r="H115" s="7">
        <v>278957.96000000002</v>
      </c>
      <c r="I115" s="6" t="s">
        <v>285</v>
      </c>
      <c r="J115" s="7" t="s">
        <v>286</v>
      </c>
      <c r="K115" s="8">
        <v>12.73</v>
      </c>
      <c r="L115" s="7">
        <f ca="1">IFERROR(__xludf.DUMMYFUNCTION("""COMPUTED_VALUE"""),6)</f>
        <v>6</v>
      </c>
    </row>
    <row r="116" spans="1:12" ht="15.5">
      <c r="A116" s="9" t="s">
        <v>271</v>
      </c>
      <c r="B116" s="7" t="s">
        <v>287</v>
      </c>
      <c r="C116" s="7" t="s">
        <v>13</v>
      </c>
      <c r="D116" s="7">
        <v>2023</v>
      </c>
      <c r="E116" s="7">
        <v>85.5</v>
      </c>
      <c r="F116" s="7">
        <v>48</v>
      </c>
      <c r="G116" s="7">
        <v>6</v>
      </c>
      <c r="H116" s="7">
        <v>355717.1</v>
      </c>
      <c r="I116" s="6">
        <v>100</v>
      </c>
      <c r="J116" s="7" t="s">
        <v>288</v>
      </c>
      <c r="K116" s="8">
        <v>14.46</v>
      </c>
      <c r="L116" s="7">
        <f ca="1">IFERROR(__xludf.DUMMYFUNCTION("""COMPUTED_VALUE"""),8)</f>
        <v>8</v>
      </c>
    </row>
    <row r="117" spans="1:12" ht="15.5">
      <c r="A117" s="9" t="s">
        <v>271</v>
      </c>
      <c r="B117" s="7" t="s">
        <v>289</v>
      </c>
      <c r="C117" s="7" t="s">
        <v>13</v>
      </c>
      <c r="D117" s="7">
        <v>2023</v>
      </c>
      <c r="E117" s="7">
        <v>91.02</v>
      </c>
      <c r="F117" s="7">
        <v>3</v>
      </c>
      <c r="G117" s="7">
        <v>6</v>
      </c>
      <c r="H117" s="7">
        <v>320221.12</v>
      </c>
      <c r="I117" s="6">
        <v>100</v>
      </c>
      <c r="J117" s="7" t="s">
        <v>63</v>
      </c>
      <c r="K117" s="8">
        <v>10.31</v>
      </c>
      <c r="L117" s="7">
        <f ca="1">IFERROR(__xludf.DUMMYFUNCTION("""COMPUTED_VALUE"""),7)</f>
        <v>7</v>
      </c>
    </row>
    <row r="118" spans="1:12" ht="15.5">
      <c r="A118" s="9" t="s">
        <v>271</v>
      </c>
      <c r="B118" s="7" t="s">
        <v>290</v>
      </c>
      <c r="C118" s="7" t="s">
        <v>13</v>
      </c>
      <c r="D118" s="7">
        <v>2023</v>
      </c>
      <c r="E118" s="7">
        <v>87.79</v>
      </c>
      <c r="F118" s="7">
        <v>16</v>
      </c>
      <c r="G118" s="7">
        <v>6</v>
      </c>
      <c r="H118" s="7">
        <v>376817.05</v>
      </c>
      <c r="I118" s="6" t="s">
        <v>54</v>
      </c>
      <c r="J118" s="7" t="s">
        <v>277</v>
      </c>
      <c r="K118" s="8">
        <v>10.8</v>
      </c>
      <c r="L118" s="7">
        <f ca="1">IFERROR(__xludf.DUMMYFUNCTION("""COMPUTED_VALUE"""),52)</f>
        <v>52</v>
      </c>
    </row>
    <row r="119" spans="1:12" ht="15.5">
      <c r="A119" s="9" t="s">
        <v>271</v>
      </c>
      <c r="B119" s="7" t="s">
        <v>291</v>
      </c>
      <c r="C119" s="7" t="s">
        <v>13</v>
      </c>
      <c r="D119" s="7">
        <v>2023</v>
      </c>
      <c r="E119" s="7">
        <v>88.48</v>
      </c>
      <c r="F119" s="7">
        <v>9</v>
      </c>
      <c r="G119" s="7">
        <v>6</v>
      </c>
      <c r="H119" s="7">
        <v>251816.48</v>
      </c>
      <c r="I119" s="6">
        <v>100</v>
      </c>
      <c r="J119" s="7" t="s">
        <v>143</v>
      </c>
      <c r="K119" s="8">
        <v>10.63</v>
      </c>
      <c r="L119" s="7">
        <f ca="1">IFERROR(__xludf.DUMMYFUNCTION("""COMPUTED_VALUE"""),193)</f>
        <v>193</v>
      </c>
    </row>
    <row r="120" spans="1:12" ht="15.5">
      <c r="A120" s="9" t="s">
        <v>271</v>
      </c>
      <c r="B120" s="7" t="s">
        <v>292</v>
      </c>
      <c r="C120" s="7" t="s">
        <v>13</v>
      </c>
      <c r="D120" s="7">
        <v>2023</v>
      </c>
      <c r="E120" s="7">
        <v>88.17</v>
      </c>
      <c r="F120" s="7">
        <v>11</v>
      </c>
      <c r="G120" s="7">
        <v>6</v>
      </c>
      <c r="H120" s="7">
        <v>641060.25</v>
      </c>
      <c r="I120" s="6">
        <v>100</v>
      </c>
      <c r="J120" s="7" t="s">
        <v>293</v>
      </c>
      <c r="K120" s="8">
        <v>10.8</v>
      </c>
      <c r="L120" s="7">
        <f ca="1">IFERROR(__xludf.DUMMYFUNCTION("""COMPUTED_VALUE"""),44)</f>
        <v>44</v>
      </c>
    </row>
    <row r="121" spans="1:12" ht="15.5">
      <c r="A121" s="9" t="s">
        <v>271</v>
      </c>
      <c r="B121" s="7" t="s">
        <v>294</v>
      </c>
      <c r="C121" s="7" t="s">
        <v>13</v>
      </c>
      <c r="D121" s="7">
        <v>2023</v>
      </c>
      <c r="E121" s="7">
        <v>87.18</v>
      </c>
      <c r="F121" s="7">
        <v>27</v>
      </c>
      <c r="G121" s="7">
        <v>6</v>
      </c>
      <c r="H121" s="7">
        <v>679393.06</v>
      </c>
      <c r="I121" s="6">
        <v>100</v>
      </c>
      <c r="J121" s="7" t="s">
        <v>277</v>
      </c>
      <c r="K121" s="8">
        <v>13.23</v>
      </c>
      <c r="L121" s="7">
        <f ca="1">IFERROR(__xludf.DUMMYFUNCTION("""COMPUTED_VALUE"""),95)</f>
        <v>95</v>
      </c>
    </row>
    <row r="122" spans="1:12" ht="15.5">
      <c r="A122" s="9" t="s">
        <v>271</v>
      </c>
      <c r="B122" s="7" t="s">
        <v>295</v>
      </c>
      <c r="C122" s="7" t="s">
        <v>13</v>
      </c>
      <c r="D122" s="7">
        <v>2023</v>
      </c>
      <c r="E122" s="7">
        <v>86.94</v>
      </c>
      <c r="F122" s="7">
        <v>28</v>
      </c>
      <c r="G122" s="7">
        <v>6</v>
      </c>
      <c r="H122" s="7">
        <v>470880</v>
      </c>
      <c r="I122" s="7">
        <v>100</v>
      </c>
      <c r="J122" s="7" t="s">
        <v>87</v>
      </c>
      <c r="K122" s="8">
        <v>11.27</v>
      </c>
      <c r="L122" s="7">
        <f ca="1">IFERROR(__xludf.DUMMYFUNCTION("""COMPUTED_VALUE"""),123)</f>
        <v>123</v>
      </c>
    </row>
    <row r="123" spans="1:12" ht="15.5">
      <c r="A123" s="9" t="s">
        <v>271</v>
      </c>
      <c r="B123" s="7" t="s">
        <v>296</v>
      </c>
      <c r="C123" s="7" t="s">
        <v>13</v>
      </c>
      <c r="D123" s="7">
        <v>2023</v>
      </c>
      <c r="E123" s="7">
        <v>84.45</v>
      </c>
      <c r="F123" s="7">
        <v>69</v>
      </c>
      <c r="G123" s="7">
        <v>6</v>
      </c>
      <c r="H123" s="7">
        <v>214958.29</v>
      </c>
      <c r="I123" s="6">
        <v>100</v>
      </c>
      <c r="J123" s="7" t="s">
        <v>297</v>
      </c>
      <c r="K123" s="8">
        <v>10.15</v>
      </c>
      <c r="L123" s="7">
        <f ca="1">IFERROR(__xludf.DUMMYFUNCTION("""COMPUTED_VALUE"""),144)</f>
        <v>144</v>
      </c>
    </row>
    <row r="124" spans="1:12" ht="15.5">
      <c r="A124" s="9" t="s">
        <v>271</v>
      </c>
      <c r="B124" s="7" t="s">
        <v>298</v>
      </c>
      <c r="C124" s="7" t="s">
        <v>13</v>
      </c>
      <c r="D124" s="7">
        <v>2023</v>
      </c>
      <c r="E124" s="7">
        <v>89.27</v>
      </c>
      <c r="F124" s="7">
        <v>6</v>
      </c>
      <c r="G124" s="7">
        <v>6</v>
      </c>
      <c r="H124" s="7">
        <v>513325.78</v>
      </c>
      <c r="I124" s="6" t="s">
        <v>106</v>
      </c>
      <c r="J124" s="7" t="s">
        <v>299</v>
      </c>
      <c r="K124" s="8">
        <v>7.78</v>
      </c>
      <c r="L124" s="7">
        <f ca="1">IFERROR(__xludf.DUMMYFUNCTION("""COMPUTED_VALUE"""),105)</f>
        <v>105</v>
      </c>
    </row>
    <row r="125" spans="1:12" ht="15.5">
      <c r="A125" s="9" t="s">
        <v>271</v>
      </c>
      <c r="B125" s="7" t="s">
        <v>300</v>
      </c>
      <c r="C125" s="7" t="s">
        <v>13</v>
      </c>
      <c r="D125" s="7">
        <v>2023</v>
      </c>
      <c r="E125" s="7">
        <v>88.91</v>
      </c>
      <c r="F125" s="7">
        <v>8</v>
      </c>
      <c r="G125" s="7">
        <v>6</v>
      </c>
      <c r="H125" s="7">
        <v>162224.25</v>
      </c>
      <c r="I125" s="6">
        <v>100</v>
      </c>
      <c r="J125" s="7" t="s">
        <v>301</v>
      </c>
      <c r="K125" s="8">
        <v>8.36</v>
      </c>
      <c r="L125" s="7">
        <f ca="1">IFERROR(__xludf.DUMMYFUNCTION("""COMPUTED_VALUE"""),205)</f>
        <v>205</v>
      </c>
    </row>
    <row r="126" spans="1:12" ht="15.5">
      <c r="A126" s="9" t="s">
        <v>271</v>
      </c>
      <c r="B126" s="7" t="s">
        <v>302</v>
      </c>
      <c r="C126" s="7" t="s">
        <v>13</v>
      </c>
      <c r="D126" s="7">
        <v>2023</v>
      </c>
      <c r="E126" s="7">
        <v>86.91</v>
      </c>
      <c r="F126" s="7">
        <v>29</v>
      </c>
      <c r="G126" s="7">
        <v>6</v>
      </c>
      <c r="H126" s="7">
        <v>190986.34</v>
      </c>
      <c r="I126" s="6" t="s">
        <v>303</v>
      </c>
      <c r="J126" s="7" t="s">
        <v>220</v>
      </c>
      <c r="K126" s="8">
        <v>10.02</v>
      </c>
      <c r="L126" s="7">
        <f ca="1">IFERROR(__xludf.DUMMYFUNCTION("""COMPUTED_VALUE"""),39)</f>
        <v>39</v>
      </c>
    </row>
    <row r="127" spans="1:12" ht="15.5">
      <c r="A127" s="9" t="s">
        <v>271</v>
      </c>
      <c r="B127" s="7" t="s">
        <v>304</v>
      </c>
      <c r="C127" s="7" t="s">
        <v>13</v>
      </c>
      <c r="D127" s="7">
        <v>2023</v>
      </c>
      <c r="E127" s="7">
        <v>89.03</v>
      </c>
      <c r="F127" s="7">
        <v>7</v>
      </c>
      <c r="G127" s="7">
        <v>6</v>
      </c>
      <c r="H127" s="7">
        <v>566006.1</v>
      </c>
      <c r="I127" s="6">
        <v>100</v>
      </c>
      <c r="J127" s="7" t="s">
        <v>241</v>
      </c>
      <c r="K127" s="8">
        <v>7.77</v>
      </c>
      <c r="L127" s="7">
        <f ca="1">IFERROR(__xludf.DUMMYFUNCTION("""COMPUTED_VALUE"""),72)</f>
        <v>72</v>
      </c>
    </row>
    <row r="128" spans="1:12" ht="15.5">
      <c r="A128" s="9" t="s">
        <v>271</v>
      </c>
      <c r="B128" s="7" t="s">
        <v>305</v>
      </c>
      <c r="C128" s="7" t="s">
        <v>13</v>
      </c>
      <c r="D128" s="7">
        <v>2023</v>
      </c>
      <c r="E128" s="7">
        <v>85.35</v>
      </c>
      <c r="F128" s="7">
        <v>52</v>
      </c>
      <c r="G128" s="7">
        <v>6</v>
      </c>
      <c r="H128" s="7">
        <v>142656.6</v>
      </c>
      <c r="I128" s="6">
        <v>100</v>
      </c>
      <c r="J128" s="7" t="s">
        <v>112</v>
      </c>
      <c r="K128" s="8">
        <v>8.2799999999999994</v>
      </c>
      <c r="L128" s="7">
        <f ca="1">IFERROR(__xludf.DUMMYFUNCTION("""COMPUTED_VALUE"""),38)</f>
        <v>38</v>
      </c>
    </row>
    <row r="129" spans="1:12" ht="15.5">
      <c r="A129" s="9" t="s">
        <v>271</v>
      </c>
      <c r="B129" s="7" t="s">
        <v>306</v>
      </c>
      <c r="C129" s="7" t="s">
        <v>13</v>
      </c>
      <c r="D129" s="7">
        <v>2023</v>
      </c>
      <c r="E129" s="7">
        <v>77.84</v>
      </c>
      <c r="F129" s="7">
        <v>193</v>
      </c>
      <c r="G129" s="7">
        <v>6</v>
      </c>
      <c r="H129" s="7">
        <v>47992.3</v>
      </c>
      <c r="I129" s="6">
        <v>100</v>
      </c>
      <c r="J129" s="7" t="s">
        <v>253</v>
      </c>
      <c r="K129" s="8">
        <v>10.26</v>
      </c>
      <c r="L129" s="7">
        <f ca="1">IFERROR(__xludf.DUMMYFUNCTION("""COMPUTED_VALUE"""),145)</f>
        <v>145</v>
      </c>
    </row>
    <row r="130" spans="1:12" ht="15.5">
      <c r="A130" s="9" t="s">
        <v>271</v>
      </c>
      <c r="B130" s="7" t="s">
        <v>307</v>
      </c>
      <c r="C130" s="7" t="s">
        <v>13</v>
      </c>
      <c r="D130" s="7">
        <v>2023</v>
      </c>
      <c r="E130" s="7">
        <v>85.58</v>
      </c>
      <c r="F130" s="7">
        <v>44</v>
      </c>
      <c r="G130" s="7">
        <v>6</v>
      </c>
      <c r="H130" s="7">
        <v>167076.95000000001</v>
      </c>
      <c r="I130" s="6" t="s">
        <v>308</v>
      </c>
      <c r="J130" s="7" t="s">
        <v>309</v>
      </c>
      <c r="K130" s="8">
        <v>11.9</v>
      </c>
      <c r="L130" s="7">
        <f ca="1">IFERROR(__xludf.DUMMYFUNCTION("""COMPUTED_VALUE"""),121)</f>
        <v>121</v>
      </c>
    </row>
    <row r="131" spans="1:12" ht="15.5">
      <c r="A131" s="9" t="s">
        <v>271</v>
      </c>
      <c r="B131" s="7" t="s">
        <v>310</v>
      </c>
      <c r="C131" s="7" t="s">
        <v>13</v>
      </c>
      <c r="D131" s="7">
        <v>2023</v>
      </c>
      <c r="E131" s="7">
        <v>83.15</v>
      </c>
      <c r="F131" s="7">
        <v>95</v>
      </c>
      <c r="G131" s="7">
        <v>6</v>
      </c>
      <c r="H131" s="7">
        <v>142147.51999999999</v>
      </c>
      <c r="I131" s="6">
        <v>100</v>
      </c>
      <c r="J131" s="7" t="s">
        <v>143</v>
      </c>
      <c r="K131" s="8">
        <v>9.3800000000000008</v>
      </c>
      <c r="L131" s="7">
        <f ca="1">IFERROR(__xludf.DUMMYFUNCTION("""COMPUTED_VALUE"""),37)</f>
        <v>37</v>
      </c>
    </row>
    <row r="132" spans="1:12" ht="15.5">
      <c r="A132" s="9" t="s">
        <v>271</v>
      </c>
      <c r="B132" s="7" t="s">
        <v>311</v>
      </c>
      <c r="C132" s="7" t="s">
        <v>13</v>
      </c>
      <c r="D132" s="7">
        <v>2023</v>
      </c>
      <c r="E132" s="7">
        <v>81.81</v>
      </c>
      <c r="F132" s="7">
        <v>123</v>
      </c>
      <c r="G132" s="7">
        <v>6</v>
      </c>
      <c r="H132" s="7">
        <v>168024.58</v>
      </c>
      <c r="I132" s="6">
        <v>100</v>
      </c>
      <c r="J132" s="7" t="s">
        <v>312</v>
      </c>
      <c r="K132" s="8">
        <v>6.73</v>
      </c>
      <c r="L132" s="7">
        <f ca="1">IFERROR(__xludf.DUMMYFUNCTION("""COMPUTED_VALUE"""),186)</f>
        <v>186</v>
      </c>
    </row>
    <row r="133" spans="1:12" ht="15.5">
      <c r="A133" s="9" t="s">
        <v>271</v>
      </c>
      <c r="B133" s="7" t="s">
        <v>313</v>
      </c>
      <c r="C133" s="7" t="s">
        <v>13</v>
      </c>
      <c r="D133" s="7">
        <v>2023</v>
      </c>
      <c r="E133" s="7">
        <v>80.84</v>
      </c>
      <c r="F133" s="7">
        <v>144</v>
      </c>
      <c r="G133" s="7">
        <v>6</v>
      </c>
      <c r="H133" s="7">
        <v>388744.86</v>
      </c>
      <c r="I133" s="6">
        <v>100</v>
      </c>
      <c r="J133" s="7" t="s">
        <v>314</v>
      </c>
      <c r="K133" s="8">
        <v>9.4700000000000006</v>
      </c>
      <c r="L133" s="7">
        <f ca="1">IFERROR(__xludf.DUMMYFUNCTION("""COMPUTED_VALUE"""),158)</f>
        <v>158</v>
      </c>
    </row>
    <row r="134" spans="1:12" ht="15.5">
      <c r="A134" s="9" t="s">
        <v>271</v>
      </c>
      <c r="B134" s="7" t="s">
        <v>315</v>
      </c>
      <c r="C134" s="7" t="s">
        <v>13</v>
      </c>
      <c r="D134" s="7">
        <v>2023</v>
      </c>
      <c r="E134" s="7">
        <v>82.84</v>
      </c>
      <c r="F134" s="7">
        <v>105</v>
      </c>
      <c r="G134" s="7">
        <v>6</v>
      </c>
      <c r="H134" s="7">
        <v>322591.57</v>
      </c>
      <c r="I134" s="6">
        <v>100</v>
      </c>
      <c r="J134" s="7" t="s">
        <v>316</v>
      </c>
      <c r="K134" s="8">
        <v>12.25</v>
      </c>
      <c r="L134" s="7">
        <f ca="1">IFERROR(__xludf.DUMMYFUNCTION("""COMPUTED_VALUE"""),169)</f>
        <v>169</v>
      </c>
    </row>
    <row r="135" spans="1:12" ht="15.5">
      <c r="A135" s="9" t="s">
        <v>271</v>
      </c>
      <c r="B135" s="7" t="s">
        <v>317</v>
      </c>
      <c r="C135" s="7" t="s">
        <v>13</v>
      </c>
      <c r="D135" s="7">
        <v>2023</v>
      </c>
      <c r="E135" s="7">
        <v>77.209999999999994</v>
      </c>
      <c r="F135" s="7">
        <v>205</v>
      </c>
      <c r="G135" s="7">
        <v>6</v>
      </c>
      <c r="H135" s="7">
        <v>424806.94</v>
      </c>
      <c r="I135" s="6" t="s">
        <v>219</v>
      </c>
      <c r="J135" s="7" t="s">
        <v>318</v>
      </c>
      <c r="K135" s="8">
        <v>9.3699999999999992</v>
      </c>
      <c r="L135" s="7">
        <f ca="1">IFERROR(__xludf.DUMMYFUNCTION("""COMPUTED_VALUE"""),201)</f>
        <v>201</v>
      </c>
    </row>
    <row r="136" spans="1:12" ht="15.5">
      <c r="A136" s="9" t="s">
        <v>271</v>
      </c>
      <c r="B136" s="7" t="s">
        <v>319</v>
      </c>
      <c r="C136" s="7" t="s">
        <v>62</v>
      </c>
      <c r="D136" s="7">
        <v>2023</v>
      </c>
      <c r="E136" s="7">
        <v>91.18</v>
      </c>
      <c r="F136" s="7">
        <v>10</v>
      </c>
      <c r="G136" s="7">
        <v>6</v>
      </c>
      <c r="H136" s="7">
        <v>640.25</v>
      </c>
      <c r="I136" s="6">
        <v>100</v>
      </c>
      <c r="J136" s="7" t="s">
        <v>320</v>
      </c>
      <c r="K136" s="8">
        <v>10.34</v>
      </c>
      <c r="L136" s="7">
        <f ca="1">IFERROR(__xludf.DUMMYFUNCTION("""COMPUTED_VALUE"""),61)</f>
        <v>61</v>
      </c>
    </row>
    <row r="137" spans="1:12" ht="15.5">
      <c r="A137" s="9" t="s">
        <v>271</v>
      </c>
      <c r="B137" s="7" t="s">
        <v>321</v>
      </c>
      <c r="C137" s="7" t="s">
        <v>62</v>
      </c>
      <c r="D137" s="7">
        <v>2023</v>
      </c>
      <c r="E137" s="7">
        <v>85.8</v>
      </c>
      <c r="F137" s="7">
        <v>39</v>
      </c>
      <c r="G137" s="7">
        <v>6</v>
      </c>
      <c r="H137" s="7">
        <v>160.9</v>
      </c>
      <c r="I137" s="6">
        <v>100</v>
      </c>
      <c r="J137" s="7" t="s">
        <v>107</v>
      </c>
      <c r="K137" s="8">
        <v>7.92</v>
      </c>
      <c r="L137" s="7">
        <f ca="1">IFERROR(__xludf.DUMMYFUNCTION("""COMPUTED_VALUE"""),237)</f>
        <v>237</v>
      </c>
    </row>
    <row r="138" spans="1:12" ht="15.5">
      <c r="A138" s="9" t="s">
        <v>271</v>
      </c>
      <c r="B138" s="7" t="s">
        <v>322</v>
      </c>
      <c r="C138" s="7" t="s">
        <v>62</v>
      </c>
      <c r="D138" s="7">
        <v>2023</v>
      </c>
      <c r="E138" s="7">
        <v>94.2</v>
      </c>
      <c r="F138" s="7">
        <v>2</v>
      </c>
      <c r="G138" s="7">
        <v>6</v>
      </c>
      <c r="H138" s="7">
        <v>3331.73</v>
      </c>
      <c r="I138" s="6">
        <v>100</v>
      </c>
      <c r="J138" s="7" t="s">
        <v>273</v>
      </c>
      <c r="K138" s="8">
        <v>5.83</v>
      </c>
      <c r="L138" s="7">
        <f ca="1">IFERROR(__xludf.DUMMYFUNCTION("""COMPUTED_VALUE"""),220)</f>
        <v>220</v>
      </c>
    </row>
    <row r="139" spans="1:12" ht="15.5">
      <c r="A139" s="9" t="s">
        <v>271</v>
      </c>
      <c r="B139" s="7" t="s">
        <v>323</v>
      </c>
      <c r="C139" s="7" t="s">
        <v>62</v>
      </c>
      <c r="D139" s="7">
        <v>2023</v>
      </c>
      <c r="E139" s="7">
        <v>91.31</v>
      </c>
      <c r="F139" s="7">
        <v>9</v>
      </c>
      <c r="G139" s="7">
        <v>6</v>
      </c>
      <c r="H139" s="7">
        <v>16212.1</v>
      </c>
      <c r="I139" s="6">
        <v>100</v>
      </c>
      <c r="J139" s="7" t="s">
        <v>324</v>
      </c>
      <c r="K139" s="8">
        <v>6.81</v>
      </c>
      <c r="L139" s="7">
        <f ca="1">IFERROR(__xludf.DUMMYFUNCTION("""COMPUTED_VALUE"""),263)</f>
        <v>263</v>
      </c>
    </row>
    <row r="140" spans="1:12" ht="15.5">
      <c r="A140" s="9" t="s">
        <v>271</v>
      </c>
      <c r="B140" s="7" t="s">
        <v>325</v>
      </c>
      <c r="C140" s="7" t="s">
        <v>62</v>
      </c>
      <c r="D140" s="7">
        <v>2023</v>
      </c>
      <c r="E140" s="7">
        <v>78.94</v>
      </c>
      <c r="F140" s="7">
        <v>72</v>
      </c>
      <c r="G140" s="7">
        <v>6</v>
      </c>
      <c r="H140" s="7">
        <v>7570.84</v>
      </c>
      <c r="I140" s="6">
        <v>100</v>
      </c>
      <c r="J140" s="7" t="s">
        <v>326</v>
      </c>
      <c r="K140" s="8">
        <v>7.76</v>
      </c>
      <c r="L140" s="7">
        <f ca="1">IFERROR(__xludf.DUMMYFUNCTION("""COMPUTED_VALUE"""),162)</f>
        <v>162</v>
      </c>
    </row>
    <row r="141" spans="1:12" ht="15.5">
      <c r="A141" s="12" t="s">
        <v>271</v>
      </c>
      <c r="B141" s="13" t="s">
        <v>327</v>
      </c>
      <c r="C141" s="13" t="s">
        <v>62</v>
      </c>
      <c r="D141" s="13">
        <v>2023</v>
      </c>
      <c r="E141" s="13">
        <v>86</v>
      </c>
      <c r="F141" s="13">
        <v>38</v>
      </c>
      <c r="G141" s="13">
        <v>6</v>
      </c>
      <c r="H141" s="13">
        <v>3160.24</v>
      </c>
      <c r="I141" s="16" t="s">
        <v>219</v>
      </c>
      <c r="J141" s="13" t="s">
        <v>241</v>
      </c>
      <c r="K141" s="14">
        <v>7.16</v>
      </c>
      <c r="L141" s="7">
        <f ca="1">IFERROR(__xludf.DUMMYFUNCTION("""COMPUTED_VALUE"""),89)</f>
        <v>89</v>
      </c>
    </row>
    <row r="142" spans="1:12" ht="15.5">
      <c r="A142" s="4" t="s">
        <v>328</v>
      </c>
      <c r="B142" s="5" t="s">
        <v>329</v>
      </c>
      <c r="C142" s="5" t="s">
        <v>13</v>
      </c>
      <c r="D142" s="5">
        <v>2023</v>
      </c>
      <c r="E142" s="5">
        <v>80.78</v>
      </c>
      <c r="F142" s="5">
        <v>145</v>
      </c>
      <c r="G142" s="5">
        <v>6</v>
      </c>
      <c r="H142" s="5">
        <v>89887.14</v>
      </c>
      <c r="I142" s="6" t="s">
        <v>252</v>
      </c>
      <c r="J142" s="5" t="s">
        <v>330</v>
      </c>
      <c r="K142" s="8">
        <v>11.36</v>
      </c>
      <c r="L142" s="7">
        <f ca="1">IFERROR(__xludf.DUMMYFUNCTION("""COMPUTED_VALUE"""),32)</f>
        <v>32</v>
      </c>
    </row>
    <row r="143" spans="1:12" ht="15.5">
      <c r="A143" s="9" t="s">
        <v>328</v>
      </c>
      <c r="B143" s="7" t="s">
        <v>331</v>
      </c>
      <c r="C143" s="7" t="s">
        <v>13</v>
      </c>
      <c r="D143" s="7">
        <v>2023</v>
      </c>
      <c r="E143" s="7">
        <v>87.91</v>
      </c>
      <c r="F143" s="7">
        <v>14</v>
      </c>
      <c r="G143" s="7">
        <v>6</v>
      </c>
      <c r="H143" s="7">
        <v>382852.05</v>
      </c>
      <c r="I143" s="6">
        <v>100</v>
      </c>
      <c r="J143" s="7" t="s">
        <v>312</v>
      </c>
      <c r="K143" s="8">
        <v>9.19</v>
      </c>
      <c r="L143" s="7">
        <f ca="1">IFERROR(__xludf.DUMMYFUNCTION("""COMPUTED_VALUE"""),78)</f>
        <v>78</v>
      </c>
    </row>
    <row r="144" spans="1:12" ht="15.5">
      <c r="A144" s="9" t="s">
        <v>328</v>
      </c>
      <c r="B144" s="7" t="s">
        <v>332</v>
      </c>
      <c r="C144" s="7" t="s">
        <v>13</v>
      </c>
      <c r="D144" s="7">
        <v>2023</v>
      </c>
      <c r="E144" s="7">
        <v>81.900000000000006</v>
      </c>
      <c r="F144" s="7">
        <v>121</v>
      </c>
      <c r="G144" s="7">
        <v>6</v>
      </c>
      <c r="H144" s="7">
        <v>112842.16</v>
      </c>
      <c r="I144" s="6" t="s">
        <v>333</v>
      </c>
      <c r="J144" s="7" t="s">
        <v>214</v>
      </c>
      <c r="K144" s="8">
        <v>11.83</v>
      </c>
      <c r="L144" s="7">
        <f ca="1">IFERROR(__xludf.DUMMYFUNCTION("""COMPUTED_VALUE"""),84)</f>
        <v>84</v>
      </c>
    </row>
    <row r="145" spans="1:12" ht="15.5">
      <c r="A145" s="9" t="s">
        <v>328</v>
      </c>
      <c r="B145" s="7" t="s">
        <v>334</v>
      </c>
      <c r="C145" s="7" t="s">
        <v>13</v>
      </c>
      <c r="D145" s="7">
        <v>2023</v>
      </c>
      <c r="E145" s="7">
        <v>85.23</v>
      </c>
      <c r="F145" s="7">
        <v>59</v>
      </c>
      <c r="G145" s="7">
        <v>6</v>
      </c>
      <c r="H145" s="7">
        <v>229973.33</v>
      </c>
      <c r="I145" s="6" t="s">
        <v>89</v>
      </c>
      <c r="J145" s="7" t="s">
        <v>335</v>
      </c>
      <c r="K145" s="8">
        <v>7.68</v>
      </c>
      <c r="L145" s="7">
        <f ca="1">IFERROR(__xludf.DUMMYFUNCTION("""COMPUTED_VALUE"""),60)</f>
        <v>60</v>
      </c>
    </row>
    <row r="146" spans="1:12" ht="15.5">
      <c r="A146" s="9" t="s">
        <v>328</v>
      </c>
      <c r="B146" s="7" t="s">
        <v>336</v>
      </c>
      <c r="C146" s="7" t="s">
        <v>13</v>
      </c>
      <c r="D146" s="7">
        <v>2023</v>
      </c>
      <c r="E146" s="7">
        <v>86.27</v>
      </c>
      <c r="F146" s="7">
        <v>37</v>
      </c>
      <c r="G146" s="7">
        <v>6</v>
      </c>
      <c r="H146" s="7">
        <v>233522</v>
      </c>
      <c r="I146" s="6">
        <v>100</v>
      </c>
      <c r="J146" s="7" t="s">
        <v>337</v>
      </c>
      <c r="K146" s="8">
        <v>10.91</v>
      </c>
      <c r="L146" s="7">
        <f ca="1">IFERROR(__xludf.DUMMYFUNCTION("""COMPUTED_VALUE"""),50)</f>
        <v>50</v>
      </c>
    </row>
    <row r="147" spans="1:12" ht="15.5">
      <c r="A147" s="9" t="s">
        <v>328</v>
      </c>
      <c r="B147" s="7" t="s">
        <v>338</v>
      </c>
      <c r="C147" s="7" t="s">
        <v>13</v>
      </c>
      <c r="D147" s="7">
        <v>2023</v>
      </c>
      <c r="E147" s="7">
        <v>78.22</v>
      </c>
      <c r="F147" s="7">
        <v>186</v>
      </c>
      <c r="G147" s="7">
        <v>6</v>
      </c>
      <c r="H147" s="7">
        <v>182570.94</v>
      </c>
      <c r="I147" s="6">
        <v>100</v>
      </c>
      <c r="J147" s="7" t="s">
        <v>339</v>
      </c>
      <c r="K147" s="8">
        <v>8.3699999999999992</v>
      </c>
      <c r="L147" s="7">
        <f ca="1">IFERROR(__xludf.DUMMYFUNCTION("""COMPUTED_VALUE"""),70)</f>
        <v>70</v>
      </c>
    </row>
    <row r="148" spans="1:12" ht="15.5">
      <c r="A148" s="9" t="s">
        <v>328</v>
      </c>
      <c r="B148" s="7" t="s">
        <v>340</v>
      </c>
      <c r="C148" s="7" t="s">
        <v>13</v>
      </c>
      <c r="D148" s="7">
        <v>2023</v>
      </c>
      <c r="E148" s="7">
        <v>79.97</v>
      </c>
      <c r="F148" s="7">
        <v>158</v>
      </c>
      <c r="G148" s="7">
        <v>6</v>
      </c>
      <c r="H148" s="7">
        <v>282626.33</v>
      </c>
      <c r="I148" s="6" t="s">
        <v>252</v>
      </c>
      <c r="J148" s="7" t="s">
        <v>253</v>
      </c>
      <c r="K148" s="8">
        <v>8.4700000000000006</v>
      </c>
      <c r="L148" s="7">
        <f ca="1">IFERROR(__xludf.DUMMYFUNCTION("""COMPUTED_VALUE"""),25)</f>
        <v>25</v>
      </c>
    </row>
    <row r="149" spans="1:12" ht="15.5">
      <c r="A149" s="9" t="s">
        <v>328</v>
      </c>
      <c r="B149" s="7" t="s">
        <v>341</v>
      </c>
      <c r="C149" s="7" t="s">
        <v>13</v>
      </c>
      <c r="D149" s="7">
        <v>2023</v>
      </c>
      <c r="E149" s="7">
        <v>79.42</v>
      </c>
      <c r="F149" s="7">
        <v>169</v>
      </c>
      <c r="G149" s="7">
        <v>6</v>
      </c>
      <c r="H149" s="7">
        <v>303882.51</v>
      </c>
      <c r="I149" s="6">
        <v>9943</v>
      </c>
      <c r="J149" s="7" t="s">
        <v>253</v>
      </c>
      <c r="K149" s="8">
        <v>8.77</v>
      </c>
      <c r="L149" s="7">
        <f ca="1">IFERROR(__xludf.DUMMYFUNCTION("""COMPUTED_VALUE"""),5)</f>
        <v>5</v>
      </c>
    </row>
    <row r="150" spans="1:12" ht="15.5">
      <c r="A150" s="9" t="s">
        <v>328</v>
      </c>
      <c r="B150" s="7" t="s">
        <v>342</v>
      </c>
      <c r="C150" s="7" t="s">
        <v>13</v>
      </c>
      <c r="D150" s="7">
        <v>2023</v>
      </c>
      <c r="E150" s="7">
        <v>77.430000000000007</v>
      </c>
      <c r="F150" s="7">
        <v>201</v>
      </c>
      <c r="G150" s="7">
        <v>6</v>
      </c>
      <c r="H150" s="7">
        <v>610683.03</v>
      </c>
      <c r="I150" s="6" t="s">
        <v>106</v>
      </c>
      <c r="J150" s="7" t="s">
        <v>316</v>
      </c>
      <c r="K150" s="8">
        <v>10.38</v>
      </c>
      <c r="L150" s="7">
        <f ca="1">IFERROR(__xludf.DUMMYFUNCTION("""COMPUTED_VALUE"""),264)</f>
        <v>264</v>
      </c>
    </row>
    <row r="151" spans="1:12" ht="15.5">
      <c r="A151" s="9" t="s">
        <v>328</v>
      </c>
      <c r="B151" s="7" t="s">
        <v>343</v>
      </c>
      <c r="C151" s="7" t="s">
        <v>13</v>
      </c>
      <c r="D151" s="7">
        <v>2023</v>
      </c>
      <c r="E151" s="7">
        <v>84.91</v>
      </c>
      <c r="F151" s="7">
        <v>61</v>
      </c>
      <c r="G151" s="7">
        <v>6</v>
      </c>
      <c r="H151" s="7">
        <v>442324.28</v>
      </c>
      <c r="I151" s="6">
        <v>100</v>
      </c>
      <c r="J151" s="7" t="s">
        <v>344</v>
      </c>
      <c r="K151" s="8">
        <v>9.07</v>
      </c>
      <c r="L151" s="7">
        <f ca="1">IFERROR(__xludf.DUMMYFUNCTION("""COMPUTED_VALUE"""),207)</f>
        <v>207</v>
      </c>
    </row>
    <row r="152" spans="1:12" ht="15.5">
      <c r="A152" s="9" t="s">
        <v>328</v>
      </c>
      <c r="B152" s="7" t="s">
        <v>345</v>
      </c>
      <c r="C152" s="7" t="s">
        <v>13</v>
      </c>
      <c r="D152" s="7">
        <v>2023</v>
      </c>
      <c r="E152" s="7">
        <v>75.5</v>
      </c>
      <c r="F152" s="7">
        <v>237</v>
      </c>
      <c r="G152" s="7">
        <v>5</v>
      </c>
      <c r="H152" s="7">
        <v>249327.47</v>
      </c>
      <c r="I152" s="6">
        <v>100</v>
      </c>
      <c r="J152" s="7" t="s">
        <v>346</v>
      </c>
      <c r="K152" s="8">
        <v>12.72</v>
      </c>
      <c r="L152" s="7">
        <f ca="1">IFERROR(__xludf.DUMMYFUNCTION("""COMPUTED_VALUE"""),168)</f>
        <v>168</v>
      </c>
    </row>
    <row r="153" spans="1:12" ht="15.5">
      <c r="A153" s="9" t="s">
        <v>328</v>
      </c>
      <c r="B153" s="7" t="s">
        <v>347</v>
      </c>
      <c r="C153" s="7" t="s">
        <v>13</v>
      </c>
      <c r="D153" s="7">
        <v>2023</v>
      </c>
      <c r="E153" s="7">
        <v>76.64</v>
      </c>
      <c r="F153" s="7">
        <v>220</v>
      </c>
      <c r="G153" s="7">
        <v>6</v>
      </c>
      <c r="H153" s="7">
        <v>156193.53</v>
      </c>
      <c r="I153" s="6">
        <v>100</v>
      </c>
      <c r="J153" s="7" t="s">
        <v>348</v>
      </c>
      <c r="K153" s="8">
        <v>13.33</v>
      </c>
      <c r="L153" s="7">
        <f ca="1">IFERROR(__xludf.DUMMYFUNCTION("""COMPUTED_VALUE"""),209)</f>
        <v>209</v>
      </c>
    </row>
    <row r="154" spans="1:12" ht="15.5">
      <c r="A154" s="9" t="s">
        <v>328</v>
      </c>
      <c r="B154" s="7" t="s">
        <v>349</v>
      </c>
      <c r="C154" s="7" t="s">
        <v>13</v>
      </c>
      <c r="D154" s="7">
        <v>2023</v>
      </c>
      <c r="E154" s="7">
        <v>73.27</v>
      </c>
      <c r="F154" s="7">
        <v>263</v>
      </c>
      <c r="G154" s="7">
        <v>5</v>
      </c>
      <c r="H154" s="7">
        <v>198675.42</v>
      </c>
      <c r="I154" s="6" t="s">
        <v>350</v>
      </c>
      <c r="J154" s="7" t="s">
        <v>351</v>
      </c>
      <c r="K154" s="8">
        <v>10.43</v>
      </c>
      <c r="L154" s="7">
        <f ca="1">IFERROR(__xludf.DUMMYFUNCTION("""COMPUTED_VALUE"""),66)</f>
        <v>66</v>
      </c>
    </row>
    <row r="155" spans="1:12" ht="15.5">
      <c r="A155" s="9" t="s">
        <v>328</v>
      </c>
      <c r="B155" s="7" t="s">
        <v>352</v>
      </c>
      <c r="C155" s="7" t="s">
        <v>13</v>
      </c>
      <c r="D155" s="7">
        <v>2023</v>
      </c>
      <c r="E155" s="7">
        <v>79.87</v>
      </c>
      <c r="F155" s="7">
        <v>162</v>
      </c>
      <c r="G155" s="7">
        <v>6</v>
      </c>
      <c r="H155" s="7">
        <v>259139.28</v>
      </c>
      <c r="I155" s="6" t="s">
        <v>252</v>
      </c>
      <c r="J155" s="7" t="s">
        <v>353</v>
      </c>
      <c r="K155" s="8">
        <v>9.0500000000000007</v>
      </c>
      <c r="L155" s="7">
        <f ca="1">IFERROR(__xludf.DUMMYFUNCTION("""COMPUTED_VALUE"""),15)</f>
        <v>15</v>
      </c>
    </row>
    <row r="156" spans="1:12" ht="15.5">
      <c r="A156" s="9" t="s">
        <v>328</v>
      </c>
      <c r="B156" s="7" t="s">
        <v>354</v>
      </c>
      <c r="C156" s="7" t="s">
        <v>13</v>
      </c>
      <c r="D156" s="7">
        <v>2023</v>
      </c>
      <c r="E156" s="7">
        <v>83.51</v>
      </c>
      <c r="F156" s="7">
        <v>89</v>
      </c>
      <c r="G156" s="7">
        <v>6</v>
      </c>
      <c r="H156" s="7">
        <v>194704.13</v>
      </c>
      <c r="I156" s="6">
        <v>100</v>
      </c>
      <c r="J156" s="7" t="s">
        <v>355</v>
      </c>
      <c r="K156" s="8">
        <v>4.03</v>
      </c>
      <c r="L156" s="7">
        <f ca="1">IFERROR(__xludf.DUMMYFUNCTION("""COMPUTED_VALUE"""),299)</f>
        <v>299</v>
      </c>
    </row>
    <row r="157" spans="1:12" ht="15.5">
      <c r="A157" s="9" t="s">
        <v>328</v>
      </c>
      <c r="B157" s="7" t="s">
        <v>356</v>
      </c>
      <c r="C157" s="7" t="s">
        <v>13</v>
      </c>
      <c r="D157" s="7">
        <v>2023</v>
      </c>
      <c r="E157" s="7">
        <v>86.7</v>
      </c>
      <c r="F157" s="7">
        <v>32</v>
      </c>
      <c r="G157" s="7">
        <v>6</v>
      </c>
      <c r="H157" s="7">
        <v>304967</v>
      </c>
      <c r="I157" s="6" t="s">
        <v>229</v>
      </c>
      <c r="J157" s="7" t="s">
        <v>160</v>
      </c>
      <c r="K157" s="8">
        <v>6.61</v>
      </c>
      <c r="L157" s="7">
        <f ca="1">IFERROR(__xludf.DUMMYFUNCTION("""COMPUTED_VALUE"""),133)</f>
        <v>133</v>
      </c>
    </row>
    <row r="158" spans="1:12" ht="15.5">
      <c r="A158" s="9" t="s">
        <v>328</v>
      </c>
      <c r="B158" s="7" t="s">
        <v>357</v>
      </c>
      <c r="C158" s="7" t="s">
        <v>13</v>
      </c>
      <c r="D158" s="7">
        <v>2023</v>
      </c>
      <c r="E158" s="7">
        <v>83.99</v>
      </c>
      <c r="F158" s="7">
        <v>78</v>
      </c>
      <c r="G158" s="7">
        <v>6</v>
      </c>
      <c r="H158" s="7">
        <v>345490.9</v>
      </c>
      <c r="I158" s="6">
        <v>100</v>
      </c>
      <c r="J158" s="7" t="s">
        <v>149</v>
      </c>
      <c r="K158" s="8">
        <v>8.98</v>
      </c>
      <c r="L158" s="7">
        <f ca="1">IFERROR(__xludf.DUMMYFUNCTION("""COMPUTED_VALUE"""),215)</f>
        <v>215</v>
      </c>
    </row>
    <row r="159" spans="1:12" ht="15.5">
      <c r="A159" s="9" t="s">
        <v>328</v>
      </c>
      <c r="B159" s="7" t="s">
        <v>358</v>
      </c>
      <c r="C159" s="7" t="s">
        <v>13</v>
      </c>
      <c r="D159" s="7">
        <v>2023</v>
      </c>
      <c r="E159" s="7">
        <v>83.68</v>
      </c>
      <c r="F159" s="7">
        <v>84</v>
      </c>
      <c r="G159" s="7">
        <v>6</v>
      </c>
      <c r="H159" s="7">
        <v>423068.39</v>
      </c>
      <c r="I159" s="6" t="s">
        <v>103</v>
      </c>
      <c r="J159" s="7" t="s">
        <v>248</v>
      </c>
      <c r="K159" s="8">
        <v>9.0299999999999994</v>
      </c>
      <c r="L159" s="7">
        <f ca="1">IFERROR(__xludf.DUMMYFUNCTION("""COMPUTED_VALUE"""),252)</f>
        <v>252</v>
      </c>
    </row>
    <row r="160" spans="1:12" ht="15.5">
      <c r="A160" s="9" t="s">
        <v>328</v>
      </c>
      <c r="B160" s="7" t="s">
        <v>359</v>
      </c>
      <c r="C160" s="7" t="s">
        <v>13</v>
      </c>
      <c r="D160" s="7">
        <v>2023</v>
      </c>
      <c r="E160" s="7">
        <v>85.32</v>
      </c>
      <c r="F160" s="7">
        <v>54</v>
      </c>
      <c r="G160" s="7">
        <v>6</v>
      </c>
      <c r="H160" s="7">
        <v>418646.05</v>
      </c>
      <c r="I160" s="6" t="s">
        <v>232</v>
      </c>
      <c r="J160" s="7" t="s">
        <v>259</v>
      </c>
      <c r="K160" s="8">
        <v>12.46</v>
      </c>
      <c r="L160" s="7">
        <f ca="1">IFERROR(__xludf.DUMMYFUNCTION("""COMPUTED_VALUE"""),194)</f>
        <v>194</v>
      </c>
    </row>
    <row r="161" spans="1:12" ht="15.5">
      <c r="A161" s="9" t="s">
        <v>328</v>
      </c>
      <c r="B161" s="7" t="s">
        <v>360</v>
      </c>
      <c r="C161" s="7" t="s">
        <v>13</v>
      </c>
      <c r="D161" s="7">
        <v>2023</v>
      </c>
      <c r="E161" s="7">
        <v>86.83</v>
      </c>
      <c r="F161" s="7">
        <v>30</v>
      </c>
      <c r="G161" s="7">
        <v>6</v>
      </c>
      <c r="H161" s="7">
        <v>271745.76</v>
      </c>
      <c r="I161" s="6">
        <v>100</v>
      </c>
      <c r="J161" s="7" t="s">
        <v>177</v>
      </c>
      <c r="K161" s="8">
        <v>9.2899999999999991</v>
      </c>
      <c r="L161" s="7">
        <f ca="1">IFERROR(__xludf.DUMMYFUNCTION("""COMPUTED_VALUE"""),230)</f>
        <v>230</v>
      </c>
    </row>
    <row r="162" spans="1:12" ht="15.5">
      <c r="A162" s="9" t="s">
        <v>328</v>
      </c>
      <c r="B162" s="7" t="s">
        <v>361</v>
      </c>
      <c r="C162" s="7" t="s">
        <v>13</v>
      </c>
      <c r="D162" s="7">
        <v>2023</v>
      </c>
      <c r="E162" s="7">
        <v>84.98</v>
      </c>
      <c r="F162" s="7">
        <v>60</v>
      </c>
      <c r="G162" s="7">
        <v>6</v>
      </c>
      <c r="H162" s="7">
        <v>738585.81</v>
      </c>
      <c r="I162" s="6">
        <v>100</v>
      </c>
      <c r="J162" s="7" t="s">
        <v>362</v>
      </c>
      <c r="K162" s="8">
        <v>12.28</v>
      </c>
      <c r="L162" s="7">
        <f ca="1">IFERROR(__xludf.DUMMYFUNCTION("""COMPUTED_VALUE"""),239)</f>
        <v>239</v>
      </c>
    </row>
    <row r="163" spans="1:12" ht="15.5">
      <c r="A163" s="9" t="s">
        <v>328</v>
      </c>
      <c r="B163" s="7" t="s">
        <v>363</v>
      </c>
      <c r="C163" s="7" t="s">
        <v>13</v>
      </c>
      <c r="D163" s="7">
        <v>2023</v>
      </c>
      <c r="E163" s="7">
        <v>85.4</v>
      </c>
      <c r="F163" s="7">
        <v>50</v>
      </c>
      <c r="G163" s="7">
        <v>6</v>
      </c>
      <c r="H163" s="7">
        <v>701420.35</v>
      </c>
      <c r="I163" s="6">
        <v>100</v>
      </c>
      <c r="J163" s="7" t="s">
        <v>364</v>
      </c>
      <c r="K163" s="8">
        <v>8.09</v>
      </c>
      <c r="L163" s="7">
        <f ca="1">IFERROR(__xludf.DUMMYFUNCTION("""COMPUTED_VALUE"""),297)</f>
        <v>297</v>
      </c>
    </row>
    <row r="164" spans="1:12" ht="15.5">
      <c r="A164" s="9" t="s">
        <v>328</v>
      </c>
      <c r="B164" s="7" t="s">
        <v>365</v>
      </c>
      <c r="C164" s="7" t="s">
        <v>13</v>
      </c>
      <c r="D164" s="7">
        <v>2023</v>
      </c>
      <c r="E164" s="7">
        <v>84.41</v>
      </c>
      <c r="F164" s="7">
        <v>70</v>
      </c>
      <c r="G164" s="7">
        <v>6</v>
      </c>
      <c r="H164" s="7">
        <v>498875.71</v>
      </c>
      <c r="I164" s="6">
        <v>100</v>
      </c>
      <c r="J164" s="7" t="s">
        <v>366</v>
      </c>
      <c r="K164" s="8">
        <v>6.83</v>
      </c>
      <c r="L164" s="7">
        <f ca="1">IFERROR(__xludf.DUMMYFUNCTION("""COMPUTED_VALUE"""),283)</f>
        <v>283</v>
      </c>
    </row>
    <row r="165" spans="1:12" ht="15.5">
      <c r="A165" s="9" t="s">
        <v>328</v>
      </c>
      <c r="B165" s="7" t="s">
        <v>367</v>
      </c>
      <c r="C165" s="7" t="s">
        <v>13</v>
      </c>
      <c r="D165" s="7">
        <v>2023</v>
      </c>
      <c r="E165" s="7">
        <v>87.28</v>
      </c>
      <c r="F165" s="7">
        <v>25</v>
      </c>
      <c r="G165" s="7">
        <v>6</v>
      </c>
      <c r="H165" s="7">
        <v>797015.13</v>
      </c>
      <c r="I165" s="6">
        <v>100</v>
      </c>
      <c r="J165" s="7" t="s">
        <v>368</v>
      </c>
      <c r="K165" s="8">
        <v>5.0599999999999996</v>
      </c>
      <c r="L165" s="7">
        <f ca="1">IFERROR(__xludf.DUMMYFUNCTION("""COMPUTED_VALUE"""),368)</f>
        <v>368</v>
      </c>
    </row>
    <row r="166" spans="1:12" ht="15.5">
      <c r="A166" s="9" t="s">
        <v>328</v>
      </c>
      <c r="B166" s="7" t="s">
        <v>369</v>
      </c>
      <c r="C166" s="7" t="s">
        <v>13</v>
      </c>
      <c r="D166" s="7">
        <v>2023</v>
      </c>
      <c r="E166" s="7">
        <v>90.39</v>
      </c>
      <c r="F166" s="7">
        <v>5</v>
      </c>
      <c r="G166" s="7">
        <v>6</v>
      </c>
      <c r="H166" s="7">
        <v>416124.44</v>
      </c>
      <c r="I166" s="6">
        <v>100</v>
      </c>
      <c r="J166" s="7" t="s">
        <v>346</v>
      </c>
      <c r="K166" s="8">
        <v>3.67</v>
      </c>
      <c r="L166" s="7">
        <f ca="1">IFERROR(__xludf.DUMMYFUNCTION("""COMPUTED_VALUE"""),241)</f>
        <v>241</v>
      </c>
    </row>
    <row r="167" spans="1:12" ht="15.5">
      <c r="A167" s="9" t="s">
        <v>328</v>
      </c>
      <c r="B167" s="7" t="s">
        <v>370</v>
      </c>
      <c r="C167" s="7" t="s">
        <v>13</v>
      </c>
      <c r="D167" s="7">
        <v>2023</v>
      </c>
      <c r="E167" s="7">
        <v>73.23</v>
      </c>
      <c r="F167" s="7">
        <v>264</v>
      </c>
      <c r="G167" s="7">
        <v>5</v>
      </c>
      <c r="H167" s="7">
        <v>186492.21</v>
      </c>
      <c r="I167" s="6" t="s">
        <v>232</v>
      </c>
      <c r="J167" s="7" t="s">
        <v>371</v>
      </c>
      <c r="K167" s="8">
        <v>9.19</v>
      </c>
      <c r="L167" s="7">
        <f ca="1">IFERROR(__xludf.DUMMYFUNCTION("""COMPUTED_VALUE"""),312)</f>
        <v>312</v>
      </c>
    </row>
    <row r="168" spans="1:12" ht="15.5">
      <c r="A168" s="9" t="s">
        <v>328</v>
      </c>
      <c r="B168" s="7" t="s">
        <v>372</v>
      </c>
      <c r="C168" s="7" t="s">
        <v>13</v>
      </c>
      <c r="D168" s="7">
        <v>2023</v>
      </c>
      <c r="E168" s="7">
        <v>77.08</v>
      </c>
      <c r="F168" s="7">
        <v>207</v>
      </c>
      <c r="G168" s="7">
        <v>6</v>
      </c>
      <c r="H168" s="7">
        <v>167310.42000000001</v>
      </c>
      <c r="I168" s="6">
        <v>100</v>
      </c>
      <c r="J168" s="7" t="s">
        <v>373</v>
      </c>
      <c r="K168" s="8">
        <v>9.09</v>
      </c>
      <c r="L168" s="7">
        <f ca="1">IFERROR(__xludf.DUMMYFUNCTION("""COMPUTED_VALUE"""),88)</f>
        <v>88</v>
      </c>
    </row>
    <row r="169" spans="1:12" ht="15.5">
      <c r="A169" s="9" t="s">
        <v>328</v>
      </c>
      <c r="B169" s="7" t="s">
        <v>374</v>
      </c>
      <c r="C169" s="7" t="s">
        <v>13</v>
      </c>
      <c r="D169" s="7">
        <v>2023</v>
      </c>
      <c r="E169" s="7">
        <v>79.44</v>
      </c>
      <c r="F169" s="7">
        <v>168</v>
      </c>
      <c r="G169" s="7">
        <v>6</v>
      </c>
      <c r="H169" s="7">
        <v>108339.66</v>
      </c>
      <c r="I169" s="6">
        <v>100</v>
      </c>
      <c r="J169" s="7" t="s">
        <v>375</v>
      </c>
      <c r="K169" s="8">
        <v>9.43</v>
      </c>
      <c r="L169" s="7">
        <f ca="1">IFERROR(__xludf.DUMMYFUNCTION("""COMPUTED_VALUE"""),92)</f>
        <v>92</v>
      </c>
    </row>
    <row r="170" spans="1:12" ht="15.5">
      <c r="A170" s="9" t="s">
        <v>328</v>
      </c>
      <c r="B170" s="7" t="s">
        <v>376</v>
      </c>
      <c r="C170" s="7" t="s">
        <v>13</v>
      </c>
      <c r="D170" s="7">
        <v>2023</v>
      </c>
      <c r="E170" s="7">
        <v>77.02</v>
      </c>
      <c r="F170" s="7">
        <v>209</v>
      </c>
      <c r="G170" s="7">
        <v>6</v>
      </c>
      <c r="H170" s="7">
        <v>214325.95</v>
      </c>
      <c r="I170" s="6" t="s">
        <v>377</v>
      </c>
      <c r="J170" s="7" t="s">
        <v>378</v>
      </c>
      <c r="K170" s="8">
        <v>3.95</v>
      </c>
      <c r="L170" s="7">
        <f ca="1">IFERROR(__xludf.DUMMYFUNCTION("""COMPUTED_VALUE"""),90)</f>
        <v>90</v>
      </c>
    </row>
    <row r="171" spans="1:12" ht="15.5">
      <c r="A171" s="9" t="s">
        <v>328</v>
      </c>
      <c r="B171" s="7" t="s">
        <v>379</v>
      </c>
      <c r="C171" s="7" t="s">
        <v>62</v>
      </c>
      <c r="D171" s="7">
        <v>2023</v>
      </c>
      <c r="E171" s="7">
        <v>76.42</v>
      </c>
      <c r="F171" s="7">
        <v>78</v>
      </c>
      <c r="G171" s="7">
        <v>6</v>
      </c>
      <c r="H171" s="7">
        <v>8601.19</v>
      </c>
      <c r="I171" s="6">
        <v>100</v>
      </c>
      <c r="J171" s="7" t="s">
        <v>380</v>
      </c>
      <c r="K171" s="8">
        <v>6.6</v>
      </c>
      <c r="L171" s="7">
        <f ca="1">IFERROR(__xludf.DUMMYFUNCTION("""COMPUTED_VALUE"""),298)</f>
        <v>298</v>
      </c>
    </row>
    <row r="172" spans="1:12" ht="15.5">
      <c r="A172" s="9" t="s">
        <v>328</v>
      </c>
      <c r="B172" s="7" t="s">
        <v>381</v>
      </c>
      <c r="C172" s="7" t="s">
        <v>62</v>
      </c>
      <c r="D172" s="7">
        <v>2023</v>
      </c>
      <c r="E172" s="7">
        <v>79.25</v>
      </c>
      <c r="F172" s="7">
        <v>70</v>
      </c>
      <c r="G172" s="7">
        <v>6</v>
      </c>
      <c r="H172" s="7">
        <v>5635.28</v>
      </c>
      <c r="I172" s="6">
        <v>100</v>
      </c>
      <c r="J172" s="7" t="s">
        <v>382</v>
      </c>
      <c r="K172" s="8">
        <v>6.11</v>
      </c>
      <c r="L172" s="7">
        <f ca="1">IFERROR(__xludf.DUMMYFUNCTION("""COMPUTED_VALUE"""),126)</f>
        <v>126</v>
      </c>
    </row>
    <row r="173" spans="1:12" ht="15.5">
      <c r="A173" s="9" t="s">
        <v>328</v>
      </c>
      <c r="B173" s="7" t="s">
        <v>383</v>
      </c>
      <c r="C173" s="7" t="s">
        <v>62</v>
      </c>
      <c r="D173" s="7">
        <v>2023</v>
      </c>
      <c r="E173" s="7">
        <v>85.27</v>
      </c>
      <c r="F173" s="7">
        <v>43</v>
      </c>
      <c r="G173" s="7">
        <v>6</v>
      </c>
      <c r="H173" s="7">
        <v>11304.43</v>
      </c>
      <c r="I173" s="6">
        <v>100</v>
      </c>
      <c r="J173" s="7" t="s">
        <v>384</v>
      </c>
      <c r="K173" s="8">
        <v>5.04</v>
      </c>
      <c r="L173" s="7">
        <f ca="1">IFERROR(__xludf.DUMMYFUNCTION("""COMPUTED_VALUE"""),143)</f>
        <v>143</v>
      </c>
    </row>
    <row r="174" spans="1:12" ht="15.5">
      <c r="A174" s="9" t="s">
        <v>328</v>
      </c>
      <c r="B174" s="7" t="s">
        <v>385</v>
      </c>
      <c r="C174" s="7" t="s">
        <v>62</v>
      </c>
      <c r="D174" s="7">
        <v>2023</v>
      </c>
      <c r="E174" s="7">
        <v>80.010000000000005</v>
      </c>
      <c r="F174" s="7">
        <v>66</v>
      </c>
      <c r="G174" s="7">
        <v>6</v>
      </c>
      <c r="H174" s="7">
        <v>7520.28</v>
      </c>
      <c r="I174" s="6">
        <v>100</v>
      </c>
      <c r="J174" s="7" t="s">
        <v>386</v>
      </c>
      <c r="K174" s="8">
        <v>5.29</v>
      </c>
      <c r="L174" s="7">
        <f ca="1">IFERROR(__xludf.DUMMYFUNCTION("""COMPUTED_VALUE"""),138)</f>
        <v>138</v>
      </c>
    </row>
    <row r="175" spans="1:12" ht="15.5">
      <c r="A175" s="9" t="s">
        <v>328</v>
      </c>
      <c r="B175" s="7" t="s">
        <v>387</v>
      </c>
      <c r="C175" s="7" t="s">
        <v>62</v>
      </c>
      <c r="D175" s="7">
        <v>2023</v>
      </c>
      <c r="E175" s="7">
        <v>81.45</v>
      </c>
      <c r="F175" s="7">
        <v>60</v>
      </c>
      <c r="G175" s="7">
        <v>6</v>
      </c>
      <c r="H175" s="7">
        <v>8157.33</v>
      </c>
      <c r="I175" s="6">
        <v>100</v>
      </c>
      <c r="J175" s="7" t="s">
        <v>146</v>
      </c>
      <c r="K175" s="8">
        <v>5.96</v>
      </c>
      <c r="L175" s="7">
        <f ca="1">IFERROR(__xludf.DUMMYFUNCTION("""COMPUTED_VALUE"""),176)</f>
        <v>176</v>
      </c>
    </row>
    <row r="176" spans="1:12" ht="15.5">
      <c r="A176" s="9" t="s">
        <v>328</v>
      </c>
      <c r="B176" s="7" t="s">
        <v>388</v>
      </c>
      <c r="C176" s="7" t="s">
        <v>62</v>
      </c>
      <c r="D176" s="7">
        <v>2023</v>
      </c>
      <c r="E176" s="7">
        <v>89.83</v>
      </c>
      <c r="F176" s="7">
        <v>15</v>
      </c>
      <c r="G176" s="7">
        <v>6</v>
      </c>
      <c r="H176" s="7">
        <v>3405.49</v>
      </c>
      <c r="I176" s="6">
        <v>100</v>
      </c>
      <c r="J176" s="7" t="s">
        <v>389</v>
      </c>
      <c r="K176" s="8">
        <v>5.18</v>
      </c>
      <c r="L176" s="7">
        <f ca="1">IFERROR(__xludf.DUMMYFUNCTION("""COMPUTED_VALUE"""),249)</f>
        <v>249</v>
      </c>
    </row>
    <row r="177" spans="1:12" ht="15.5">
      <c r="A177" s="9" t="s">
        <v>328</v>
      </c>
      <c r="B177" s="7" t="s">
        <v>390</v>
      </c>
      <c r="C177" s="7" t="s">
        <v>62</v>
      </c>
      <c r="D177" s="7">
        <v>2023</v>
      </c>
      <c r="E177" s="7">
        <v>92.49</v>
      </c>
      <c r="F177" s="7">
        <v>5</v>
      </c>
      <c r="G177" s="7">
        <v>6</v>
      </c>
      <c r="H177" s="7">
        <v>11824.85</v>
      </c>
      <c r="I177" s="6">
        <v>100</v>
      </c>
      <c r="J177" s="7" t="s">
        <v>391</v>
      </c>
      <c r="K177" s="8">
        <v>5.84</v>
      </c>
      <c r="L177" s="7">
        <f ca="1">IFERROR(__xludf.DUMMYFUNCTION("""COMPUTED_VALUE"""),74)</f>
        <v>74</v>
      </c>
    </row>
    <row r="178" spans="1:12" ht="15.5">
      <c r="A178" s="9" t="s">
        <v>328</v>
      </c>
      <c r="B178" s="7" t="s">
        <v>392</v>
      </c>
      <c r="C178" s="7" t="s">
        <v>62</v>
      </c>
      <c r="D178" s="7">
        <v>2023</v>
      </c>
      <c r="E178" s="7">
        <v>92.14</v>
      </c>
      <c r="F178" s="7">
        <v>6</v>
      </c>
      <c r="G178" s="7">
        <v>6</v>
      </c>
      <c r="H178" s="7">
        <v>8075.33</v>
      </c>
      <c r="I178" s="6">
        <v>100</v>
      </c>
      <c r="J178" s="7" t="s">
        <v>288</v>
      </c>
      <c r="K178" s="8">
        <v>4.0599999999999996</v>
      </c>
      <c r="L178" s="7">
        <f ca="1">IFERROR(__xludf.DUMMYFUNCTION("""COMPUTED_VALUE"""),120)</f>
        <v>120</v>
      </c>
    </row>
    <row r="179" spans="1:12" ht="15.5">
      <c r="A179" s="12" t="s">
        <v>328</v>
      </c>
      <c r="B179" s="13" t="s">
        <v>393</v>
      </c>
      <c r="C179" s="13" t="s">
        <v>62</v>
      </c>
      <c r="D179" s="13">
        <v>2023</v>
      </c>
      <c r="E179" s="13">
        <v>80.16</v>
      </c>
      <c r="F179" s="13">
        <v>64</v>
      </c>
      <c r="G179" s="13">
        <v>6</v>
      </c>
      <c r="H179" s="13">
        <v>5286.76</v>
      </c>
      <c r="I179" s="16">
        <v>100</v>
      </c>
      <c r="J179" s="13" t="s">
        <v>394</v>
      </c>
      <c r="K179" s="14">
        <v>5.09</v>
      </c>
      <c r="L179" s="7">
        <f ca="1">IFERROR(__xludf.DUMMYFUNCTION("""COMPUTED_VALUE"""),40)</f>
        <v>40</v>
      </c>
    </row>
    <row r="180" spans="1:12" ht="15.5">
      <c r="A180" s="4" t="s">
        <v>395</v>
      </c>
      <c r="B180" s="5" t="s">
        <v>396</v>
      </c>
      <c r="C180" s="5" t="s">
        <v>13</v>
      </c>
      <c r="D180" s="5">
        <v>2023</v>
      </c>
      <c r="E180" s="5">
        <v>69.709999999999994</v>
      </c>
      <c r="F180" s="5">
        <v>299</v>
      </c>
      <c r="G180" s="5">
        <v>5</v>
      </c>
      <c r="H180" s="5">
        <v>171366.17</v>
      </c>
      <c r="I180" s="6" t="s">
        <v>397</v>
      </c>
      <c r="J180" s="5" t="s">
        <v>230</v>
      </c>
      <c r="K180" s="8">
        <v>16.850000000000001</v>
      </c>
      <c r="L180" s="7">
        <f ca="1">IFERROR(__xludf.DUMMYFUNCTION("""COMPUTED_VALUE"""),347)</f>
        <v>347</v>
      </c>
    </row>
    <row r="181" spans="1:12" ht="15.5">
      <c r="A181" s="9" t="s">
        <v>395</v>
      </c>
      <c r="B181" s="7" t="s">
        <v>398</v>
      </c>
      <c r="C181" s="7" t="s">
        <v>13</v>
      </c>
      <c r="D181" s="7">
        <v>2023</v>
      </c>
      <c r="E181" s="7">
        <v>81.36</v>
      </c>
      <c r="F181" s="7">
        <v>133</v>
      </c>
      <c r="G181" s="7">
        <v>6</v>
      </c>
      <c r="H181" s="7">
        <v>32007.22</v>
      </c>
      <c r="I181" s="6" t="s">
        <v>399</v>
      </c>
      <c r="J181" s="7" t="s">
        <v>400</v>
      </c>
      <c r="K181" s="8">
        <v>15.21</v>
      </c>
      <c r="L181" s="7">
        <f ca="1">IFERROR(__xludf.DUMMYFUNCTION("""COMPUTED_VALUE"""),257)</f>
        <v>257</v>
      </c>
    </row>
    <row r="182" spans="1:12" ht="15.5">
      <c r="A182" s="9" t="s">
        <v>395</v>
      </c>
      <c r="B182" s="7" t="s">
        <v>401</v>
      </c>
      <c r="C182" s="7" t="s">
        <v>13</v>
      </c>
      <c r="D182" s="7">
        <v>2023</v>
      </c>
      <c r="E182" s="7">
        <v>76.89</v>
      </c>
      <c r="F182" s="7">
        <v>215</v>
      </c>
      <c r="G182" s="7">
        <v>6</v>
      </c>
      <c r="H182" s="7">
        <v>100295.11</v>
      </c>
      <c r="I182" s="6" t="s">
        <v>402</v>
      </c>
      <c r="J182" s="7" t="s">
        <v>403</v>
      </c>
      <c r="K182" s="8">
        <v>10.43</v>
      </c>
      <c r="L182" s="7">
        <f ca="1">IFERROR(__xludf.DUMMYFUNCTION("""COMPUTED_VALUE"""),148)</f>
        <v>148</v>
      </c>
    </row>
    <row r="183" spans="1:12" ht="15.5">
      <c r="A183" s="9" t="s">
        <v>395</v>
      </c>
      <c r="B183" s="7" t="s">
        <v>404</v>
      </c>
      <c r="C183" s="7" t="s">
        <v>13</v>
      </c>
      <c r="D183" s="7">
        <v>2023</v>
      </c>
      <c r="E183" s="7">
        <v>74.040000000000006</v>
      </c>
      <c r="F183" s="7">
        <v>252</v>
      </c>
      <c r="G183" s="7">
        <v>5</v>
      </c>
      <c r="H183" s="7">
        <v>45815.46</v>
      </c>
      <c r="I183" s="6" t="s">
        <v>103</v>
      </c>
      <c r="J183" s="7" t="s">
        <v>151</v>
      </c>
      <c r="K183" s="8">
        <v>18.88</v>
      </c>
      <c r="L183" s="7">
        <f ca="1">IFERROR(__xludf.DUMMYFUNCTION("""COMPUTED_VALUE"""),320)</f>
        <v>320</v>
      </c>
    </row>
    <row r="184" spans="1:12" ht="15.5">
      <c r="A184" s="9" t="s">
        <v>395</v>
      </c>
      <c r="B184" s="7" t="s">
        <v>405</v>
      </c>
      <c r="C184" s="7" t="s">
        <v>13</v>
      </c>
      <c r="D184" s="7">
        <v>2023</v>
      </c>
      <c r="E184" s="7">
        <v>77.819999999999993</v>
      </c>
      <c r="F184" s="7">
        <v>194</v>
      </c>
      <c r="G184" s="7">
        <v>6</v>
      </c>
      <c r="H184" s="7">
        <v>67097.42</v>
      </c>
      <c r="I184" s="6" t="s">
        <v>406</v>
      </c>
      <c r="J184" s="7" t="s">
        <v>407</v>
      </c>
      <c r="K184" s="8">
        <v>18.52</v>
      </c>
      <c r="L184" s="7">
        <f ca="1">IFERROR(__xludf.DUMMYFUNCTION("""COMPUTED_VALUE"""),102)</f>
        <v>102</v>
      </c>
    </row>
    <row r="185" spans="1:12" ht="15.5">
      <c r="A185" s="9" t="s">
        <v>395</v>
      </c>
      <c r="B185" s="7" t="s">
        <v>408</v>
      </c>
      <c r="C185" s="7" t="s">
        <v>13</v>
      </c>
      <c r="D185" s="7">
        <v>2023</v>
      </c>
      <c r="E185" s="7">
        <v>75.989999999999995</v>
      </c>
      <c r="F185" s="7">
        <v>230</v>
      </c>
      <c r="G185" s="7">
        <v>6</v>
      </c>
      <c r="H185" s="7">
        <v>87088.67</v>
      </c>
      <c r="I185" s="6" t="s">
        <v>409</v>
      </c>
      <c r="J185" s="7" t="s">
        <v>410</v>
      </c>
      <c r="K185" s="8">
        <v>14.58</v>
      </c>
      <c r="L185" s="7">
        <f ca="1">IFERROR(__xludf.DUMMYFUNCTION("""COMPUTED_VALUE"""),349)</f>
        <v>349</v>
      </c>
    </row>
    <row r="186" spans="1:12" ht="15.5">
      <c r="A186" s="9" t="s">
        <v>395</v>
      </c>
      <c r="B186" s="7" t="s">
        <v>411</v>
      </c>
      <c r="C186" s="7" t="s">
        <v>13</v>
      </c>
      <c r="D186" s="7">
        <v>2023</v>
      </c>
      <c r="E186" s="7">
        <v>75.459999999999994</v>
      </c>
      <c r="F186" s="7">
        <v>239</v>
      </c>
      <c r="G186" s="7">
        <v>5</v>
      </c>
      <c r="H186" s="7">
        <v>24149.95</v>
      </c>
      <c r="I186" s="6" t="s">
        <v>412</v>
      </c>
      <c r="J186" s="7" t="s">
        <v>400</v>
      </c>
      <c r="K186" s="8">
        <v>13.56</v>
      </c>
      <c r="L186" s="7">
        <f ca="1">IFERROR(__xludf.DUMMYFUNCTION("""COMPUTED_VALUE"""),356)</f>
        <v>356</v>
      </c>
    </row>
    <row r="187" spans="1:12" ht="15.5">
      <c r="A187" s="9" t="s">
        <v>395</v>
      </c>
      <c r="B187" s="7" t="s">
        <v>413</v>
      </c>
      <c r="C187" s="7" t="s">
        <v>13</v>
      </c>
      <c r="D187" s="7">
        <v>2023</v>
      </c>
      <c r="E187" s="7">
        <v>69.97</v>
      </c>
      <c r="F187" s="7">
        <v>297</v>
      </c>
      <c r="G187" s="7">
        <v>5</v>
      </c>
      <c r="H187" s="7">
        <v>19530.68</v>
      </c>
      <c r="I187" s="6" t="s">
        <v>414</v>
      </c>
      <c r="J187" s="7" t="s">
        <v>346</v>
      </c>
      <c r="K187" s="8">
        <v>12.75</v>
      </c>
      <c r="L187" s="7">
        <f ca="1">IFERROR(__xludf.DUMMYFUNCTION("""COMPUTED_VALUE"""),353)</f>
        <v>353</v>
      </c>
    </row>
    <row r="188" spans="1:12" ht="15.5">
      <c r="A188" s="9" t="s">
        <v>395</v>
      </c>
      <c r="B188" s="7" t="s">
        <v>415</v>
      </c>
      <c r="C188" s="7" t="s">
        <v>13</v>
      </c>
      <c r="D188" s="7">
        <v>2023</v>
      </c>
      <c r="E188" s="7">
        <v>71.55</v>
      </c>
      <c r="F188" s="7">
        <v>283</v>
      </c>
      <c r="G188" s="7">
        <v>5</v>
      </c>
      <c r="H188" s="7">
        <v>26481.39</v>
      </c>
      <c r="I188" s="6" t="s">
        <v>416</v>
      </c>
      <c r="J188" s="7" t="s">
        <v>230</v>
      </c>
      <c r="K188" s="8">
        <v>20.100000000000001</v>
      </c>
      <c r="L188" s="7">
        <f ca="1">IFERROR(__xludf.DUMMYFUNCTION("""COMPUTED_VALUE"""),218)</f>
        <v>218</v>
      </c>
    </row>
    <row r="189" spans="1:12" ht="15.5">
      <c r="A189" s="9" t="s">
        <v>395</v>
      </c>
      <c r="B189" s="7" t="s">
        <v>417</v>
      </c>
      <c r="C189" s="7" t="s">
        <v>13</v>
      </c>
      <c r="D189" s="7">
        <v>2023</v>
      </c>
      <c r="E189" s="7">
        <v>54.8</v>
      </c>
      <c r="F189" s="7">
        <v>368</v>
      </c>
      <c r="G189" s="7">
        <v>3</v>
      </c>
      <c r="H189" s="7">
        <v>9476.7199999999993</v>
      </c>
      <c r="I189" s="6" t="s">
        <v>418</v>
      </c>
      <c r="J189" s="7" t="s">
        <v>419</v>
      </c>
      <c r="K189" s="8">
        <v>19.73</v>
      </c>
      <c r="L189" s="7">
        <f ca="1">IFERROR(__xludf.DUMMYFUNCTION("""COMPUTED_VALUE"""),136)</f>
        <v>136</v>
      </c>
    </row>
    <row r="190" spans="1:12" ht="15.5">
      <c r="A190" s="9" t="s">
        <v>395</v>
      </c>
      <c r="B190" s="7" t="s">
        <v>420</v>
      </c>
      <c r="C190" s="7" t="s">
        <v>13</v>
      </c>
      <c r="D190" s="7">
        <v>2023</v>
      </c>
      <c r="E190" s="7">
        <v>75.27</v>
      </c>
      <c r="F190" s="7">
        <v>241</v>
      </c>
      <c r="G190" s="7">
        <v>5</v>
      </c>
      <c r="H190" s="7">
        <v>36340.300000000003</v>
      </c>
      <c r="I190" s="6" t="s">
        <v>421</v>
      </c>
      <c r="J190" s="7" t="s">
        <v>422</v>
      </c>
      <c r="K190" s="8">
        <v>11.9</v>
      </c>
      <c r="L190" s="7">
        <f ca="1">IFERROR(__xludf.DUMMYFUNCTION("""COMPUTED_VALUE"""),367)</f>
        <v>367</v>
      </c>
    </row>
    <row r="191" spans="1:12" ht="15.5">
      <c r="A191" s="9" t="s">
        <v>395</v>
      </c>
      <c r="B191" s="7" t="s">
        <v>423</v>
      </c>
      <c r="C191" s="7" t="s">
        <v>13</v>
      </c>
      <c r="D191" s="7">
        <v>2023</v>
      </c>
      <c r="E191" s="7">
        <v>68.61</v>
      </c>
      <c r="F191" s="7">
        <v>312</v>
      </c>
      <c r="G191" s="7">
        <v>5</v>
      </c>
      <c r="H191" s="7">
        <v>55707.44</v>
      </c>
      <c r="I191" s="6" t="s">
        <v>424</v>
      </c>
      <c r="J191" s="7" t="s">
        <v>277</v>
      </c>
      <c r="K191" s="8">
        <v>19.55</v>
      </c>
      <c r="L191" s="7">
        <f ca="1">IFERROR(__xludf.DUMMYFUNCTION("""COMPUTED_VALUE"""),154)</f>
        <v>154</v>
      </c>
    </row>
    <row r="192" spans="1:12" ht="15.5">
      <c r="A192" s="9" t="s">
        <v>395</v>
      </c>
      <c r="B192" s="7" t="s">
        <v>425</v>
      </c>
      <c r="C192" s="7" t="s">
        <v>62</v>
      </c>
      <c r="D192" s="7">
        <v>2023</v>
      </c>
      <c r="E192" s="7">
        <v>71.150000000000006</v>
      </c>
      <c r="F192" s="7">
        <v>88</v>
      </c>
      <c r="G192" s="7">
        <v>6</v>
      </c>
      <c r="H192" s="7">
        <v>471.11</v>
      </c>
      <c r="I192" s="6">
        <v>100</v>
      </c>
      <c r="J192" s="7" t="s">
        <v>426</v>
      </c>
      <c r="K192" s="8">
        <v>9.7100000000000009</v>
      </c>
      <c r="L192" s="7">
        <f ca="1">IFERROR(__xludf.DUMMYFUNCTION("""COMPUTED_VALUE"""),384)</f>
        <v>384</v>
      </c>
    </row>
    <row r="193" spans="1:12" ht="15.5">
      <c r="A193" s="12" t="s">
        <v>395</v>
      </c>
      <c r="B193" s="13" t="s">
        <v>427</v>
      </c>
      <c r="C193" s="13" t="s">
        <v>62</v>
      </c>
      <c r="D193" s="13">
        <v>2023</v>
      </c>
      <c r="E193" s="13">
        <v>68.12</v>
      </c>
      <c r="F193" s="13">
        <v>92</v>
      </c>
      <c r="G193" s="13">
        <v>5</v>
      </c>
      <c r="H193" s="13">
        <v>12585.5</v>
      </c>
      <c r="I193" s="16" t="s">
        <v>428</v>
      </c>
      <c r="J193" s="13" t="s">
        <v>63</v>
      </c>
      <c r="K193" s="14">
        <v>9.2899999999999991</v>
      </c>
      <c r="L193" s="7">
        <f ca="1">IFERROR(__xludf.DUMMYFUNCTION("""COMPUTED_VALUE"""),68)</f>
        <v>68</v>
      </c>
    </row>
    <row r="194" spans="1:12" ht="15.5">
      <c r="A194" s="4" t="s">
        <v>429</v>
      </c>
      <c r="B194" s="5" t="s">
        <v>430</v>
      </c>
      <c r="C194" s="5" t="s">
        <v>13</v>
      </c>
      <c r="D194" s="5">
        <v>2023</v>
      </c>
      <c r="E194" s="5">
        <v>83.45</v>
      </c>
      <c r="F194" s="5">
        <v>90</v>
      </c>
      <c r="G194" s="5">
        <v>6</v>
      </c>
      <c r="H194" s="5">
        <v>56168</v>
      </c>
      <c r="I194" s="6" t="s">
        <v>431</v>
      </c>
      <c r="J194" s="5" t="s">
        <v>432</v>
      </c>
      <c r="K194" s="8">
        <v>4.0599999999999996</v>
      </c>
      <c r="L194" s="7">
        <f ca="1">IFERROR(__xludf.DUMMYFUNCTION("""COMPUTED_VALUE"""),83)</f>
        <v>83</v>
      </c>
    </row>
    <row r="195" spans="1:12" ht="15.5">
      <c r="A195" s="9" t="s">
        <v>429</v>
      </c>
      <c r="B195" s="7" t="s">
        <v>433</v>
      </c>
      <c r="C195" s="7" t="s">
        <v>13</v>
      </c>
      <c r="D195" s="7">
        <v>2023</v>
      </c>
      <c r="E195" s="7">
        <v>69.84</v>
      </c>
      <c r="F195" s="7">
        <v>298</v>
      </c>
      <c r="G195" s="7">
        <v>5</v>
      </c>
      <c r="H195" s="7">
        <v>16765</v>
      </c>
      <c r="I195" s="6" t="s">
        <v>434</v>
      </c>
      <c r="J195" s="7" t="s">
        <v>435</v>
      </c>
      <c r="K195" s="8">
        <v>4.43</v>
      </c>
      <c r="L195" s="7">
        <f ca="1">IFERROR(__xludf.DUMMYFUNCTION("""COMPUTED_VALUE"""),359)</f>
        <v>359</v>
      </c>
    </row>
    <row r="196" spans="1:12" ht="15.5">
      <c r="A196" s="9" t="s">
        <v>429</v>
      </c>
      <c r="B196" s="7" t="s">
        <v>436</v>
      </c>
      <c r="C196" s="7" t="s">
        <v>13</v>
      </c>
      <c r="D196" s="7">
        <v>2023</v>
      </c>
      <c r="E196" s="7">
        <v>81.63</v>
      </c>
      <c r="F196" s="7">
        <v>126</v>
      </c>
      <c r="G196" s="7">
        <v>6</v>
      </c>
      <c r="H196" s="7">
        <v>109319</v>
      </c>
      <c r="I196" s="6" t="s">
        <v>255</v>
      </c>
      <c r="J196" s="7" t="s">
        <v>437</v>
      </c>
      <c r="K196" s="8">
        <v>5.61</v>
      </c>
      <c r="L196" s="7">
        <f ca="1">IFERROR(__xludf.DUMMYFUNCTION("""COMPUTED_VALUE"""),324)</f>
        <v>324</v>
      </c>
    </row>
    <row r="197" spans="1:12" ht="15.5">
      <c r="A197" s="9" t="s">
        <v>429</v>
      </c>
      <c r="B197" s="7" t="s">
        <v>438</v>
      </c>
      <c r="C197" s="7" t="s">
        <v>13</v>
      </c>
      <c r="D197" s="7">
        <v>2023</v>
      </c>
      <c r="E197" s="7">
        <v>80.84</v>
      </c>
      <c r="F197" s="7">
        <v>143</v>
      </c>
      <c r="G197" s="7">
        <v>6</v>
      </c>
      <c r="H197" s="7">
        <v>174921</v>
      </c>
      <c r="I197" s="6" t="s">
        <v>109</v>
      </c>
      <c r="J197" s="7" t="s">
        <v>439</v>
      </c>
      <c r="K197" s="8">
        <v>6.73</v>
      </c>
      <c r="L197" s="7">
        <f ca="1">IFERROR(__xludf.DUMMYFUNCTION("""COMPUTED_VALUE"""),22)</f>
        <v>22</v>
      </c>
    </row>
    <row r="198" spans="1:12" ht="15.5">
      <c r="A198" s="9" t="s">
        <v>429</v>
      </c>
      <c r="B198" s="7" t="s">
        <v>440</v>
      </c>
      <c r="C198" s="7" t="s">
        <v>13</v>
      </c>
      <c r="D198" s="7">
        <v>2023</v>
      </c>
      <c r="E198" s="7">
        <v>88.1</v>
      </c>
      <c r="F198" s="7">
        <v>12</v>
      </c>
      <c r="G198" s="7">
        <v>6</v>
      </c>
      <c r="H198" s="7">
        <v>103841</v>
      </c>
      <c r="I198" s="6" t="s">
        <v>95</v>
      </c>
      <c r="J198" s="7" t="s">
        <v>441</v>
      </c>
      <c r="K198" s="8">
        <v>4.0999999999999996</v>
      </c>
      <c r="L198" s="7">
        <f ca="1">IFERROR(__xludf.DUMMYFUNCTION("""COMPUTED_VALUE"""),360)</f>
        <v>360</v>
      </c>
    </row>
    <row r="199" spans="1:12" ht="15.5">
      <c r="A199" s="9" t="s">
        <v>429</v>
      </c>
      <c r="B199" s="7" t="s">
        <v>442</v>
      </c>
      <c r="C199" s="7" t="s">
        <v>13</v>
      </c>
      <c r="D199" s="7">
        <v>2023</v>
      </c>
      <c r="E199" s="7">
        <v>81.31</v>
      </c>
      <c r="F199" s="7">
        <v>138</v>
      </c>
      <c r="G199" s="7">
        <v>6</v>
      </c>
      <c r="H199" s="7">
        <v>79650</v>
      </c>
      <c r="I199" s="6" t="s">
        <v>219</v>
      </c>
      <c r="J199" s="7" t="s">
        <v>443</v>
      </c>
      <c r="K199" s="8">
        <v>6.26</v>
      </c>
      <c r="L199" s="7">
        <f ca="1">IFERROR(__xludf.DUMMYFUNCTION("""COMPUTED_VALUE"""),21)</f>
        <v>21</v>
      </c>
    </row>
    <row r="200" spans="1:12" ht="15.5">
      <c r="A200" s="9" t="s">
        <v>429</v>
      </c>
      <c r="B200" s="7" t="s">
        <v>444</v>
      </c>
      <c r="C200" s="7" t="s">
        <v>13</v>
      </c>
      <c r="D200" s="7">
        <v>2023</v>
      </c>
      <c r="E200" s="7">
        <v>79.06</v>
      </c>
      <c r="F200" s="7">
        <v>176</v>
      </c>
      <c r="G200" s="7">
        <v>6</v>
      </c>
      <c r="H200" s="7">
        <v>108865</v>
      </c>
      <c r="I200" s="6" t="s">
        <v>445</v>
      </c>
      <c r="J200" s="7" t="s">
        <v>446</v>
      </c>
      <c r="K200" s="8">
        <v>5.55</v>
      </c>
      <c r="L200" s="7">
        <f ca="1">IFERROR(__xludf.DUMMYFUNCTION("""COMPUTED_VALUE"""),266)</f>
        <v>266</v>
      </c>
    </row>
    <row r="201" spans="1:12" ht="15.5">
      <c r="A201" s="9" t="s">
        <v>429</v>
      </c>
      <c r="B201" s="7" t="s">
        <v>447</v>
      </c>
      <c r="C201" s="7" t="s">
        <v>13</v>
      </c>
      <c r="D201" s="7">
        <v>2023</v>
      </c>
      <c r="E201" s="7">
        <v>74.23</v>
      </c>
      <c r="F201" s="7">
        <v>249</v>
      </c>
      <c r="G201" s="7">
        <v>5</v>
      </c>
      <c r="H201" s="7">
        <v>66435</v>
      </c>
      <c r="I201" s="6" t="s">
        <v>448</v>
      </c>
      <c r="J201" s="7" t="s">
        <v>172</v>
      </c>
      <c r="K201" s="8">
        <v>5.63</v>
      </c>
      <c r="L201" s="7">
        <f ca="1">IFERROR(__xludf.DUMMYFUNCTION("""COMPUTED_VALUE"""),206)</f>
        <v>206</v>
      </c>
    </row>
    <row r="202" spans="1:12" ht="15.5">
      <c r="A202" s="9" t="s">
        <v>429</v>
      </c>
      <c r="B202" s="7" t="s">
        <v>449</v>
      </c>
      <c r="C202" s="7" t="s">
        <v>13</v>
      </c>
      <c r="D202" s="7">
        <v>2023</v>
      </c>
      <c r="E202" s="7">
        <v>84.31</v>
      </c>
      <c r="F202" s="7">
        <v>74</v>
      </c>
      <c r="G202" s="7">
        <v>6</v>
      </c>
      <c r="H202" s="7">
        <v>57133</v>
      </c>
      <c r="I202" s="6" t="s">
        <v>219</v>
      </c>
      <c r="J202" s="7" t="s">
        <v>348</v>
      </c>
      <c r="K202" s="8">
        <v>4.1500000000000004</v>
      </c>
      <c r="L202" s="7">
        <f ca="1">IFERROR(__xludf.DUMMYFUNCTION("""COMPUTED_VALUE"""),345)</f>
        <v>345</v>
      </c>
    </row>
    <row r="203" spans="1:12" ht="15.5">
      <c r="A203" s="9" t="s">
        <v>429</v>
      </c>
      <c r="B203" s="7" t="s">
        <v>450</v>
      </c>
      <c r="C203" s="7" t="s">
        <v>13</v>
      </c>
      <c r="D203" s="7">
        <v>2023</v>
      </c>
      <c r="E203" s="7">
        <v>83.73</v>
      </c>
      <c r="F203" s="7">
        <v>82</v>
      </c>
      <c r="G203" s="7">
        <v>6</v>
      </c>
      <c r="H203" s="7">
        <v>40232</v>
      </c>
      <c r="I203" s="6" t="s">
        <v>140</v>
      </c>
      <c r="J203" s="7" t="s">
        <v>451</v>
      </c>
      <c r="K203" s="8">
        <v>2.31</v>
      </c>
      <c r="L203" s="7">
        <f ca="1">IFERROR(__xludf.DUMMYFUNCTION("""COMPUTED_VALUE"""),227)</f>
        <v>227</v>
      </c>
    </row>
    <row r="204" spans="1:12" ht="15.5">
      <c r="A204" s="9" t="s">
        <v>429</v>
      </c>
      <c r="B204" s="7" t="s">
        <v>452</v>
      </c>
      <c r="C204" s="7" t="s">
        <v>13</v>
      </c>
      <c r="D204" s="7">
        <v>2023</v>
      </c>
      <c r="E204" s="7">
        <v>81.94</v>
      </c>
      <c r="F204" s="7">
        <v>120</v>
      </c>
      <c r="G204" s="7">
        <v>6</v>
      </c>
      <c r="H204" s="7">
        <v>16071</v>
      </c>
      <c r="I204" s="6" t="s">
        <v>95</v>
      </c>
      <c r="J204" s="7" t="s">
        <v>453</v>
      </c>
      <c r="K204" s="8">
        <v>6.04</v>
      </c>
      <c r="L204" s="7">
        <f ca="1">IFERROR(__xludf.DUMMYFUNCTION("""COMPUTED_VALUE"""),137)</f>
        <v>137</v>
      </c>
    </row>
    <row r="205" spans="1:12" ht="15.5">
      <c r="A205" s="9" t="s">
        <v>429</v>
      </c>
      <c r="B205" s="7" t="s">
        <v>454</v>
      </c>
      <c r="C205" s="7" t="s">
        <v>62</v>
      </c>
      <c r="D205" s="7">
        <v>2023</v>
      </c>
      <c r="E205" s="7">
        <v>85.62</v>
      </c>
      <c r="F205" s="7">
        <v>40</v>
      </c>
      <c r="G205" s="7">
        <v>6</v>
      </c>
      <c r="H205" s="7">
        <v>4189</v>
      </c>
      <c r="I205" s="6">
        <v>100</v>
      </c>
      <c r="J205" s="7" t="s">
        <v>455</v>
      </c>
      <c r="K205" s="8">
        <v>3.56</v>
      </c>
      <c r="L205" s="7">
        <f ca="1">IFERROR(__xludf.DUMMYFUNCTION("""COMPUTED_VALUE"""),339)</f>
        <v>339</v>
      </c>
    </row>
    <row r="206" spans="1:12" ht="15.5">
      <c r="A206" s="12" t="s">
        <v>429</v>
      </c>
      <c r="B206" s="13" t="s">
        <v>456</v>
      </c>
      <c r="C206" s="13" t="s">
        <v>62</v>
      </c>
      <c r="D206" s="13">
        <v>2023</v>
      </c>
      <c r="E206" s="13">
        <v>82.35</v>
      </c>
      <c r="F206" s="13">
        <v>57</v>
      </c>
      <c r="G206" s="13">
        <v>6</v>
      </c>
      <c r="H206" s="13">
        <v>1696</v>
      </c>
      <c r="I206" s="16">
        <v>100</v>
      </c>
      <c r="J206" s="13" t="s">
        <v>457</v>
      </c>
      <c r="K206" s="14">
        <v>2.31</v>
      </c>
      <c r="L206" s="7">
        <f ca="1">IFERROR(__xludf.DUMMYFUNCTION("""COMPUTED_VALUE"""),333)</f>
        <v>333</v>
      </c>
    </row>
    <row r="207" spans="1:12" ht="15.5">
      <c r="A207" s="4" t="s">
        <v>458</v>
      </c>
      <c r="B207" s="5" t="s">
        <v>459</v>
      </c>
      <c r="C207" s="5" t="s">
        <v>13</v>
      </c>
      <c r="D207" s="5">
        <v>2023</v>
      </c>
      <c r="E207" s="5">
        <v>60.27</v>
      </c>
      <c r="F207" s="5">
        <v>347</v>
      </c>
      <c r="G207" s="5">
        <v>4</v>
      </c>
      <c r="H207" s="5">
        <v>423</v>
      </c>
      <c r="I207" s="6" t="s">
        <v>460</v>
      </c>
      <c r="J207" s="5" t="s">
        <v>461</v>
      </c>
      <c r="K207" s="8">
        <v>6.52</v>
      </c>
      <c r="L207" s="7">
        <f ca="1">IFERROR(__xludf.DUMMYFUNCTION("""COMPUTED_VALUE"""),357)</f>
        <v>357</v>
      </c>
    </row>
    <row r="208" spans="1:12" ht="15.5">
      <c r="A208" s="9" t="s">
        <v>458</v>
      </c>
      <c r="B208" s="7" t="s">
        <v>462</v>
      </c>
      <c r="C208" s="7" t="s">
        <v>13</v>
      </c>
      <c r="D208" s="7">
        <v>2023</v>
      </c>
      <c r="E208" s="7">
        <v>73.69</v>
      </c>
      <c r="F208" s="7">
        <v>257</v>
      </c>
      <c r="G208" s="7">
        <v>5</v>
      </c>
      <c r="H208" s="7">
        <v>28378.87</v>
      </c>
      <c r="I208" s="6" t="s">
        <v>463</v>
      </c>
      <c r="J208" s="7" t="s">
        <v>464</v>
      </c>
      <c r="K208" s="8">
        <v>8.44</v>
      </c>
      <c r="L208" s="7">
        <f ca="1">IFERROR(__xludf.DUMMYFUNCTION("""COMPUTED_VALUE"""),103)</f>
        <v>103</v>
      </c>
    </row>
    <row r="209" spans="1:12" ht="15.5">
      <c r="A209" s="9" t="s">
        <v>458</v>
      </c>
      <c r="B209" s="7" t="s">
        <v>465</v>
      </c>
      <c r="C209" s="7" t="s">
        <v>13</v>
      </c>
      <c r="D209" s="7">
        <v>2023</v>
      </c>
      <c r="E209" s="7">
        <v>80.59</v>
      </c>
      <c r="F209" s="7">
        <v>148</v>
      </c>
      <c r="G209" s="7">
        <v>6</v>
      </c>
      <c r="H209" s="7">
        <v>144898.07</v>
      </c>
      <c r="I209" s="6" t="s">
        <v>466</v>
      </c>
      <c r="J209" s="7" t="s">
        <v>467</v>
      </c>
      <c r="K209" s="8">
        <v>16.09</v>
      </c>
      <c r="L209" s="7">
        <f ca="1">IFERROR(__xludf.DUMMYFUNCTION("""COMPUTED_VALUE"""),338)</f>
        <v>338</v>
      </c>
    </row>
    <row r="210" spans="1:12" ht="15.5">
      <c r="A210" s="9" t="s">
        <v>458</v>
      </c>
      <c r="B210" s="7" t="s">
        <v>468</v>
      </c>
      <c r="C210" s="7" t="s">
        <v>13</v>
      </c>
      <c r="D210" s="7">
        <v>2023</v>
      </c>
      <c r="E210" s="7">
        <v>66.349999999999994</v>
      </c>
      <c r="F210" s="7">
        <v>320</v>
      </c>
      <c r="G210" s="7">
        <v>4</v>
      </c>
      <c r="H210" s="7">
        <v>5924.34</v>
      </c>
      <c r="I210" s="6" t="s">
        <v>469</v>
      </c>
      <c r="J210" s="7" t="s">
        <v>470</v>
      </c>
      <c r="K210" s="8">
        <v>11.68</v>
      </c>
      <c r="L210" s="7">
        <f ca="1">IFERROR(__xludf.DUMMYFUNCTION("""COMPUTED_VALUE"""),31)</f>
        <v>31</v>
      </c>
    </row>
    <row r="211" spans="1:12" ht="15.5">
      <c r="A211" s="9" t="s">
        <v>458</v>
      </c>
      <c r="B211" s="7" t="s">
        <v>471</v>
      </c>
      <c r="C211" s="7" t="s">
        <v>13</v>
      </c>
      <c r="D211" s="7">
        <v>2023</v>
      </c>
      <c r="E211" s="7">
        <v>83.01</v>
      </c>
      <c r="F211" s="7">
        <v>102</v>
      </c>
      <c r="G211" s="7">
        <v>6</v>
      </c>
      <c r="H211" s="7">
        <v>8236.17</v>
      </c>
      <c r="I211" s="6" t="s">
        <v>472</v>
      </c>
      <c r="J211" s="7" t="s">
        <v>473</v>
      </c>
      <c r="K211" s="8">
        <v>13.2</v>
      </c>
      <c r="L211" s="7">
        <f ca="1">IFERROR(__xludf.DUMMYFUNCTION("""COMPUTED_VALUE"""),335)</f>
        <v>335</v>
      </c>
    </row>
    <row r="212" spans="1:12" ht="15.5">
      <c r="A212" s="9" t="s">
        <v>458</v>
      </c>
      <c r="B212" s="7" t="s">
        <v>474</v>
      </c>
      <c r="C212" s="7" t="s">
        <v>13</v>
      </c>
      <c r="D212" s="7">
        <v>2023</v>
      </c>
      <c r="E212" s="7">
        <v>60.04</v>
      </c>
      <c r="F212" s="7">
        <v>349</v>
      </c>
      <c r="G212" s="7">
        <v>4</v>
      </c>
      <c r="H212" s="7">
        <v>1618.38</v>
      </c>
      <c r="I212" s="6" t="s">
        <v>475</v>
      </c>
      <c r="J212" s="7" t="s">
        <v>476</v>
      </c>
      <c r="K212" s="8">
        <v>6.43</v>
      </c>
      <c r="L212" s="7">
        <f ca="1">IFERROR(__xludf.DUMMYFUNCTION("""COMPUTED_VALUE"""),350)</f>
        <v>350</v>
      </c>
    </row>
    <row r="213" spans="1:12" ht="15.5">
      <c r="A213" s="9" t="s">
        <v>458</v>
      </c>
      <c r="B213" s="7" t="s">
        <v>477</v>
      </c>
      <c r="C213" s="7" t="s">
        <v>13</v>
      </c>
      <c r="D213" s="7">
        <v>2023</v>
      </c>
      <c r="E213" s="7">
        <v>58.9</v>
      </c>
      <c r="F213" s="7">
        <v>356</v>
      </c>
      <c r="G213" s="7">
        <v>3</v>
      </c>
      <c r="H213" s="7">
        <v>762.46</v>
      </c>
      <c r="I213" s="6" t="s">
        <v>478</v>
      </c>
      <c r="J213" s="7" t="s">
        <v>479</v>
      </c>
      <c r="K213" s="8">
        <v>7.13</v>
      </c>
      <c r="L213" s="7">
        <f ca="1">IFERROR(__xludf.DUMMYFUNCTION("""COMPUTED_VALUE"""),354)</f>
        <v>354</v>
      </c>
    </row>
    <row r="214" spans="1:12" ht="15.5">
      <c r="A214" s="9" t="s">
        <v>458</v>
      </c>
      <c r="B214" s="7" t="s">
        <v>480</v>
      </c>
      <c r="C214" s="7" t="s">
        <v>13</v>
      </c>
      <c r="D214" s="7">
        <v>2023</v>
      </c>
      <c r="E214" s="7">
        <v>59.25</v>
      </c>
      <c r="F214" s="7">
        <v>353</v>
      </c>
      <c r="G214" s="7">
        <v>3</v>
      </c>
      <c r="H214" s="7">
        <v>8938.65</v>
      </c>
      <c r="I214" s="6" t="s">
        <v>481</v>
      </c>
      <c r="J214" s="7" t="s">
        <v>482</v>
      </c>
      <c r="K214" s="8">
        <v>7.11</v>
      </c>
      <c r="L214" s="7">
        <f ca="1">IFERROR(__xludf.DUMMYFUNCTION("""COMPUTED_VALUE"""),375)</f>
        <v>375</v>
      </c>
    </row>
    <row r="215" spans="1:12" ht="15.5">
      <c r="A215" s="9" t="s">
        <v>458</v>
      </c>
      <c r="B215" s="7" t="s">
        <v>483</v>
      </c>
      <c r="C215" s="7" t="s">
        <v>13</v>
      </c>
      <c r="D215" s="7">
        <v>2023</v>
      </c>
      <c r="E215" s="7">
        <v>76.739999999999995</v>
      </c>
      <c r="F215" s="7">
        <v>218</v>
      </c>
      <c r="G215" s="7">
        <v>6</v>
      </c>
      <c r="H215" s="7">
        <v>36180.18</v>
      </c>
      <c r="I215" s="6" t="s">
        <v>484</v>
      </c>
      <c r="J215" s="7" t="s">
        <v>485</v>
      </c>
      <c r="K215" s="8">
        <v>7.47</v>
      </c>
      <c r="L215" s="7">
        <f ca="1">IFERROR(__xludf.DUMMYFUNCTION("""COMPUTED_VALUE"""),366)</f>
        <v>366</v>
      </c>
    </row>
    <row r="216" spans="1:12" ht="15.5">
      <c r="A216" s="9" t="s">
        <v>458</v>
      </c>
      <c r="B216" s="7" t="s">
        <v>486</v>
      </c>
      <c r="C216" s="7" t="s">
        <v>13</v>
      </c>
      <c r="D216" s="7">
        <v>2023</v>
      </c>
      <c r="E216" s="7">
        <v>81.33</v>
      </c>
      <c r="F216" s="7">
        <v>136</v>
      </c>
      <c r="G216" s="7">
        <v>6</v>
      </c>
      <c r="H216" s="7">
        <v>78632.479999999996</v>
      </c>
      <c r="I216" s="6" t="s">
        <v>487</v>
      </c>
      <c r="J216" s="7" t="s">
        <v>451</v>
      </c>
      <c r="K216" s="8">
        <v>10.73</v>
      </c>
      <c r="L216" s="7">
        <f ca="1">IFERROR(__xludf.DUMMYFUNCTION("""COMPUTED_VALUE"""),75)</f>
        <v>75</v>
      </c>
    </row>
    <row r="217" spans="1:12" ht="15.5">
      <c r="A217" s="9" t="s">
        <v>458</v>
      </c>
      <c r="B217" s="7" t="s">
        <v>488</v>
      </c>
      <c r="C217" s="7" t="s">
        <v>13</v>
      </c>
      <c r="D217" s="7">
        <v>2023</v>
      </c>
      <c r="E217" s="7">
        <v>55.49</v>
      </c>
      <c r="F217" s="7">
        <v>367</v>
      </c>
      <c r="G217" s="7">
        <v>3</v>
      </c>
      <c r="H217" s="7">
        <v>620.73</v>
      </c>
      <c r="I217" s="6" t="s">
        <v>489</v>
      </c>
      <c r="J217" s="7" t="s">
        <v>490</v>
      </c>
      <c r="K217" s="8">
        <v>8.24</v>
      </c>
      <c r="L217" s="7">
        <f ca="1">IFERROR(__xludf.DUMMYFUNCTION("""COMPUTED_VALUE"""),240)</f>
        <v>240</v>
      </c>
    </row>
    <row r="218" spans="1:12" ht="15.5">
      <c r="A218" s="9" t="s">
        <v>458</v>
      </c>
      <c r="B218" s="7" t="s">
        <v>491</v>
      </c>
      <c r="C218" s="7" t="s">
        <v>13</v>
      </c>
      <c r="D218" s="7">
        <v>2023</v>
      </c>
      <c r="E218" s="7">
        <v>80.290000000000006</v>
      </c>
      <c r="F218" s="7">
        <v>154</v>
      </c>
      <c r="G218" s="7">
        <v>6</v>
      </c>
      <c r="H218" s="7">
        <v>18998.79</v>
      </c>
      <c r="I218" s="6" t="s">
        <v>492</v>
      </c>
      <c r="J218" s="7" t="s">
        <v>493</v>
      </c>
      <c r="K218" s="8">
        <v>10.92</v>
      </c>
      <c r="L218" s="7">
        <f ca="1">IFERROR(__xludf.DUMMYFUNCTION("""COMPUTED_VALUE"""),250)</f>
        <v>250</v>
      </c>
    </row>
    <row r="219" spans="1:12" ht="15.5">
      <c r="A219" s="9" t="s">
        <v>458</v>
      </c>
      <c r="B219" s="7" t="s">
        <v>494</v>
      </c>
      <c r="C219" s="7" t="s">
        <v>13</v>
      </c>
      <c r="D219" s="7">
        <v>2023</v>
      </c>
      <c r="E219" s="7">
        <v>49.08</v>
      </c>
      <c r="F219" s="7">
        <v>384</v>
      </c>
      <c r="G219" s="7">
        <v>2</v>
      </c>
      <c r="H219" s="7">
        <v>1067.02</v>
      </c>
      <c r="I219" s="6" t="s">
        <v>495</v>
      </c>
      <c r="J219" s="7" t="s">
        <v>496</v>
      </c>
      <c r="K219" s="8">
        <v>8.9700000000000006</v>
      </c>
      <c r="L219" s="7">
        <f ca="1">IFERROR(__xludf.DUMMYFUNCTION("""COMPUTED_VALUE"""),49)</f>
        <v>49</v>
      </c>
    </row>
    <row r="220" spans="1:12" ht="15.5">
      <c r="A220" s="12" t="s">
        <v>458</v>
      </c>
      <c r="B220" s="13" t="s">
        <v>497</v>
      </c>
      <c r="C220" s="13" t="s">
        <v>62</v>
      </c>
      <c r="D220" s="13">
        <v>2023</v>
      </c>
      <c r="E220" s="13">
        <v>79.61</v>
      </c>
      <c r="F220" s="13">
        <v>68</v>
      </c>
      <c r="G220" s="13">
        <v>6</v>
      </c>
      <c r="H220" s="13">
        <v>53.49</v>
      </c>
      <c r="I220" s="16">
        <v>100</v>
      </c>
      <c r="J220" s="13" t="s">
        <v>498</v>
      </c>
      <c r="K220" s="14">
        <v>6.34</v>
      </c>
      <c r="L220" s="7">
        <f ca="1">IFERROR(__xludf.DUMMYFUNCTION("""COMPUTED_VALUE"""),242)</f>
        <v>242</v>
      </c>
    </row>
    <row r="221" spans="1:12" ht="15.5">
      <c r="A221" s="4" t="s">
        <v>499</v>
      </c>
      <c r="B221" s="5" t="s">
        <v>500</v>
      </c>
      <c r="C221" s="5" t="s">
        <v>13</v>
      </c>
      <c r="D221" s="5">
        <v>2023</v>
      </c>
      <c r="E221" s="5">
        <v>83.7</v>
      </c>
      <c r="F221" s="5">
        <v>83</v>
      </c>
      <c r="G221" s="5">
        <v>6</v>
      </c>
      <c r="H221" s="5">
        <v>26369.02</v>
      </c>
      <c r="I221" s="6" t="s">
        <v>501</v>
      </c>
      <c r="J221" s="5" t="s">
        <v>502</v>
      </c>
      <c r="K221" s="8">
        <v>11.99</v>
      </c>
      <c r="L221" s="7">
        <f ca="1">IFERROR(__xludf.DUMMYFUNCTION("""COMPUTED_VALUE"""),171)</f>
        <v>171</v>
      </c>
    </row>
    <row r="222" spans="1:12" ht="15.5">
      <c r="A222" s="9" t="s">
        <v>499</v>
      </c>
      <c r="B222" s="7" t="s">
        <v>503</v>
      </c>
      <c r="C222" s="7" t="s">
        <v>13</v>
      </c>
      <c r="D222" s="7">
        <v>2023</v>
      </c>
      <c r="E222" s="7">
        <v>58.39</v>
      </c>
      <c r="F222" s="7">
        <v>359</v>
      </c>
      <c r="G222" s="7">
        <v>3</v>
      </c>
      <c r="H222" s="7">
        <v>1342.49</v>
      </c>
      <c r="I222" s="6" t="s">
        <v>504</v>
      </c>
      <c r="J222" s="7" t="s">
        <v>505</v>
      </c>
      <c r="K222" s="8">
        <v>12.63</v>
      </c>
      <c r="L222" s="7">
        <f ca="1">IFERROR(__xludf.DUMMYFUNCTION("""COMPUTED_VALUE"""),192)</f>
        <v>192</v>
      </c>
    </row>
    <row r="223" spans="1:12" ht="15.5">
      <c r="A223" s="9" t="s">
        <v>499</v>
      </c>
      <c r="B223" s="7" t="s">
        <v>506</v>
      </c>
      <c r="C223" s="7" t="s">
        <v>13</v>
      </c>
      <c r="D223" s="7">
        <v>2023</v>
      </c>
      <c r="E223" s="7">
        <v>85.53</v>
      </c>
      <c r="F223" s="7">
        <v>47</v>
      </c>
      <c r="G223" s="7">
        <v>6</v>
      </c>
      <c r="H223" s="7">
        <v>106411.09</v>
      </c>
      <c r="I223" s="6" t="s">
        <v>507</v>
      </c>
      <c r="J223" s="7" t="s">
        <v>508</v>
      </c>
      <c r="K223" s="8">
        <v>10.59</v>
      </c>
      <c r="L223" s="7">
        <f ca="1">IFERROR(__xludf.DUMMYFUNCTION("""COMPUTED_VALUE"""),224)</f>
        <v>224</v>
      </c>
    </row>
    <row r="224" spans="1:12" ht="15.5">
      <c r="A224" s="9" t="s">
        <v>499</v>
      </c>
      <c r="B224" s="7" t="s">
        <v>509</v>
      </c>
      <c r="C224" s="7" t="s">
        <v>13</v>
      </c>
      <c r="D224" s="7">
        <v>2023</v>
      </c>
      <c r="E224" s="7">
        <v>65.760000000000005</v>
      </c>
      <c r="F224" s="7">
        <v>324</v>
      </c>
      <c r="G224" s="7">
        <v>4</v>
      </c>
      <c r="H224" s="7">
        <v>10777.38</v>
      </c>
      <c r="I224" s="6" t="s">
        <v>510</v>
      </c>
      <c r="J224" s="7" t="s">
        <v>511</v>
      </c>
      <c r="K224" s="8">
        <v>8.6999999999999993</v>
      </c>
      <c r="L224" s="7">
        <f ca="1">IFERROR(__xludf.DUMMYFUNCTION("""COMPUTED_VALUE"""),336)</f>
        <v>336</v>
      </c>
    </row>
    <row r="225" spans="1:12" ht="15.5">
      <c r="A225" s="9" t="s">
        <v>499</v>
      </c>
      <c r="B225" s="7" t="s">
        <v>512</v>
      </c>
      <c r="C225" s="7" t="s">
        <v>13</v>
      </c>
      <c r="D225" s="7">
        <v>2023</v>
      </c>
      <c r="E225" s="7">
        <v>85.33</v>
      </c>
      <c r="F225" s="7">
        <v>53</v>
      </c>
      <c r="G225" s="7">
        <v>6</v>
      </c>
      <c r="H225" s="7">
        <v>20274.04</v>
      </c>
      <c r="I225" s="6" t="s">
        <v>513</v>
      </c>
      <c r="J225" s="7" t="s">
        <v>326</v>
      </c>
      <c r="K225" s="8">
        <v>7.86</v>
      </c>
      <c r="L225" s="7">
        <f ca="1">IFERROR(__xludf.DUMMYFUNCTION("""COMPUTED_VALUE"""),365)</f>
        <v>365</v>
      </c>
    </row>
    <row r="226" spans="1:12" ht="15.5">
      <c r="A226" s="9" t="s">
        <v>499</v>
      </c>
      <c r="B226" s="7" t="s">
        <v>514</v>
      </c>
      <c r="C226" s="7" t="s">
        <v>13</v>
      </c>
      <c r="D226" s="7">
        <v>2023</v>
      </c>
      <c r="E226" s="7">
        <v>87.4</v>
      </c>
      <c r="F226" s="7">
        <v>22</v>
      </c>
      <c r="G226" s="7">
        <v>6</v>
      </c>
      <c r="H226" s="7">
        <v>44123.19</v>
      </c>
      <c r="I226" s="6" t="s">
        <v>515</v>
      </c>
      <c r="J226" s="7" t="s">
        <v>516</v>
      </c>
      <c r="K226" s="8">
        <v>16.34</v>
      </c>
      <c r="L226" s="7">
        <f ca="1">IFERROR(__xludf.DUMMYFUNCTION("""COMPUTED_VALUE"""),276)</f>
        <v>276</v>
      </c>
    </row>
    <row r="227" spans="1:12" ht="15.5">
      <c r="A227" s="9" t="s">
        <v>499</v>
      </c>
      <c r="B227" s="7" t="s">
        <v>517</v>
      </c>
      <c r="C227" s="7" t="s">
        <v>13</v>
      </c>
      <c r="D227" s="7">
        <v>2023</v>
      </c>
      <c r="E227" s="7">
        <v>57.68</v>
      </c>
      <c r="F227" s="7">
        <v>360</v>
      </c>
      <c r="G227" s="7">
        <v>3</v>
      </c>
      <c r="H227" s="7">
        <v>650.92999999999995</v>
      </c>
      <c r="I227" s="6" t="s">
        <v>518</v>
      </c>
      <c r="J227" s="7" t="s">
        <v>99</v>
      </c>
      <c r="K227" s="8">
        <v>13.82</v>
      </c>
      <c r="L227" s="7">
        <f ca="1">IFERROR(__xludf.DUMMYFUNCTION("""COMPUTED_VALUE"""),142)</f>
        <v>142</v>
      </c>
    </row>
    <row r="228" spans="1:12" ht="15.5">
      <c r="A228" s="9" t="s">
        <v>499</v>
      </c>
      <c r="B228" s="7" t="s">
        <v>519</v>
      </c>
      <c r="C228" s="7" t="s">
        <v>62</v>
      </c>
      <c r="D228" s="7">
        <v>2023</v>
      </c>
      <c r="E228" s="7">
        <v>91.4</v>
      </c>
      <c r="F228" s="7">
        <v>8</v>
      </c>
      <c r="G228" s="7">
        <v>6</v>
      </c>
      <c r="H228" s="7">
        <v>154.88</v>
      </c>
      <c r="I228" s="6" t="s">
        <v>520</v>
      </c>
      <c r="J228" s="7" t="s">
        <v>521</v>
      </c>
      <c r="K228" s="8">
        <v>6.98</v>
      </c>
      <c r="L228" s="7">
        <f ca="1">IFERROR(__xludf.DUMMYFUNCTION("""COMPUTED_VALUE"""),394)</f>
        <v>394</v>
      </c>
    </row>
    <row r="229" spans="1:12" ht="15.5">
      <c r="A229" s="9" t="s">
        <v>499</v>
      </c>
      <c r="B229" s="7" t="s">
        <v>522</v>
      </c>
      <c r="C229" s="7" t="s">
        <v>62</v>
      </c>
      <c r="D229" s="7">
        <v>2023</v>
      </c>
      <c r="E229" s="7">
        <v>88.97</v>
      </c>
      <c r="F229" s="7">
        <v>21</v>
      </c>
      <c r="G229" s="7">
        <v>6</v>
      </c>
      <c r="H229" s="7">
        <v>5032.7</v>
      </c>
      <c r="I229" s="6">
        <v>100</v>
      </c>
      <c r="J229" s="7" t="s">
        <v>523</v>
      </c>
      <c r="K229" s="8">
        <v>7.87</v>
      </c>
      <c r="L229" s="7">
        <f ca="1">IFERROR(__xludf.DUMMYFUNCTION("""COMPUTED_VALUE"""),351)</f>
        <v>351</v>
      </c>
    </row>
    <row r="230" spans="1:12" ht="15.5">
      <c r="A230" s="12" t="s">
        <v>499</v>
      </c>
      <c r="B230" s="13" t="s">
        <v>524</v>
      </c>
      <c r="C230" s="13" t="s">
        <v>62</v>
      </c>
      <c r="D230" s="13">
        <v>2023</v>
      </c>
      <c r="E230" s="13">
        <v>88.76</v>
      </c>
      <c r="F230" s="13">
        <v>22</v>
      </c>
      <c r="G230" s="13">
        <v>6</v>
      </c>
      <c r="H230" s="13">
        <v>154.86000000000001</v>
      </c>
      <c r="I230" s="16" t="s">
        <v>525</v>
      </c>
      <c r="J230" s="13" t="s">
        <v>167</v>
      </c>
      <c r="K230" s="14">
        <v>6.95</v>
      </c>
      <c r="L230" s="7">
        <f ca="1">IFERROR(__xludf.DUMMYFUNCTION("""COMPUTED_VALUE"""),311)</f>
        <v>311</v>
      </c>
    </row>
    <row r="231" spans="1:12" ht="15.5">
      <c r="A231" s="4" t="s">
        <v>526</v>
      </c>
      <c r="B231" s="5" t="s">
        <v>527</v>
      </c>
      <c r="C231" s="5" t="s">
        <v>13</v>
      </c>
      <c r="D231" s="5">
        <v>2023</v>
      </c>
      <c r="E231" s="5">
        <v>73.08</v>
      </c>
      <c r="F231" s="5">
        <v>266</v>
      </c>
      <c r="G231" s="5">
        <v>5</v>
      </c>
      <c r="H231" s="5">
        <v>5372.45</v>
      </c>
      <c r="I231" s="6" t="s">
        <v>528</v>
      </c>
      <c r="J231" s="5" t="s">
        <v>123</v>
      </c>
      <c r="K231" s="8">
        <v>16.440000000000001</v>
      </c>
      <c r="L231" s="7">
        <f ca="1">IFERROR(__xludf.DUMMYFUNCTION("""COMPUTED_VALUE"""),330)</f>
        <v>330</v>
      </c>
    </row>
    <row r="232" spans="1:12" ht="15.5">
      <c r="A232" s="9" t="s">
        <v>526</v>
      </c>
      <c r="B232" s="7" t="s">
        <v>529</v>
      </c>
      <c r="C232" s="7" t="s">
        <v>13</v>
      </c>
      <c r="D232" s="7">
        <v>2023</v>
      </c>
      <c r="E232" s="7">
        <v>77.11</v>
      </c>
      <c r="F232" s="7">
        <v>206</v>
      </c>
      <c r="G232" s="7">
        <v>6</v>
      </c>
      <c r="H232" s="7">
        <v>10347.73</v>
      </c>
      <c r="I232" s="6" t="s">
        <v>530</v>
      </c>
      <c r="J232" s="7" t="s">
        <v>531</v>
      </c>
      <c r="K232" s="8">
        <v>15.43</v>
      </c>
      <c r="L232" s="7">
        <f ca="1">IFERROR(__xludf.DUMMYFUNCTION("""COMPUTED_VALUE"""),355)</f>
        <v>355</v>
      </c>
    </row>
    <row r="233" spans="1:12" ht="15.5">
      <c r="A233" s="9" t="s">
        <v>526</v>
      </c>
      <c r="B233" s="7" t="s">
        <v>532</v>
      </c>
      <c r="C233" s="7" t="s">
        <v>13</v>
      </c>
      <c r="D233" s="7">
        <v>2023</v>
      </c>
      <c r="E233" s="7">
        <v>60.54</v>
      </c>
      <c r="F233" s="7">
        <v>345</v>
      </c>
      <c r="G233" s="7">
        <v>4</v>
      </c>
      <c r="H233" s="7">
        <v>411.86</v>
      </c>
      <c r="I233" s="6" t="s">
        <v>533</v>
      </c>
      <c r="J233" s="7" t="s">
        <v>282</v>
      </c>
      <c r="K233" s="8">
        <v>16.78</v>
      </c>
      <c r="L233" s="7">
        <f ca="1">IFERROR(__xludf.DUMMYFUNCTION("""COMPUTED_VALUE"""),97)</f>
        <v>97</v>
      </c>
    </row>
    <row r="234" spans="1:12" ht="15.5">
      <c r="A234" s="9" t="s">
        <v>526</v>
      </c>
      <c r="B234" s="7" t="s">
        <v>534</v>
      </c>
      <c r="C234" s="7" t="s">
        <v>13</v>
      </c>
      <c r="D234" s="7">
        <v>2023</v>
      </c>
      <c r="E234" s="7">
        <v>76.17</v>
      </c>
      <c r="F234" s="7">
        <v>227</v>
      </c>
      <c r="G234" s="7">
        <v>6</v>
      </c>
      <c r="H234" s="7">
        <v>8167.53</v>
      </c>
      <c r="I234" s="6" t="s">
        <v>535</v>
      </c>
      <c r="J234" s="7" t="s">
        <v>167</v>
      </c>
      <c r="K234" s="8">
        <v>19.75</v>
      </c>
      <c r="L234" s="7">
        <f ca="1">IFERROR(__xludf.DUMMYFUNCTION("""COMPUTED_VALUE"""),373)</f>
        <v>373</v>
      </c>
    </row>
    <row r="235" spans="1:12" ht="15.5">
      <c r="A235" s="12" t="s">
        <v>526</v>
      </c>
      <c r="B235" s="13" t="s">
        <v>536</v>
      </c>
      <c r="C235" s="13" t="s">
        <v>62</v>
      </c>
      <c r="D235" s="13">
        <v>2023</v>
      </c>
      <c r="E235" s="13">
        <v>86.06</v>
      </c>
      <c r="F235" s="13">
        <v>37</v>
      </c>
      <c r="G235" s="13">
        <v>6</v>
      </c>
      <c r="H235" s="13">
        <v>47.65</v>
      </c>
      <c r="I235" s="16">
        <v>100</v>
      </c>
      <c r="J235" s="13" t="s">
        <v>537</v>
      </c>
      <c r="K235" s="14">
        <v>12.82</v>
      </c>
      <c r="L235" s="7">
        <f ca="1">IFERROR(__xludf.DUMMYFUNCTION("""COMPUTED_VALUE"""),381)</f>
        <v>381</v>
      </c>
    </row>
    <row r="236" spans="1:12" ht="15.5">
      <c r="A236" s="4" t="s">
        <v>538</v>
      </c>
      <c r="B236" s="5" t="s">
        <v>539</v>
      </c>
      <c r="C236" s="5" t="s">
        <v>13</v>
      </c>
      <c r="D236" s="5">
        <v>2023</v>
      </c>
      <c r="E236" s="5">
        <v>81.31</v>
      </c>
      <c r="F236" s="5">
        <v>137</v>
      </c>
      <c r="G236" s="5">
        <v>6</v>
      </c>
      <c r="H236" s="5">
        <v>4683.95</v>
      </c>
      <c r="I236" s="6" t="s">
        <v>540</v>
      </c>
      <c r="J236" s="5" t="s">
        <v>541</v>
      </c>
      <c r="K236" s="8">
        <v>13.4</v>
      </c>
      <c r="L236" s="7">
        <f ca="1">IFERROR(__xludf.DUMMYFUNCTION("""COMPUTED_VALUE"""),371)</f>
        <v>371</v>
      </c>
    </row>
    <row r="237" spans="1:12" ht="15.5">
      <c r="A237" s="9" t="s">
        <v>538</v>
      </c>
      <c r="B237" s="7" t="s">
        <v>542</v>
      </c>
      <c r="C237" s="7" t="s">
        <v>13</v>
      </c>
      <c r="D237" s="7">
        <v>2023</v>
      </c>
      <c r="E237" s="7">
        <v>61.83</v>
      </c>
      <c r="F237" s="7">
        <v>339</v>
      </c>
      <c r="G237" s="7">
        <v>4</v>
      </c>
      <c r="H237" s="7">
        <v>741.39</v>
      </c>
      <c r="I237" s="6" t="s">
        <v>54</v>
      </c>
      <c r="J237" s="7" t="s">
        <v>543</v>
      </c>
      <c r="K237" s="8">
        <v>13.14</v>
      </c>
      <c r="L237" s="7">
        <f ca="1">IFERROR(__xludf.DUMMYFUNCTION("""COMPUTED_VALUE"""),376)</f>
        <v>376</v>
      </c>
    </row>
    <row r="238" spans="1:12" ht="15.5">
      <c r="A238" s="9" t="s">
        <v>538</v>
      </c>
      <c r="B238" s="7" t="s">
        <v>544</v>
      </c>
      <c r="C238" s="7" t="s">
        <v>13</v>
      </c>
      <c r="D238" s="7">
        <v>2023</v>
      </c>
      <c r="E238" s="7">
        <v>63.76</v>
      </c>
      <c r="F238" s="7">
        <v>333</v>
      </c>
      <c r="G238" s="7">
        <v>4</v>
      </c>
      <c r="H238" s="7">
        <v>2810.08</v>
      </c>
      <c r="I238" s="6" t="s">
        <v>545</v>
      </c>
      <c r="J238" s="7" t="s">
        <v>546</v>
      </c>
      <c r="K238" s="8">
        <v>13.79</v>
      </c>
      <c r="L238" s="7">
        <f ca="1">IFERROR(__xludf.DUMMYFUNCTION("""COMPUTED_VALUE"""),140)</f>
        <v>140</v>
      </c>
    </row>
    <row r="239" spans="1:12" ht="15.5">
      <c r="A239" s="9" t="s">
        <v>538</v>
      </c>
      <c r="B239" s="7" t="s">
        <v>547</v>
      </c>
      <c r="C239" s="7" t="s">
        <v>13</v>
      </c>
      <c r="D239" s="7">
        <v>2023</v>
      </c>
      <c r="E239" s="7">
        <v>58.62</v>
      </c>
      <c r="F239" s="7">
        <v>357</v>
      </c>
      <c r="G239" s="7">
        <v>3</v>
      </c>
      <c r="H239" s="7">
        <v>398.96</v>
      </c>
      <c r="I239" s="6">
        <v>100</v>
      </c>
      <c r="J239" s="7" t="s">
        <v>223</v>
      </c>
      <c r="K239" s="8">
        <v>14.51</v>
      </c>
      <c r="L239" s="7">
        <f ca="1">IFERROR(__xludf.DUMMYFUNCTION("""COMPUTED_VALUE"""),229)</f>
        <v>229</v>
      </c>
    </row>
    <row r="240" spans="1:12" ht="15.5">
      <c r="A240" s="9" t="s">
        <v>538</v>
      </c>
      <c r="B240" s="7" t="s">
        <v>548</v>
      </c>
      <c r="C240" s="7" t="s">
        <v>13</v>
      </c>
      <c r="D240" s="7">
        <v>2023</v>
      </c>
      <c r="E240" s="7">
        <v>82.94</v>
      </c>
      <c r="F240" s="7">
        <v>103</v>
      </c>
      <c r="G240" s="7">
        <v>6</v>
      </c>
      <c r="H240" s="7">
        <v>55081</v>
      </c>
      <c r="I240" s="6">
        <v>100</v>
      </c>
      <c r="J240" s="7" t="s">
        <v>132</v>
      </c>
      <c r="K240" s="8">
        <v>13.08</v>
      </c>
      <c r="L240" s="7">
        <f ca="1">IFERROR(__xludf.DUMMYFUNCTION("""COMPUTED_VALUE"""),369)</f>
        <v>369</v>
      </c>
    </row>
    <row r="241" spans="1:12" ht="15.5">
      <c r="A241" s="9" t="s">
        <v>538</v>
      </c>
      <c r="B241" s="7" t="s">
        <v>549</v>
      </c>
      <c r="C241" s="7" t="s">
        <v>13</v>
      </c>
      <c r="D241" s="7">
        <v>2023</v>
      </c>
      <c r="E241" s="7">
        <v>62.09</v>
      </c>
      <c r="F241" s="7">
        <v>338</v>
      </c>
      <c r="G241" s="7">
        <v>4</v>
      </c>
      <c r="H241" s="7">
        <v>1785.47</v>
      </c>
      <c r="I241" s="6" t="s">
        <v>550</v>
      </c>
      <c r="J241" s="7" t="s">
        <v>551</v>
      </c>
      <c r="K241" s="8">
        <v>12.24</v>
      </c>
      <c r="L241" s="7">
        <f ca="1">IFERROR(__xludf.DUMMYFUNCTION("""COMPUTED_VALUE"""),386)</f>
        <v>386</v>
      </c>
    </row>
    <row r="242" spans="1:12" ht="15.5">
      <c r="A242" s="12" t="s">
        <v>538</v>
      </c>
      <c r="B242" s="13" t="s">
        <v>552</v>
      </c>
      <c r="C242" s="13" t="s">
        <v>62</v>
      </c>
      <c r="D242" s="13">
        <v>2023</v>
      </c>
      <c r="E242" s="13">
        <v>87.42</v>
      </c>
      <c r="F242" s="13">
        <v>31</v>
      </c>
      <c r="G242" s="13">
        <v>6</v>
      </c>
      <c r="H242" s="13"/>
      <c r="I242" s="16">
        <v>100</v>
      </c>
      <c r="J242" s="13" t="s">
        <v>158</v>
      </c>
      <c r="K242" s="14">
        <v>12.74</v>
      </c>
      <c r="L242" s="7">
        <f ca="1">IFERROR(__xludf.DUMMYFUNCTION("""COMPUTED_VALUE"""),18)</f>
        <v>18</v>
      </c>
    </row>
    <row r="243" spans="1:12" ht="15.5">
      <c r="A243" s="4" t="s">
        <v>553</v>
      </c>
      <c r="B243" s="5" t="s">
        <v>554</v>
      </c>
      <c r="C243" s="5" t="s">
        <v>13</v>
      </c>
      <c r="D243" s="5">
        <v>2023</v>
      </c>
      <c r="E243" s="5">
        <v>62.97</v>
      </c>
      <c r="F243" s="5">
        <v>335</v>
      </c>
      <c r="G243" s="5">
        <v>4</v>
      </c>
      <c r="H243" s="5">
        <v>3.01</v>
      </c>
      <c r="I243" s="6">
        <v>100</v>
      </c>
      <c r="J243" s="5" t="s">
        <v>555</v>
      </c>
      <c r="K243" s="8">
        <v>14.7</v>
      </c>
      <c r="L243" s="7">
        <f ca="1">IFERROR(__xludf.DUMMYFUNCTION("""COMPUTED_VALUE"""),260)</f>
        <v>260</v>
      </c>
    </row>
    <row r="244" spans="1:12" ht="15.5">
      <c r="A244" s="9" t="s">
        <v>553</v>
      </c>
      <c r="B244" s="7" t="s">
        <v>556</v>
      </c>
      <c r="C244" s="7" t="s">
        <v>13</v>
      </c>
      <c r="D244" s="7">
        <v>2023</v>
      </c>
      <c r="E244" s="7">
        <v>59.58</v>
      </c>
      <c r="F244" s="7">
        <v>350</v>
      </c>
      <c r="G244" s="7">
        <v>3</v>
      </c>
      <c r="H244" s="7">
        <v>11.42</v>
      </c>
      <c r="I244" s="6" t="s">
        <v>95</v>
      </c>
      <c r="J244" s="7" t="s">
        <v>557</v>
      </c>
      <c r="K244" s="8">
        <v>15.28</v>
      </c>
      <c r="L244" s="7">
        <f ca="1">IFERROR(__xludf.DUMMYFUNCTION("""COMPUTED_VALUE"""),236)</f>
        <v>236</v>
      </c>
    </row>
    <row r="245" spans="1:12" ht="15.5">
      <c r="A245" s="9" t="s">
        <v>553</v>
      </c>
      <c r="B245" s="7" t="s">
        <v>558</v>
      </c>
      <c r="C245" s="7" t="s">
        <v>13</v>
      </c>
      <c r="D245" s="7">
        <v>2023</v>
      </c>
      <c r="E245" s="7">
        <v>59.15</v>
      </c>
      <c r="F245" s="7">
        <v>354</v>
      </c>
      <c r="G245" s="7">
        <v>3</v>
      </c>
      <c r="H245" s="7">
        <v>186.78</v>
      </c>
      <c r="I245" s="6" t="s">
        <v>559</v>
      </c>
      <c r="J245" s="7" t="s">
        <v>560</v>
      </c>
      <c r="K245" s="8">
        <v>15.94</v>
      </c>
      <c r="L245" s="7">
        <f ca="1">IFERROR(__xludf.DUMMYFUNCTION("""COMPUTED_VALUE"""),284)</f>
        <v>284</v>
      </c>
    </row>
    <row r="246" spans="1:12" ht="15.5">
      <c r="A246" s="9" t="s">
        <v>553</v>
      </c>
      <c r="B246" s="7" t="s">
        <v>561</v>
      </c>
      <c r="C246" s="7" t="s">
        <v>13</v>
      </c>
      <c r="D246" s="7">
        <v>2023</v>
      </c>
      <c r="E246" s="7">
        <v>52.41</v>
      </c>
      <c r="F246" s="7">
        <v>375</v>
      </c>
      <c r="G246" s="7">
        <v>3</v>
      </c>
      <c r="H246" s="7">
        <v>166.78</v>
      </c>
      <c r="I246" s="6" t="s">
        <v>562</v>
      </c>
      <c r="J246" s="7" t="s">
        <v>282</v>
      </c>
      <c r="K246" s="8">
        <v>24.11</v>
      </c>
      <c r="L246" s="7">
        <f ca="1">IFERROR(__xludf.DUMMYFUNCTION("""COMPUTED_VALUE"""),182)</f>
        <v>182</v>
      </c>
    </row>
    <row r="247" spans="1:12" ht="15.5">
      <c r="A247" s="9" t="s">
        <v>553</v>
      </c>
      <c r="B247" s="7" t="s">
        <v>563</v>
      </c>
      <c r="C247" s="7" t="s">
        <v>13</v>
      </c>
      <c r="D247" s="7">
        <v>2023</v>
      </c>
      <c r="E247" s="7">
        <v>55.72</v>
      </c>
      <c r="F247" s="7">
        <v>366</v>
      </c>
      <c r="G247" s="7">
        <v>3</v>
      </c>
      <c r="H247" s="7">
        <v>55.12</v>
      </c>
      <c r="I247" s="6" t="s">
        <v>564</v>
      </c>
      <c r="J247" s="7" t="s">
        <v>565</v>
      </c>
      <c r="K247" s="8">
        <v>13.71</v>
      </c>
      <c r="L247" s="7">
        <f ca="1">IFERROR(__xludf.DUMMYFUNCTION("""COMPUTED_VALUE"""),198)</f>
        <v>198</v>
      </c>
    </row>
    <row r="248" spans="1:12" ht="15.5">
      <c r="A248" s="9" t="s">
        <v>553</v>
      </c>
      <c r="B248" s="7" t="s">
        <v>566</v>
      </c>
      <c r="C248" s="7" t="s">
        <v>62</v>
      </c>
      <c r="D248" s="7">
        <v>2023</v>
      </c>
      <c r="E248" s="7">
        <v>88.1</v>
      </c>
      <c r="F248" s="7">
        <v>27</v>
      </c>
      <c r="G248" s="7">
        <v>6</v>
      </c>
      <c r="I248" s="6" t="s">
        <v>567</v>
      </c>
      <c r="J248" s="7" t="s">
        <v>568</v>
      </c>
      <c r="K248" s="8">
        <v>7.53</v>
      </c>
      <c r="L248" s="7">
        <f ca="1">IFERROR(__xludf.DUMMYFUNCTION("""COMPUTED_VALUE"""),322)</f>
        <v>322</v>
      </c>
    </row>
    <row r="249" spans="1:12" ht="15.5">
      <c r="A249" s="12" t="s">
        <v>553</v>
      </c>
      <c r="B249" s="13" t="s">
        <v>569</v>
      </c>
      <c r="C249" s="13" t="s">
        <v>62</v>
      </c>
      <c r="D249" s="13">
        <v>2023</v>
      </c>
      <c r="E249" s="13">
        <v>77.75</v>
      </c>
      <c r="F249" s="13">
        <v>75</v>
      </c>
      <c r="G249" s="13">
        <v>6</v>
      </c>
      <c r="H249" s="13"/>
      <c r="I249" s="16">
        <v>100</v>
      </c>
      <c r="J249" s="13" t="s">
        <v>214</v>
      </c>
      <c r="K249" s="14">
        <v>10.07</v>
      </c>
      <c r="L249" s="7">
        <f ca="1">IFERROR(__xludf.DUMMYFUNCTION("""COMPUTED_VALUE"""),304)</f>
        <v>304</v>
      </c>
    </row>
    <row r="250" spans="1:12" ht="15.5">
      <c r="A250" s="4" t="s">
        <v>570</v>
      </c>
      <c r="B250" s="5" t="s">
        <v>571</v>
      </c>
      <c r="C250" s="5" t="s">
        <v>13</v>
      </c>
      <c r="D250" s="5">
        <v>2023</v>
      </c>
      <c r="E250" s="5">
        <v>75.39</v>
      </c>
      <c r="F250" s="5">
        <v>240</v>
      </c>
      <c r="G250" s="5">
        <v>5</v>
      </c>
      <c r="H250" s="5">
        <v>71718.86</v>
      </c>
      <c r="I250" s="6" t="s">
        <v>572</v>
      </c>
      <c r="J250" s="5" t="s">
        <v>230</v>
      </c>
      <c r="K250" s="8">
        <v>8.5</v>
      </c>
      <c r="L250" s="7">
        <f ca="1">IFERROR(__xludf.DUMMYFUNCTION("""COMPUTED_VALUE"""),296)</f>
        <v>296</v>
      </c>
    </row>
    <row r="251" spans="1:12" ht="15.5">
      <c r="A251" s="9" t="s">
        <v>570</v>
      </c>
      <c r="B251" s="7" t="s">
        <v>573</v>
      </c>
      <c r="C251" s="7" t="s">
        <v>13</v>
      </c>
      <c r="D251" s="7">
        <v>2023</v>
      </c>
      <c r="E251" s="7">
        <v>74.19</v>
      </c>
      <c r="F251" s="7">
        <v>250</v>
      </c>
      <c r="G251" s="7">
        <v>5</v>
      </c>
      <c r="H251" s="7">
        <v>148401.03</v>
      </c>
      <c r="I251" s="6" t="s">
        <v>574</v>
      </c>
      <c r="J251" s="7" t="s">
        <v>82</v>
      </c>
      <c r="K251" s="8">
        <v>9.19</v>
      </c>
      <c r="L251" s="7">
        <f ca="1">IFERROR(__xludf.DUMMYFUNCTION("""COMPUTED_VALUE"""),308)</f>
        <v>308</v>
      </c>
    </row>
    <row r="252" spans="1:12" ht="15.5">
      <c r="A252" s="9" t="s">
        <v>570</v>
      </c>
      <c r="B252" s="7" t="s">
        <v>575</v>
      </c>
      <c r="C252" s="7" t="s">
        <v>13</v>
      </c>
      <c r="D252" s="7">
        <v>2023</v>
      </c>
      <c r="E252" s="7">
        <v>85.46</v>
      </c>
      <c r="F252" s="7">
        <v>49</v>
      </c>
      <c r="G252" s="7">
        <v>6</v>
      </c>
      <c r="H252" s="7">
        <v>321364.45</v>
      </c>
      <c r="I252" s="6" t="s">
        <v>57</v>
      </c>
      <c r="J252" s="7" t="s">
        <v>110</v>
      </c>
      <c r="K252" s="8">
        <v>7.61</v>
      </c>
      <c r="L252" s="7">
        <f ca="1">IFERROR(__xludf.DUMMYFUNCTION("""COMPUTED_VALUE"""),313)</f>
        <v>313</v>
      </c>
    </row>
    <row r="253" spans="1:12" ht="15.5">
      <c r="A253" s="9" t="s">
        <v>570</v>
      </c>
      <c r="B253" s="7" t="s">
        <v>576</v>
      </c>
      <c r="C253" s="7" t="s">
        <v>13</v>
      </c>
      <c r="D253" s="7">
        <v>2023</v>
      </c>
      <c r="E253" s="7">
        <v>83.55</v>
      </c>
      <c r="F253" s="7">
        <v>88</v>
      </c>
      <c r="G253" s="7">
        <v>6</v>
      </c>
      <c r="H253" s="7">
        <v>465102.29</v>
      </c>
      <c r="I253" s="6" t="s">
        <v>577</v>
      </c>
      <c r="J253" s="7" t="s">
        <v>204</v>
      </c>
      <c r="K253" s="8">
        <v>10.59</v>
      </c>
      <c r="L253" s="7">
        <f ca="1">IFERROR(__xludf.DUMMYFUNCTION("""COMPUTED_VALUE"""),268)</f>
        <v>268</v>
      </c>
    </row>
    <row r="254" spans="1:12" ht="15.5">
      <c r="A254" s="9" t="s">
        <v>570</v>
      </c>
      <c r="B254" s="7" t="s">
        <v>578</v>
      </c>
      <c r="C254" s="7" t="s">
        <v>13</v>
      </c>
      <c r="D254" s="7">
        <v>2023</v>
      </c>
      <c r="E254" s="7">
        <v>84.55</v>
      </c>
      <c r="F254" s="7">
        <v>66</v>
      </c>
      <c r="G254" s="7">
        <v>6</v>
      </c>
      <c r="H254" s="7">
        <v>588384.9</v>
      </c>
      <c r="I254" s="6" t="s">
        <v>579</v>
      </c>
      <c r="J254" s="7" t="s">
        <v>82</v>
      </c>
      <c r="K254" s="8">
        <v>9.35</v>
      </c>
      <c r="L254" s="7">
        <f ca="1">IFERROR(__xludf.DUMMYFUNCTION("""COMPUTED_VALUE"""),233)</f>
        <v>233</v>
      </c>
    </row>
    <row r="255" spans="1:12" ht="15.5">
      <c r="A255" s="9" t="s">
        <v>570</v>
      </c>
      <c r="B255" s="7" t="s">
        <v>580</v>
      </c>
      <c r="C255" s="7" t="s">
        <v>13</v>
      </c>
      <c r="D255" s="7">
        <v>2023</v>
      </c>
      <c r="E255" s="7">
        <v>74.94</v>
      </c>
      <c r="F255" s="7">
        <v>242</v>
      </c>
      <c r="G255" s="7">
        <v>5</v>
      </c>
      <c r="H255" s="7">
        <v>72961.27</v>
      </c>
      <c r="I255" s="6" t="s">
        <v>581</v>
      </c>
      <c r="J255" s="7" t="s">
        <v>68</v>
      </c>
      <c r="K255" s="8">
        <v>10.28</v>
      </c>
      <c r="L255" s="7">
        <f ca="1">IFERROR(__xludf.DUMMYFUNCTION("""COMPUTED_VALUE"""),329)</f>
        <v>329</v>
      </c>
    </row>
    <row r="256" spans="1:12" ht="15.5">
      <c r="A256" s="9" t="s">
        <v>570</v>
      </c>
      <c r="B256" s="7" t="s">
        <v>582</v>
      </c>
      <c r="C256" s="7" t="s">
        <v>13</v>
      </c>
      <c r="D256" s="7">
        <v>2023</v>
      </c>
      <c r="E256" s="7">
        <v>79.31</v>
      </c>
      <c r="F256" s="7">
        <v>171</v>
      </c>
      <c r="G256" s="7">
        <v>6</v>
      </c>
      <c r="H256" s="7">
        <v>83706.06</v>
      </c>
      <c r="I256" s="6" t="s">
        <v>583</v>
      </c>
      <c r="J256" s="7" t="s">
        <v>15</v>
      </c>
      <c r="K256" s="8">
        <v>7.11</v>
      </c>
      <c r="L256" s="7">
        <f ca="1">IFERROR(__xludf.DUMMYFUNCTION("""COMPUTED_VALUE"""),309)</f>
        <v>309</v>
      </c>
    </row>
    <row r="257" spans="1:12" ht="15.5">
      <c r="A257" s="9" t="s">
        <v>570</v>
      </c>
      <c r="B257" s="7" t="s">
        <v>584</v>
      </c>
      <c r="C257" s="7" t="s">
        <v>13</v>
      </c>
      <c r="D257" s="7">
        <v>2023</v>
      </c>
      <c r="E257" s="7">
        <v>87.51</v>
      </c>
      <c r="F257" s="7">
        <v>21</v>
      </c>
      <c r="G257" s="7">
        <v>6</v>
      </c>
      <c r="H257" s="7">
        <v>300258.5</v>
      </c>
      <c r="I257" s="6" t="s">
        <v>585</v>
      </c>
      <c r="J257" s="7" t="s">
        <v>33</v>
      </c>
      <c r="K257" s="8">
        <v>8.44</v>
      </c>
      <c r="L257" s="7">
        <f ca="1">IFERROR(__xludf.DUMMYFUNCTION("""COMPUTED_VALUE"""),259)</f>
        <v>259</v>
      </c>
    </row>
    <row r="258" spans="1:12" ht="15.5">
      <c r="A258" s="9" t="s">
        <v>570</v>
      </c>
      <c r="B258" s="7" t="s">
        <v>586</v>
      </c>
      <c r="C258" s="7" t="s">
        <v>13</v>
      </c>
      <c r="D258" s="7">
        <v>2023</v>
      </c>
      <c r="E258" s="7">
        <v>77.89</v>
      </c>
      <c r="F258" s="7">
        <v>192</v>
      </c>
      <c r="G258" s="7">
        <v>6</v>
      </c>
      <c r="H258" s="7">
        <v>128209.24</v>
      </c>
      <c r="I258" s="6" t="s">
        <v>587</v>
      </c>
      <c r="J258" s="7" t="s">
        <v>362</v>
      </c>
      <c r="K258" s="8">
        <v>8.43</v>
      </c>
      <c r="L258" s="7">
        <f ca="1">IFERROR(__xludf.DUMMYFUNCTION("""COMPUTED_VALUE"""),208)</f>
        <v>208</v>
      </c>
    </row>
    <row r="259" spans="1:12" ht="15.5">
      <c r="A259" s="9" t="s">
        <v>570</v>
      </c>
      <c r="B259" s="7" t="s">
        <v>588</v>
      </c>
      <c r="C259" s="7" t="s">
        <v>13</v>
      </c>
      <c r="D259" s="7">
        <v>2023</v>
      </c>
      <c r="E259" s="7">
        <v>87.38</v>
      </c>
      <c r="F259" s="7">
        <v>23</v>
      </c>
      <c r="G259" s="7">
        <v>6</v>
      </c>
      <c r="H259" s="7">
        <v>124652.1</v>
      </c>
      <c r="I259" s="6" t="s">
        <v>589</v>
      </c>
      <c r="J259" s="7" t="s">
        <v>432</v>
      </c>
      <c r="K259" s="8">
        <v>10.82</v>
      </c>
      <c r="L259" s="7">
        <f ca="1">IFERROR(__xludf.DUMMYFUNCTION("""COMPUTED_VALUE"""),261)</f>
        <v>261</v>
      </c>
    </row>
    <row r="260" spans="1:12" ht="15.5">
      <c r="A260" s="9" t="s">
        <v>570</v>
      </c>
      <c r="B260" s="7" t="s">
        <v>590</v>
      </c>
      <c r="C260" s="7" t="s">
        <v>13</v>
      </c>
      <c r="D260" s="7">
        <v>2023</v>
      </c>
      <c r="E260" s="7">
        <v>86.21</v>
      </c>
      <c r="F260" s="7">
        <v>38</v>
      </c>
      <c r="G260" s="7">
        <v>6</v>
      </c>
      <c r="H260" s="7">
        <v>284981.87</v>
      </c>
      <c r="I260" s="6" t="s">
        <v>591</v>
      </c>
      <c r="J260" s="7" t="s">
        <v>72</v>
      </c>
      <c r="K260" s="8">
        <v>8.75</v>
      </c>
      <c r="L260" s="7">
        <f ca="1">IFERROR(__xludf.DUMMYFUNCTION("""COMPUTED_VALUE"""),125)</f>
        <v>125</v>
      </c>
    </row>
    <row r="261" spans="1:12" ht="15.5">
      <c r="A261" s="9" t="s">
        <v>570</v>
      </c>
      <c r="B261" s="7" t="s">
        <v>592</v>
      </c>
      <c r="C261" s="7" t="s">
        <v>13</v>
      </c>
      <c r="D261" s="7">
        <v>2023</v>
      </c>
      <c r="E261" s="7">
        <v>83.59</v>
      </c>
      <c r="F261" s="7">
        <v>85</v>
      </c>
      <c r="G261" s="7">
        <v>6</v>
      </c>
      <c r="H261" s="7">
        <v>46008.86</v>
      </c>
      <c r="I261" s="6" t="s">
        <v>593</v>
      </c>
      <c r="J261" s="7" t="s">
        <v>339</v>
      </c>
      <c r="K261" s="8">
        <v>8.07</v>
      </c>
      <c r="L261" s="7">
        <f ca="1">IFERROR(__xludf.DUMMYFUNCTION("""COMPUTED_VALUE"""),210)</f>
        <v>210</v>
      </c>
    </row>
    <row r="262" spans="1:12" ht="15.5">
      <c r="A262" s="9" t="s">
        <v>570</v>
      </c>
      <c r="B262" s="7" t="s">
        <v>594</v>
      </c>
      <c r="C262" s="7" t="s">
        <v>13</v>
      </c>
      <c r="D262" s="7">
        <v>2023</v>
      </c>
      <c r="E262" s="7">
        <v>76.319999999999993</v>
      </c>
      <c r="F262" s="7">
        <v>224</v>
      </c>
      <c r="G262" s="7">
        <v>6</v>
      </c>
      <c r="H262" s="7">
        <v>60772.59</v>
      </c>
      <c r="I262" s="6" t="s">
        <v>595</v>
      </c>
      <c r="J262" s="7" t="s">
        <v>596</v>
      </c>
      <c r="K262" s="8">
        <v>7.23</v>
      </c>
      <c r="L262" s="7">
        <f ca="1">IFERROR(__xludf.DUMMYFUNCTION("""COMPUTED_VALUE"""),294)</f>
        <v>294</v>
      </c>
    </row>
    <row r="263" spans="1:12" ht="15.5">
      <c r="A263" s="9" t="s">
        <v>570</v>
      </c>
      <c r="B263" s="7" t="s">
        <v>597</v>
      </c>
      <c r="C263" s="7" t="s">
        <v>62</v>
      </c>
      <c r="D263" s="7">
        <v>2023</v>
      </c>
      <c r="E263" s="7">
        <v>83.37</v>
      </c>
      <c r="F263" s="7">
        <v>50</v>
      </c>
      <c r="G263" s="7">
        <v>6</v>
      </c>
      <c r="H263" s="7">
        <v>2434.1799999999998</v>
      </c>
      <c r="I263" s="6" t="s">
        <v>250</v>
      </c>
      <c r="J263" s="7" t="s">
        <v>233</v>
      </c>
      <c r="K263" s="8">
        <v>7.43</v>
      </c>
      <c r="L263" s="7">
        <f ca="1">IFERROR(__xludf.DUMMYFUNCTION("""COMPUTED_VALUE"""),217)</f>
        <v>217</v>
      </c>
    </row>
    <row r="264" spans="1:12" ht="15.5">
      <c r="A264" s="12" t="s">
        <v>570</v>
      </c>
      <c r="B264" s="13" t="s">
        <v>598</v>
      </c>
      <c r="C264" s="13" t="s">
        <v>62</v>
      </c>
      <c r="D264" s="13">
        <v>2023</v>
      </c>
      <c r="E264" s="13">
        <v>83.66</v>
      </c>
      <c r="F264" s="13">
        <v>49</v>
      </c>
      <c r="G264" s="13">
        <v>6</v>
      </c>
      <c r="H264" s="13">
        <v>29824.400000000001</v>
      </c>
      <c r="I264" s="6">
        <v>100</v>
      </c>
      <c r="J264" s="13" t="s">
        <v>599</v>
      </c>
      <c r="K264" s="14">
        <v>8.3800000000000008</v>
      </c>
      <c r="L264" s="7">
        <f ca="1">IFERROR(__xludf.DUMMYFUNCTION("""COMPUTED_VALUE"""),315)</f>
        <v>315</v>
      </c>
    </row>
    <row r="265" spans="1:12" ht="15.5">
      <c r="A265" s="4" t="s">
        <v>600</v>
      </c>
      <c r="B265" s="5" t="s">
        <v>601</v>
      </c>
      <c r="C265" s="5" t="s">
        <v>13</v>
      </c>
      <c r="D265" s="5">
        <v>2023</v>
      </c>
      <c r="E265" s="5">
        <v>62.75</v>
      </c>
      <c r="F265" s="5">
        <v>336</v>
      </c>
      <c r="G265" s="5">
        <v>4</v>
      </c>
      <c r="H265" s="5">
        <v>905.26</v>
      </c>
      <c r="I265" s="15" t="s">
        <v>602</v>
      </c>
      <c r="J265" s="5" t="s">
        <v>603</v>
      </c>
      <c r="K265" s="8">
        <v>34.049999999999997</v>
      </c>
      <c r="L265" s="7">
        <f ca="1">IFERROR(__xludf.DUMMYFUNCTION("""COMPUTED_VALUE"""),337)</f>
        <v>337</v>
      </c>
    </row>
    <row r="266" spans="1:12" ht="15.5">
      <c r="A266" s="9" t="s">
        <v>600</v>
      </c>
      <c r="B266" s="7" t="s">
        <v>604</v>
      </c>
      <c r="C266" s="7" t="s">
        <v>13</v>
      </c>
      <c r="D266" s="7">
        <v>2023</v>
      </c>
      <c r="E266" s="7">
        <v>56.04</v>
      </c>
      <c r="F266" s="7">
        <v>365</v>
      </c>
      <c r="G266" s="7">
        <v>3</v>
      </c>
      <c r="I266" s="6" t="s">
        <v>605</v>
      </c>
      <c r="J266" s="7" t="s">
        <v>451</v>
      </c>
      <c r="K266" s="8">
        <v>31.66</v>
      </c>
      <c r="L266" s="7">
        <f ca="1">IFERROR(__xludf.DUMMYFUNCTION("""COMPUTED_VALUE"""),248)</f>
        <v>248</v>
      </c>
    </row>
    <row r="267" spans="1:12" ht="15.5">
      <c r="A267" s="9" t="s">
        <v>600</v>
      </c>
      <c r="B267" s="7" t="s">
        <v>606</v>
      </c>
      <c r="C267" s="7" t="s">
        <v>13</v>
      </c>
      <c r="D267" s="7">
        <v>2023</v>
      </c>
      <c r="E267" s="7">
        <v>72.209999999999994</v>
      </c>
      <c r="F267" s="7">
        <v>276</v>
      </c>
      <c r="G267" s="7">
        <v>5</v>
      </c>
      <c r="H267" s="7">
        <v>29397.17</v>
      </c>
      <c r="I267" s="6" t="s">
        <v>194</v>
      </c>
      <c r="J267" s="7" t="s">
        <v>366</v>
      </c>
      <c r="K267" s="8">
        <v>34.619999999999997</v>
      </c>
      <c r="L267" s="7">
        <f ca="1">IFERROR(__xludf.DUMMYFUNCTION("""COMPUTED_VALUE"""),319)</f>
        <v>319</v>
      </c>
    </row>
    <row r="268" spans="1:12" ht="15.5">
      <c r="A268" s="9" t="s">
        <v>600</v>
      </c>
      <c r="B268" s="7" t="s">
        <v>607</v>
      </c>
      <c r="C268" s="7" t="s">
        <v>13</v>
      </c>
      <c r="D268" s="7">
        <v>2023</v>
      </c>
      <c r="E268" s="7">
        <v>80.849999999999994</v>
      </c>
      <c r="F268" s="7">
        <v>142</v>
      </c>
      <c r="G268" s="7">
        <v>6</v>
      </c>
      <c r="H268" s="7">
        <v>40184.050000000003</v>
      </c>
      <c r="I268" s="6" t="s">
        <v>117</v>
      </c>
      <c r="J268" s="7" t="s">
        <v>608</v>
      </c>
      <c r="K268" s="8">
        <v>28.23</v>
      </c>
      <c r="L268" s="7">
        <f ca="1">IFERROR(__xludf.DUMMYFUNCTION("""COMPUTED_VALUE"""),358)</f>
        <v>358</v>
      </c>
    </row>
    <row r="269" spans="1:12" ht="15.5">
      <c r="A269" s="9" t="s">
        <v>600</v>
      </c>
      <c r="B269" s="7" t="s">
        <v>609</v>
      </c>
      <c r="C269" s="7" t="s">
        <v>13</v>
      </c>
      <c r="D269" s="7">
        <v>2023</v>
      </c>
      <c r="E269" s="7">
        <v>44.01</v>
      </c>
      <c r="F269" s="7">
        <v>394</v>
      </c>
      <c r="G269" s="7">
        <v>2</v>
      </c>
      <c r="I269" s="6">
        <v>53</v>
      </c>
      <c r="J269" s="7" t="s">
        <v>225</v>
      </c>
      <c r="K269" s="8">
        <v>31.68</v>
      </c>
      <c r="L269" s="7">
        <f ca="1">IFERROR(__xludf.DUMMYFUNCTION("""COMPUTED_VALUE"""),267)</f>
        <v>267</v>
      </c>
    </row>
    <row r="270" spans="1:12" ht="15.5">
      <c r="A270" s="9" t="s">
        <v>600</v>
      </c>
      <c r="B270" s="7" t="s">
        <v>610</v>
      </c>
      <c r="C270" s="7" t="s">
        <v>13</v>
      </c>
      <c r="D270" s="7">
        <v>2023</v>
      </c>
      <c r="E270" s="7">
        <v>59.5</v>
      </c>
      <c r="F270" s="7">
        <v>351</v>
      </c>
      <c r="G270" s="7">
        <v>3</v>
      </c>
      <c r="H270" s="7">
        <v>4165.3599999999997</v>
      </c>
      <c r="I270" s="6" t="s">
        <v>611</v>
      </c>
      <c r="J270" s="7" t="s">
        <v>612</v>
      </c>
      <c r="K270" s="8">
        <v>32.700000000000003</v>
      </c>
      <c r="L270" s="7">
        <f ca="1">IFERROR(__xludf.DUMMYFUNCTION("""COMPUTED_VALUE"""),80)</f>
        <v>80</v>
      </c>
    </row>
    <row r="271" spans="1:12" ht="15.5">
      <c r="A271" s="9" t="s">
        <v>600</v>
      </c>
      <c r="B271" s="7" t="s">
        <v>613</v>
      </c>
      <c r="C271" s="7" t="s">
        <v>13</v>
      </c>
      <c r="D271" s="7">
        <v>2023</v>
      </c>
      <c r="E271" s="7">
        <v>68.78</v>
      </c>
      <c r="F271" s="7">
        <v>311</v>
      </c>
      <c r="G271" s="7">
        <v>5</v>
      </c>
      <c r="H271" s="7">
        <v>8412.9</v>
      </c>
      <c r="I271" s="6" t="s">
        <v>614</v>
      </c>
      <c r="J271" s="7" t="s">
        <v>439</v>
      </c>
      <c r="K271" s="8">
        <v>31.79</v>
      </c>
      <c r="L271" s="7">
        <f ca="1">IFERROR(__xludf.DUMMYFUNCTION("""COMPUTED_VALUE"""),99)</f>
        <v>99</v>
      </c>
    </row>
    <row r="272" spans="1:12" ht="15.5">
      <c r="A272" s="9" t="s">
        <v>600</v>
      </c>
      <c r="B272" s="7" t="s">
        <v>615</v>
      </c>
      <c r="C272" s="7" t="s">
        <v>13</v>
      </c>
      <c r="D272" s="7">
        <v>2023</v>
      </c>
      <c r="E272" s="7">
        <v>65.239999999999995</v>
      </c>
      <c r="F272" s="7">
        <v>330</v>
      </c>
      <c r="G272" s="7">
        <v>4</v>
      </c>
      <c r="I272" s="6" t="s">
        <v>616</v>
      </c>
      <c r="J272" s="7" t="s">
        <v>617</v>
      </c>
      <c r="K272" s="8">
        <v>26.59</v>
      </c>
      <c r="L272" s="7">
        <f ca="1">IFERROR(__xludf.DUMMYFUNCTION("""COMPUTED_VALUE"""),404)</f>
        <v>404</v>
      </c>
    </row>
    <row r="273" spans="1:12" ht="15.5">
      <c r="A273" s="9" t="s">
        <v>600</v>
      </c>
      <c r="B273" s="7" t="s">
        <v>618</v>
      </c>
      <c r="C273" s="7" t="s">
        <v>13</v>
      </c>
      <c r="D273" s="7">
        <v>2023</v>
      </c>
      <c r="E273" s="7">
        <v>59.08</v>
      </c>
      <c r="F273" s="7">
        <v>355</v>
      </c>
      <c r="G273" s="7">
        <v>3</v>
      </c>
      <c r="I273" s="6" t="s">
        <v>619</v>
      </c>
      <c r="J273" s="7" t="s">
        <v>620</v>
      </c>
      <c r="K273" s="8">
        <v>38.869999999999997</v>
      </c>
      <c r="L273" s="7">
        <f ca="1">IFERROR(__xludf.DUMMYFUNCTION("""COMPUTED_VALUE"""),278)</f>
        <v>278</v>
      </c>
    </row>
    <row r="274" spans="1:12" ht="15.5">
      <c r="A274" s="9" t="s">
        <v>600</v>
      </c>
      <c r="B274" s="7" t="s">
        <v>621</v>
      </c>
      <c r="C274" s="7" t="s">
        <v>62</v>
      </c>
      <c r="D274" s="7">
        <v>2023</v>
      </c>
      <c r="E274" s="7">
        <v>84.73</v>
      </c>
      <c r="F274" s="7">
        <v>44</v>
      </c>
      <c r="G274" s="7">
        <v>6</v>
      </c>
      <c r="I274" s="6" t="s">
        <v>622</v>
      </c>
      <c r="J274" s="7" t="s">
        <v>177</v>
      </c>
      <c r="K274" s="8">
        <v>24.12</v>
      </c>
      <c r="L274" s="7">
        <f ca="1">IFERROR(__xludf.DUMMYFUNCTION("""COMPUTED_VALUE"""),188)</f>
        <v>188</v>
      </c>
    </row>
    <row r="275" spans="1:12" ht="15.5">
      <c r="A275" s="12" t="s">
        <v>600</v>
      </c>
      <c r="B275" s="13" t="s">
        <v>623</v>
      </c>
      <c r="C275" s="13" t="s">
        <v>62</v>
      </c>
      <c r="D275" s="13">
        <v>2023</v>
      </c>
      <c r="E275" s="13">
        <v>54.91</v>
      </c>
      <c r="F275" s="13">
        <v>97</v>
      </c>
      <c r="G275" s="13">
        <v>4</v>
      </c>
      <c r="H275" s="13">
        <v>0.43</v>
      </c>
      <c r="I275" s="16" t="s">
        <v>624</v>
      </c>
      <c r="J275" s="13" t="s">
        <v>625</v>
      </c>
      <c r="K275" s="14">
        <v>29.31</v>
      </c>
      <c r="L275" s="7">
        <f ca="1">IFERROR(__xludf.DUMMYFUNCTION("""COMPUTED_VALUE"""),300)</f>
        <v>300</v>
      </c>
    </row>
    <row r="276" spans="1:12" ht="15.5">
      <c r="A276" s="4" t="s">
        <v>626</v>
      </c>
      <c r="B276" s="5" t="s">
        <v>627</v>
      </c>
      <c r="C276" s="5" t="s">
        <v>13</v>
      </c>
      <c r="D276" s="5">
        <v>2023</v>
      </c>
      <c r="E276" s="5">
        <v>52.84</v>
      </c>
      <c r="F276" s="5">
        <v>373</v>
      </c>
      <c r="G276" s="5">
        <v>3</v>
      </c>
      <c r="H276" s="5">
        <v>348.13</v>
      </c>
      <c r="I276" s="6" t="s">
        <v>628</v>
      </c>
      <c r="J276" s="5" t="s">
        <v>629</v>
      </c>
      <c r="K276" s="8">
        <v>37.409999999999997</v>
      </c>
      <c r="L276" s="7">
        <f ca="1">IFERROR(__xludf.DUMMYFUNCTION("""COMPUTED_VALUE"""),383)</f>
        <v>383</v>
      </c>
    </row>
    <row r="277" spans="1:12" ht="15.5">
      <c r="A277" s="9" t="s">
        <v>626</v>
      </c>
      <c r="B277" s="7" t="s">
        <v>630</v>
      </c>
      <c r="C277" s="7" t="s">
        <v>13</v>
      </c>
      <c r="D277" s="7">
        <v>2023</v>
      </c>
      <c r="E277" s="7">
        <v>50.67</v>
      </c>
      <c r="F277" s="7">
        <v>381</v>
      </c>
      <c r="G277" s="7">
        <v>2</v>
      </c>
      <c r="H277" s="7">
        <v>689.63</v>
      </c>
      <c r="I277" s="6" t="s">
        <v>162</v>
      </c>
      <c r="J277" s="7" t="s">
        <v>631</v>
      </c>
      <c r="K277" s="8">
        <v>15.3</v>
      </c>
      <c r="L277" s="7">
        <f ca="1">IFERROR(__xludf.DUMMYFUNCTION("""COMPUTED_VALUE"""),412)</f>
        <v>412</v>
      </c>
    </row>
    <row r="278" spans="1:12" ht="15.5">
      <c r="A278" s="9" t="s">
        <v>626</v>
      </c>
      <c r="B278" s="7" t="s">
        <v>632</v>
      </c>
      <c r="C278" s="7" t="s">
        <v>13</v>
      </c>
      <c r="D278" s="7">
        <v>2023</v>
      </c>
      <c r="E278" s="7">
        <v>53.28</v>
      </c>
      <c r="F278" s="7">
        <v>371</v>
      </c>
      <c r="G278" s="7">
        <v>3</v>
      </c>
      <c r="H278" s="7">
        <v>1.42</v>
      </c>
      <c r="I278" s="6" t="s">
        <v>633</v>
      </c>
      <c r="J278" s="7" t="s">
        <v>634</v>
      </c>
      <c r="K278" s="8">
        <v>44.37</v>
      </c>
      <c r="L278" s="7">
        <f ca="1">IFERROR(__xludf.DUMMYFUNCTION("""COMPUTED_VALUE"""),405)</f>
        <v>405</v>
      </c>
    </row>
    <row r="279" spans="1:12" ht="15.5">
      <c r="A279" s="9" t="s">
        <v>626</v>
      </c>
      <c r="B279" s="7" t="s">
        <v>635</v>
      </c>
      <c r="C279" s="7" t="s">
        <v>13</v>
      </c>
      <c r="D279" s="7">
        <v>2023</v>
      </c>
      <c r="E279" s="7">
        <v>52.4</v>
      </c>
      <c r="F279" s="7">
        <v>376</v>
      </c>
      <c r="G279" s="7">
        <v>3</v>
      </c>
      <c r="H279" s="7">
        <v>223.82</v>
      </c>
      <c r="I279" s="6" t="s">
        <v>636</v>
      </c>
      <c r="J279" s="7" t="s">
        <v>637</v>
      </c>
      <c r="K279" s="8">
        <v>30.48</v>
      </c>
      <c r="L279" s="7">
        <f ca="1">IFERROR(__xludf.DUMMYFUNCTION("""COMPUTED_VALUE"""),122)</f>
        <v>122</v>
      </c>
    </row>
    <row r="280" spans="1:12" ht="15.5">
      <c r="A280" s="9" t="s">
        <v>626</v>
      </c>
      <c r="B280" s="7" t="s">
        <v>638</v>
      </c>
      <c r="C280" s="7" t="s">
        <v>13</v>
      </c>
      <c r="D280" s="7">
        <v>2023</v>
      </c>
      <c r="E280" s="7">
        <v>81.2</v>
      </c>
      <c r="F280" s="7">
        <v>140</v>
      </c>
      <c r="G280" s="7">
        <v>6</v>
      </c>
      <c r="H280" s="7">
        <v>4311.7700000000004</v>
      </c>
      <c r="I280" s="6" t="s">
        <v>639</v>
      </c>
      <c r="J280" s="7" t="s">
        <v>640</v>
      </c>
      <c r="K280" s="8">
        <v>31.22</v>
      </c>
      <c r="L280" s="7">
        <f ca="1">IFERROR(__xludf.DUMMYFUNCTION("""COMPUTED_VALUE"""),397)</f>
        <v>397</v>
      </c>
    </row>
    <row r="281" spans="1:12" ht="15.5">
      <c r="A281" s="9" t="s">
        <v>626</v>
      </c>
      <c r="B281" s="7" t="s">
        <v>641</v>
      </c>
      <c r="C281" s="7" t="s">
        <v>13</v>
      </c>
      <c r="D281" s="7">
        <v>2023</v>
      </c>
      <c r="E281" s="7">
        <v>76.12</v>
      </c>
      <c r="F281" s="7">
        <v>229</v>
      </c>
      <c r="G281" s="7">
        <v>6</v>
      </c>
      <c r="H281" s="7">
        <v>20384.16</v>
      </c>
      <c r="I281" s="6" t="s">
        <v>642</v>
      </c>
      <c r="J281" s="7" t="s">
        <v>643</v>
      </c>
      <c r="K281" s="8">
        <v>32.270000000000003</v>
      </c>
      <c r="L281" s="7">
        <f ca="1">IFERROR(__xludf.DUMMYFUNCTION("""COMPUTED_VALUE"""),387)</f>
        <v>387</v>
      </c>
    </row>
    <row r="282" spans="1:12" ht="15.5">
      <c r="A282" s="9" t="s">
        <v>626</v>
      </c>
      <c r="B282" s="7" t="s">
        <v>644</v>
      </c>
      <c r="C282" s="7" t="s">
        <v>13</v>
      </c>
      <c r="D282" s="7">
        <v>2023</v>
      </c>
      <c r="E282" s="7">
        <v>53.7</v>
      </c>
      <c r="F282" s="7">
        <v>369</v>
      </c>
      <c r="G282" s="7">
        <v>3</v>
      </c>
      <c r="H282" s="7">
        <v>2209.88</v>
      </c>
      <c r="I282" s="6" t="s">
        <v>645</v>
      </c>
      <c r="J282" s="7" t="s">
        <v>646</v>
      </c>
      <c r="K282" s="8">
        <v>30.64</v>
      </c>
      <c r="L282" s="7">
        <f ca="1">IFERROR(__xludf.DUMMYFUNCTION("""COMPUTED_VALUE"""),398)</f>
        <v>398</v>
      </c>
    </row>
    <row r="283" spans="1:12" ht="15.5">
      <c r="A283" s="9" t="s">
        <v>626</v>
      </c>
      <c r="B283" s="7" t="s">
        <v>647</v>
      </c>
      <c r="C283" s="7" t="s">
        <v>13</v>
      </c>
      <c r="D283" s="7">
        <v>2023</v>
      </c>
      <c r="E283" s="7">
        <v>47.87</v>
      </c>
      <c r="F283" s="7">
        <v>386</v>
      </c>
      <c r="G283" s="7">
        <v>2</v>
      </c>
      <c r="I283" s="6" t="s">
        <v>648</v>
      </c>
      <c r="J283" s="7" t="s">
        <v>649</v>
      </c>
      <c r="K283" s="8">
        <v>39.21</v>
      </c>
      <c r="L283" s="7">
        <f ca="1">IFERROR(__xludf.DUMMYFUNCTION("""COMPUTED_VALUE"""),409)</f>
        <v>409</v>
      </c>
    </row>
    <row r="284" spans="1:12" ht="15.5">
      <c r="A284" s="9" t="s">
        <v>626</v>
      </c>
      <c r="B284" s="7" t="s">
        <v>650</v>
      </c>
      <c r="C284" s="7" t="s">
        <v>62</v>
      </c>
      <c r="D284" s="7">
        <v>2023</v>
      </c>
      <c r="E284" s="7">
        <v>89.51</v>
      </c>
      <c r="F284" s="7">
        <v>18</v>
      </c>
      <c r="G284" s="7">
        <v>6</v>
      </c>
      <c r="I284" s="6">
        <v>100</v>
      </c>
      <c r="J284" s="7" t="s">
        <v>253</v>
      </c>
      <c r="K284" s="8">
        <v>17.86</v>
      </c>
      <c r="L284" s="7">
        <f ca="1">IFERROR(__xludf.DUMMYFUNCTION("""COMPUTED_VALUE"""),377)</f>
        <v>377</v>
      </c>
    </row>
    <row r="285" spans="1:12" ht="15.5">
      <c r="A285" s="12" t="s">
        <v>626</v>
      </c>
      <c r="B285" s="13" t="s">
        <v>651</v>
      </c>
      <c r="C285" s="13" t="s">
        <v>62</v>
      </c>
      <c r="D285" s="13">
        <v>2023</v>
      </c>
      <c r="E285" s="13">
        <v>65.83</v>
      </c>
      <c r="F285" s="13">
        <v>94</v>
      </c>
      <c r="G285" s="13">
        <v>5</v>
      </c>
      <c r="H285" s="13"/>
      <c r="I285" s="6" t="s">
        <v>652</v>
      </c>
      <c r="J285" s="13" t="s">
        <v>646</v>
      </c>
      <c r="K285" s="14">
        <v>26.77</v>
      </c>
      <c r="L285" s="7">
        <f ca="1">IFERROR(__xludf.DUMMYFUNCTION("""COMPUTED_VALUE"""),407)</f>
        <v>407</v>
      </c>
    </row>
    <row r="286" spans="1:12" ht="15.5">
      <c r="A286" s="4" t="s">
        <v>653</v>
      </c>
      <c r="B286" s="5" t="s">
        <v>654</v>
      </c>
      <c r="C286" s="5" t="s">
        <v>13</v>
      </c>
      <c r="D286" s="5">
        <v>2023</v>
      </c>
      <c r="E286" s="5">
        <v>73.44</v>
      </c>
      <c r="F286" s="5">
        <v>260</v>
      </c>
      <c r="G286" s="5">
        <v>5</v>
      </c>
      <c r="H286" s="5">
        <v>138779.10999999999</v>
      </c>
      <c r="I286" s="15">
        <v>100</v>
      </c>
      <c r="J286" s="5" t="s">
        <v>344</v>
      </c>
      <c r="K286" s="8">
        <v>2.42</v>
      </c>
      <c r="L286" s="7">
        <f ca="1">IFERROR(__xludf.DUMMYFUNCTION("""COMPUTED_VALUE"""),343)</f>
        <v>343</v>
      </c>
    </row>
    <row r="287" spans="1:12" ht="15.5">
      <c r="A287" s="9" t="s">
        <v>653</v>
      </c>
      <c r="B287" s="7" t="s">
        <v>655</v>
      </c>
      <c r="C287" s="7" t="s">
        <v>13</v>
      </c>
      <c r="D287" s="7">
        <v>2023</v>
      </c>
      <c r="E287" s="7">
        <v>75.599999999999994</v>
      </c>
      <c r="F287" s="7">
        <v>236</v>
      </c>
      <c r="G287" s="7">
        <v>5</v>
      </c>
      <c r="H287" s="7">
        <v>381687.06</v>
      </c>
      <c r="I287" s="6" t="s">
        <v>656</v>
      </c>
      <c r="J287" s="7" t="s">
        <v>657</v>
      </c>
      <c r="K287" s="8">
        <v>2.98</v>
      </c>
      <c r="L287" s="7">
        <f ca="1">IFERROR(__xludf.DUMMYFUNCTION("""COMPUTED_VALUE"""),279)</f>
        <v>279</v>
      </c>
    </row>
    <row r="288" spans="1:12" ht="15.5">
      <c r="A288" s="9" t="s">
        <v>653</v>
      </c>
      <c r="B288" s="7" t="s">
        <v>658</v>
      </c>
      <c r="C288" s="7" t="s">
        <v>13</v>
      </c>
      <c r="D288" s="7">
        <v>2023</v>
      </c>
      <c r="E288" s="7">
        <v>71.48</v>
      </c>
      <c r="F288" s="7">
        <v>284</v>
      </c>
      <c r="G288" s="7">
        <v>5</v>
      </c>
      <c r="H288" s="7">
        <v>249752.35</v>
      </c>
      <c r="I288" s="6" t="s">
        <v>659</v>
      </c>
      <c r="J288" s="7" t="s">
        <v>180</v>
      </c>
      <c r="K288" s="8">
        <v>1.52</v>
      </c>
      <c r="L288" s="7">
        <f ca="1">IFERROR(__xludf.DUMMYFUNCTION("""COMPUTED_VALUE"""),341)</f>
        <v>341</v>
      </c>
    </row>
    <row r="289" spans="1:12" ht="15.5">
      <c r="A289" s="9" t="s">
        <v>653</v>
      </c>
      <c r="B289" s="7" t="s">
        <v>660</v>
      </c>
      <c r="C289" s="7" t="s">
        <v>13</v>
      </c>
      <c r="D289" s="7">
        <v>2023</v>
      </c>
      <c r="E289" s="7">
        <v>84</v>
      </c>
      <c r="F289" s="7">
        <v>77</v>
      </c>
      <c r="G289" s="7">
        <v>6</v>
      </c>
      <c r="H289" s="7">
        <v>323354.05</v>
      </c>
      <c r="I289" s="6">
        <v>100</v>
      </c>
      <c r="J289" s="7" t="s">
        <v>661</v>
      </c>
      <c r="K289" s="8">
        <v>2.6</v>
      </c>
      <c r="L289" s="7">
        <f ca="1">IFERROR(__xludf.DUMMYFUNCTION("""COMPUTED_VALUE"""),403)</f>
        <v>403</v>
      </c>
    </row>
    <row r="290" spans="1:12" ht="15.5">
      <c r="A290" s="9" t="s">
        <v>653</v>
      </c>
      <c r="B290" s="7" t="s">
        <v>662</v>
      </c>
      <c r="C290" s="7" t="s">
        <v>13</v>
      </c>
      <c r="D290" s="7">
        <v>2023</v>
      </c>
      <c r="E290" s="7">
        <v>78.849999999999994</v>
      </c>
      <c r="F290" s="7">
        <v>182</v>
      </c>
      <c r="G290" s="7">
        <v>6</v>
      </c>
      <c r="H290" s="7">
        <v>95529.22</v>
      </c>
      <c r="I290" s="6" t="s">
        <v>645</v>
      </c>
      <c r="J290" s="7" t="s">
        <v>663</v>
      </c>
      <c r="K290" s="8">
        <v>2.06</v>
      </c>
      <c r="L290" s="7">
        <f ca="1">IFERROR(__xludf.DUMMYFUNCTION("""COMPUTED_VALUE"""),408)</f>
        <v>408</v>
      </c>
    </row>
    <row r="291" spans="1:12" ht="15.5">
      <c r="A291" s="9" t="s">
        <v>653</v>
      </c>
      <c r="B291" s="7" t="s">
        <v>664</v>
      </c>
      <c r="C291" s="7" t="s">
        <v>13</v>
      </c>
      <c r="D291" s="7">
        <v>2023</v>
      </c>
      <c r="E291" s="7">
        <v>77.680000000000007</v>
      </c>
      <c r="F291" s="7">
        <v>198</v>
      </c>
      <c r="G291" s="7">
        <v>6</v>
      </c>
      <c r="H291" s="7">
        <v>224732.76</v>
      </c>
      <c r="I291" s="6" t="s">
        <v>665</v>
      </c>
      <c r="J291" s="7" t="s">
        <v>666</v>
      </c>
      <c r="K291" s="8">
        <v>3.21</v>
      </c>
      <c r="L291" s="7">
        <f ca="1">IFERROR(__xludf.DUMMYFUNCTION("""COMPUTED_VALUE"""),415)</f>
        <v>415</v>
      </c>
    </row>
    <row r="292" spans="1:12" ht="15.5">
      <c r="A292" s="9" t="s">
        <v>653</v>
      </c>
      <c r="B292" s="7" t="s">
        <v>667</v>
      </c>
      <c r="C292" s="7" t="s">
        <v>13</v>
      </c>
      <c r="D292" s="7">
        <v>2023</v>
      </c>
      <c r="E292" s="7">
        <v>86.02</v>
      </c>
      <c r="F292" s="7">
        <v>39</v>
      </c>
      <c r="G292" s="7">
        <v>6</v>
      </c>
      <c r="H292" s="7">
        <v>70371.759999999995</v>
      </c>
      <c r="I292" s="6">
        <v>100</v>
      </c>
      <c r="J292" s="7" t="s">
        <v>668</v>
      </c>
      <c r="K292" s="8">
        <v>0.76</v>
      </c>
      <c r="L292" s="7">
        <f ca="1">IFERROR(__xludf.DUMMYFUNCTION("""COMPUTED_VALUE"""),411)</f>
        <v>411</v>
      </c>
    </row>
    <row r="293" spans="1:12" ht="15.5">
      <c r="A293" s="9" t="s">
        <v>653</v>
      </c>
      <c r="B293" s="7" t="s">
        <v>669</v>
      </c>
      <c r="C293" s="7" t="s">
        <v>13</v>
      </c>
      <c r="D293" s="7">
        <v>2023</v>
      </c>
      <c r="E293" s="7">
        <v>65.92</v>
      </c>
      <c r="F293" s="7">
        <v>322</v>
      </c>
      <c r="G293" s="7">
        <v>4</v>
      </c>
      <c r="H293" s="7">
        <v>33059.699999999997</v>
      </c>
      <c r="I293" s="6" t="s">
        <v>308</v>
      </c>
      <c r="J293" s="7" t="s">
        <v>163</v>
      </c>
      <c r="K293" s="8">
        <v>2.66</v>
      </c>
      <c r="L293" s="7">
        <f ca="1">IFERROR(__xludf.DUMMYFUNCTION("""COMPUTED_VALUE"""),414)</f>
        <v>414</v>
      </c>
    </row>
    <row r="294" spans="1:12" ht="15.5">
      <c r="A294" s="9" t="s">
        <v>653</v>
      </c>
      <c r="B294" s="7" t="s">
        <v>670</v>
      </c>
      <c r="C294" s="7" t="s">
        <v>62</v>
      </c>
      <c r="D294" s="7">
        <v>2023</v>
      </c>
      <c r="E294" s="7">
        <v>77.790000000000006</v>
      </c>
      <c r="F294" s="7">
        <v>74</v>
      </c>
      <c r="G294" s="7">
        <v>6</v>
      </c>
      <c r="H294" s="7">
        <v>16662.96</v>
      </c>
      <c r="I294" s="6">
        <v>100</v>
      </c>
      <c r="J294" s="7" t="s">
        <v>172</v>
      </c>
      <c r="K294" s="8">
        <v>0.65</v>
      </c>
      <c r="L294" s="7">
        <f ca="1">IFERROR(__xludf.DUMMYFUNCTION("""COMPUTED_VALUE"""),406)</f>
        <v>406</v>
      </c>
    </row>
    <row r="295" spans="1:12" ht="15.5">
      <c r="A295" s="12" t="s">
        <v>653</v>
      </c>
      <c r="B295" s="13" t="s">
        <v>671</v>
      </c>
      <c r="C295" s="13" t="s">
        <v>62</v>
      </c>
      <c r="D295" s="13">
        <v>2023</v>
      </c>
      <c r="E295" s="13">
        <v>74.31</v>
      </c>
      <c r="F295" s="13">
        <v>83</v>
      </c>
      <c r="G295" s="13">
        <v>6</v>
      </c>
      <c r="H295" s="13">
        <v>12890.79</v>
      </c>
      <c r="I295" s="16">
        <v>100</v>
      </c>
      <c r="J295" s="13" t="s">
        <v>223</v>
      </c>
      <c r="K295" s="14">
        <v>1.19</v>
      </c>
      <c r="L295" s="7">
        <f ca="1">IFERROR(__xludf.DUMMYFUNCTION("""COMPUTED_VALUE"""),413)</f>
        <v>413</v>
      </c>
    </row>
    <row r="296" spans="1:12" ht="15.5">
      <c r="A296" s="4" t="s">
        <v>672</v>
      </c>
      <c r="B296" s="5" t="s">
        <v>673</v>
      </c>
      <c r="C296" s="5" t="s">
        <v>13</v>
      </c>
      <c r="D296" s="5">
        <v>2023</v>
      </c>
      <c r="E296" s="5">
        <v>69.459999999999994</v>
      </c>
      <c r="F296" s="5">
        <v>304</v>
      </c>
      <c r="G296" s="5">
        <v>5</v>
      </c>
      <c r="H296" s="5">
        <v>32039.14</v>
      </c>
      <c r="I296" s="6" t="s">
        <v>674</v>
      </c>
      <c r="J296" s="5" t="s">
        <v>195</v>
      </c>
      <c r="K296" s="8">
        <v>14.04</v>
      </c>
      <c r="L296" s="7">
        <f ca="1">IFERROR(__xludf.DUMMYFUNCTION("""COMPUTED_VALUE"""),402)</f>
        <v>402</v>
      </c>
    </row>
    <row r="297" spans="1:12" ht="15.5">
      <c r="A297" s="9" t="s">
        <v>672</v>
      </c>
      <c r="B297" s="7" t="s">
        <v>675</v>
      </c>
      <c r="C297" s="7" t="s">
        <v>13</v>
      </c>
      <c r="D297" s="7">
        <v>2023</v>
      </c>
      <c r="E297" s="7">
        <v>70.209999999999994</v>
      </c>
      <c r="F297" s="7">
        <v>296</v>
      </c>
      <c r="G297" s="7">
        <v>5</v>
      </c>
      <c r="H297" s="7">
        <v>59657.42</v>
      </c>
      <c r="I297" s="6" t="s">
        <v>676</v>
      </c>
      <c r="J297" s="7" t="s">
        <v>677</v>
      </c>
      <c r="K297" s="8">
        <v>9.8699999999999992</v>
      </c>
      <c r="L297" s="7">
        <f ca="1">IFERROR(__xludf.DUMMYFUNCTION("""COMPUTED_VALUE"""),416)</f>
        <v>416</v>
      </c>
    </row>
    <row r="298" spans="1:12" ht="15.5">
      <c r="A298" s="9" t="s">
        <v>672</v>
      </c>
      <c r="B298" s="7" t="s">
        <v>678</v>
      </c>
      <c r="C298" s="7" t="s">
        <v>13</v>
      </c>
      <c r="D298" s="7">
        <v>2023</v>
      </c>
      <c r="E298" s="7">
        <v>69.02</v>
      </c>
      <c r="F298" s="7">
        <v>308</v>
      </c>
      <c r="G298" s="7">
        <v>5</v>
      </c>
      <c r="H298" s="7">
        <v>74570.83</v>
      </c>
      <c r="I298" s="6" t="s">
        <v>679</v>
      </c>
      <c r="J298" s="7" t="s">
        <v>680</v>
      </c>
      <c r="K298" s="8">
        <v>17.14</v>
      </c>
      <c r="L298" s="7">
        <f ca="1">IFERROR(__xludf.DUMMYFUNCTION("""COMPUTED_VALUE"""),410)</f>
        <v>410</v>
      </c>
    </row>
    <row r="299" spans="1:12" ht="15.5">
      <c r="A299" s="9" t="s">
        <v>672</v>
      </c>
      <c r="B299" s="7" t="s">
        <v>681</v>
      </c>
      <c r="C299" s="7" t="s">
        <v>13</v>
      </c>
      <c r="D299" s="7">
        <v>2023</v>
      </c>
      <c r="E299" s="7">
        <v>67.61</v>
      </c>
      <c r="F299" s="7">
        <v>313</v>
      </c>
      <c r="G299" s="7">
        <v>4</v>
      </c>
      <c r="H299" s="7">
        <v>16209.58</v>
      </c>
      <c r="I299" s="6" t="s">
        <v>682</v>
      </c>
      <c r="J299" s="7" t="s">
        <v>683</v>
      </c>
      <c r="K299" s="8">
        <v>15.45</v>
      </c>
      <c r="L299" s="7">
        <f ca="1">IFERROR(__xludf.DUMMYFUNCTION("""COMPUTED_VALUE"""),79)</f>
        <v>79</v>
      </c>
    </row>
    <row r="300" spans="1:12" ht="15.5">
      <c r="A300" s="9" t="s">
        <v>672</v>
      </c>
      <c r="B300" s="7" t="s">
        <v>684</v>
      </c>
      <c r="C300" s="7" t="s">
        <v>13</v>
      </c>
      <c r="D300" s="7">
        <v>2023</v>
      </c>
      <c r="E300" s="7">
        <v>72.959999999999994</v>
      </c>
      <c r="F300" s="7">
        <v>268</v>
      </c>
      <c r="G300" s="7">
        <v>5</v>
      </c>
      <c r="H300" s="7">
        <v>40128.76</v>
      </c>
      <c r="I300" s="6" t="s">
        <v>583</v>
      </c>
      <c r="J300" s="7" t="s">
        <v>685</v>
      </c>
      <c r="K300" s="8">
        <v>17.84</v>
      </c>
      <c r="L300" s="7">
        <f ca="1">IFERROR(__xludf.DUMMYFUNCTION("""COMPUTED_VALUE"""),388)</f>
        <v>388</v>
      </c>
    </row>
    <row r="301" spans="1:12" ht="15.5">
      <c r="A301" s="9" t="s">
        <v>672</v>
      </c>
      <c r="B301" s="7" t="s">
        <v>686</v>
      </c>
      <c r="C301" s="7" t="s">
        <v>13</v>
      </c>
      <c r="D301" s="7">
        <v>2023</v>
      </c>
      <c r="E301" s="7">
        <v>75.69</v>
      </c>
      <c r="F301" s="7">
        <v>233</v>
      </c>
      <c r="G301" s="7">
        <v>6</v>
      </c>
      <c r="H301" s="7">
        <v>13457.84</v>
      </c>
      <c r="I301" s="6" t="s">
        <v>687</v>
      </c>
      <c r="J301" s="7" t="s">
        <v>688</v>
      </c>
      <c r="K301" s="8">
        <v>16.05</v>
      </c>
      <c r="L301" s="7">
        <f ca="1">IFERROR(__xludf.DUMMYFUNCTION("""COMPUTED_VALUE"""),389)</f>
        <v>389</v>
      </c>
    </row>
    <row r="302" spans="1:12" ht="15.5">
      <c r="A302" s="9" t="s">
        <v>672</v>
      </c>
      <c r="B302" s="7" t="s">
        <v>689</v>
      </c>
      <c r="C302" s="7" t="s">
        <v>13</v>
      </c>
      <c r="D302" s="7">
        <v>2023</v>
      </c>
      <c r="E302" s="7">
        <v>65.430000000000007</v>
      </c>
      <c r="F302" s="7">
        <v>329</v>
      </c>
      <c r="G302" s="7">
        <v>4</v>
      </c>
      <c r="H302" s="7">
        <v>2296.42</v>
      </c>
      <c r="I302" s="6" t="s">
        <v>690</v>
      </c>
      <c r="J302" s="7" t="s">
        <v>691</v>
      </c>
      <c r="K302" s="8">
        <v>16.12</v>
      </c>
      <c r="L302" s="7">
        <f ca="1">IFERROR(__xludf.DUMMYFUNCTION("""COMPUTED_VALUE"""),399)</f>
        <v>399</v>
      </c>
    </row>
    <row r="303" spans="1:12" ht="15.5">
      <c r="A303" s="9" t="s">
        <v>672</v>
      </c>
      <c r="B303" s="7" t="s">
        <v>692</v>
      </c>
      <c r="C303" s="7" t="s">
        <v>13</v>
      </c>
      <c r="D303" s="7">
        <v>2023</v>
      </c>
      <c r="E303" s="7">
        <v>69</v>
      </c>
      <c r="F303" s="7">
        <v>309</v>
      </c>
      <c r="G303" s="7">
        <v>5</v>
      </c>
      <c r="H303" s="7">
        <v>816.87</v>
      </c>
      <c r="I303" s="6" t="s">
        <v>693</v>
      </c>
      <c r="J303" s="7" t="s">
        <v>694</v>
      </c>
      <c r="K303" s="8">
        <v>15.85</v>
      </c>
      <c r="L303" s="7">
        <f ca="1">IFERROR(__xludf.DUMMYFUNCTION("""COMPUTED_VALUE"""),396)</f>
        <v>396</v>
      </c>
    </row>
    <row r="304" spans="1:12" ht="15.5">
      <c r="A304" s="9" t="s">
        <v>672</v>
      </c>
      <c r="B304" s="7" t="s">
        <v>695</v>
      </c>
      <c r="C304" s="7" t="s">
        <v>13</v>
      </c>
      <c r="D304" s="7">
        <v>2023</v>
      </c>
      <c r="E304" s="7">
        <v>73.540000000000006</v>
      </c>
      <c r="F304" s="7">
        <v>259</v>
      </c>
      <c r="G304" s="7">
        <v>5</v>
      </c>
      <c r="H304" s="7">
        <v>5996.71</v>
      </c>
      <c r="I304" s="6" t="s">
        <v>696</v>
      </c>
      <c r="J304" s="7" t="s">
        <v>697</v>
      </c>
      <c r="K304" s="8">
        <v>19.53</v>
      </c>
      <c r="L304" s="7">
        <f ca="1">IFERROR(__xludf.DUMMYFUNCTION("""COMPUTED_VALUE"""),318)</f>
        <v>318</v>
      </c>
    </row>
    <row r="305" spans="1:12" ht="15.5">
      <c r="A305" s="9" t="s">
        <v>672</v>
      </c>
      <c r="B305" s="7" t="s">
        <v>698</v>
      </c>
      <c r="C305" s="7" t="s">
        <v>13</v>
      </c>
      <c r="D305" s="7">
        <v>2023</v>
      </c>
      <c r="E305" s="7">
        <v>77.069999999999993</v>
      </c>
      <c r="F305" s="7">
        <v>208</v>
      </c>
      <c r="G305" s="7">
        <v>6</v>
      </c>
      <c r="H305" s="7">
        <v>12591.32</v>
      </c>
      <c r="I305" s="6" t="s">
        <v>699</v>
      </c>
      <c r="J305" s="7" t="s">
        <v>700</v>
      </c>
      <c r="K305" s="8">
        <v>17.61</v>
      </c>
      <c r="L305" s="7">
        <f ca="1">IFERROR(__xludf.DUMMYFUNCTION("""COMPUTED_VALUE"""),385)</f>
        <v>385</v>
      </c>
    </row>
    <row r="306" spans="1:12" ht="15.5">
      <c r="A306" s="9" t="s">
        <v>672</v>
      </c>
      <c r="B306" s="7" t="s">
        <v>701</v>
      </c>
      <c r="C306" s="7" t="s">
        <v>13</v>
      </c>
      <c r="D306" s="7">
        <v>2023</v>
      </c>
      <c r="E306" s="7">
        <v>73.42</v>
      </c>
      <c r="F306" s="7">
        <v>261</v>
      </c>
      <c r="G306" s="7">
        <v>5</v>
      </c>
      <c r="H306" s="7">
        <v>26073.95</v>
      </c>
      <c r="I306" s="6" t="s">
        <v>702</v>
      </c>
      <c r="J306" s="7" t="s">
        <v>703</v>
      </c>
      <c r="K306" s="8">
        <v>13.1</v>
      </c>
      <c r="L306" s="7">
        <f ca="1">IFERROR(__xludf.DUMMYFUNCTION("""COMPUTED_VALUE"""),391)</f>
        <v>391</v>
      </c>
    </row>
    <row r="307" spans="1:12" ht="15.5">
      <c r="A307" s="9" t="s">
        <v>672</v>
      </c>
      <c r="B307" s="7" t="s">
        <v>704</v>
      </c>
      <c r="C307" s="7" t="s">
        <v>13</v>
      </c>
      <c r="D307" s="7">
        <v>2023</v>
      </c>
      <c r="E307" s="7">
        <v>81.739999999999995</v>
      </c>
      <c r="F307" s="7">
        <v>125</v>
      </c>
      <c r="G307" s="7">
        <v>6</v>
      </c>
      <c r="H307" s="7">
        <v>54177.89</v>
      </c>
      <c r="I307" s="6" t="s">
        <v>705</v>
      </c>
      <c r="J307" s="7" t="s">
        <v>706</v>
      </c>
      <c r="K307" s="8">
        <v>10.93</v>
      </c>
      <c r="L307" s="7">
        <f ca="1">IFERROR(__xludf.DUMMYFUNCTION("""COMPUTED_VALUE"""),393)</f>
        <v>393</v>
      </c>
    </row>
    <row r="308" spans="1:12" ht="15.5">
      <c r="A308" s="9" t="s">
        <v>672</v>
      </c>
      <c r="B308" s="7" t="s">
        <v>707</v>
      </c>
      <c r="C308" s="7" t="s">
        <v>13</v>
      </c>
      <c r="D308" s="7">
        <v>2023</v>
      </c>
      <c r="E308" s="7">
        <v>76.930000000000007</v>
      </c>
      <c r="F308" s="7">
        <v>210</v>
      </c>
      <c r="G308" s="7">
        <v>6</v>
      </c>
      <c r="H308" s="7">
        <v>80341.41</v>
      </c>
      <c r="I308" s="6" t="s">
        <v>708</v>
      </c>
      <c r="J308" s="7" t="s">
        <v>709</v>
      </c>
      <c r="K308" s="8">
        <v>13.62</v>
      </c>
      <c r="L308" s="7">
        <f ca="1">IFERROR(__xludf.DUMMYFUNCTION("""COMPUTED_VALUE"""),400)</f>
        <v>400</v>
      </c>
    </row>
    <row r="309" spans="1:12" ht="15.5">
      <c r="A309" s="9" t="s">
        <v>672</v>
      </c>
      <c r="B309" s="7" t="s">
        <v>710</v>
      </c>
      <c r="C309" s="7" t="s">
        <v>13</v>
      </c>
      <c r="D309" s="7">
        <v>2023</v>
      </c>
      <c r="E309" s="7">
        <v>70.430000000000007</v>
      </c>
      <c r="F309" s="7">
        <v>294</v>
      </c>
      <c r="G309" s="7">
        <v>5</v>
      </c>
      <c r="H309" s="7">
        <v>30190.58</v>
      </c>
      <c r="I309" s="6" t="s">
        <v>711</v>
      </c>
      <c r="J309" s="7" t="s">
        <v>712</v>
      </c>
      <c r="K309" s="8">
        <v>18.559999999999999</v>
      </c>
      <c r="L309" s="7">
        <f ca="1">IFERROR(__xludf.DUMMYFUNCTION("""COMPUTED_VALUE"""),395)</f>
        <v>395</v>
      </c>
    </row>
    <row r="310" spans="1:12" ht="15.5">
      <c r="A310" s="9" t="s">
        <v>672</v>
      </c>
      <c r="B310" s="7" t="s">
        <v>713</v>
      </c>
      <c r="C310" s="7" t="s">
        <v>13</v>
      </c>
      <c r="D310" s="7">
        <v>2023</v>
      </c>
      <c r="E310" s="7">
        <v>76.760000000000005</v>
      </c>
      <c r="F310" s="7">
        <v>217</v>
      </c>
      <c r="G310" s="7">
        <v>6</v>
      </c>
      <c r="H310" s="7">
        <v>106305.17</v>
      </c>
      <c r="I310" s="6" t="s">
        <v>714</v>
      </c>
      <c r="J310" s="7" t="s">
        <v>715</v>
      </c>
      <c r="K310" s="8">
        <v>10.39</v>
      </c>
      <c r="L310" s="7">
        <f ca="1">IFERROR(__xludf.DUMMYFUNCTION("""COMPUTED_VALUE"""),316)</f>
        <v>316</v>
      </c>
    </row>
    <row r="311" spans="1:12" ht="15.5">
      <c r="A311" s="9" t="s">
        <v>672</v>
      </c>
      <c r="B311" s="7" t="s">
        <v>716</v>
      </c>
      <c r="C311" s="7" t="s">
        <v>13</v>
      </c>
      <c r="D311" s="7">
        <v>2023</v>
      </c>
      <c r="E311" s="7">
        <v>67.290000000000006</v>
      </c>
      <c r="F311" s="7">
        <v>315</v>
      </c>
      <c r="G311" s="7">
        <v>4</v>
      </c>
      <c r="H311" s="7">
        <v>21575.88</v>
      </c>
      <c r="I311" s="6" t="s">
        <v>717</v>
      </c>
      <c r="J311" s="7" t="s">
        <v>718</v>
      </c>
      <c r="K311" s="8">
        <v>11.55</v>
      </c>
      <c r="L311" s="7">
        <f ca="1">IFERROR(__xludf.DUMMYFUNCTION("""COMPUTED_VALUE"""),401)</f>
        <v>401</v>
      </c>
    </row>
    <row r="312" spans="1:12" ht="15.5">
      <c r="A312" s="9" t="s">
        <v>672</v>
      </c>
      <c r="B312" s="7" t="s">
        <v>719</v>
      </c>
      <c r="C312" s="7" t="s">
        <v>13</v>
      </c>
      <c r="D312" s="7">
        <v>2023</v>
      </c>
      <c r="E312" s="7">
        <v>62.66</v>
      </c>
      <c r="F312" s="7">
        <v>337</v>
      </c>
      <c r="G312" s="7">
        <v>4</v>
      </c>
      <c r="H312" s="7">
        <v>49135.54</v>
      </c>
      <c r="I312" s="6" t="s">
        <v>720</v>
      </c>
      <c r="J312" s="7" t="s">
        <v>685</v>
      </c>
      <c r="K312" s="8">
        <v>7.99</v>
      </c>
      <c r="L312" s="7">
        <f ca="1">IFERROR(__xludf.DUMMYFUNCTION("""COMPUTED_VALUE"""),310)</f>
        <v>310</v>
      </c>
    </row>
    <row r="313" spans="1:12" ht="15.5">
      <c r="A313" s="9" t="s">
        <v>672</v>
      </c>
      <c r="B313" s="7" t="s">
        <v>721</v>
      </c>
      <c r="C313" s="7" t="s">
        <v>13</v>
      </c>
      <c r="D313" s="7">
        <v>2023</v>
      </c>
      <c r="E313" s="7">
        <v>74.27</v>
      </c>
      <c r="F313" s="7">
        <v>248</v>
      </c>
      <c r="G313" s="7">
        <v>5</v>
      </c>
      <c r="H313" s="7">
        <v>22951.26</v>
      </c>
      <c r="I313" s="6" t="s">
        <v>722</v>
      </c>
      <c r="J313" s="7" t="s">
        <v>677</v>
      </c>
      <c r="K313" s="8">
        <v>13.85</v>
      </c>
      <c r="L313" s="7">
        <f ca="1">IFERROR(__xludf.DUMMYFUNCTION("""COMPUTED_VALUE"""),352)</f>
        <v>352</v>
      </c>
    </row>
    <row r="314" spans="1:12" ht="15.5">
      <c r="A314" s="9" t="s">
        <v>672</v>
      </c>
      <c r="B314" s="7" t="s">
        <v>723</v>
      </c>
      <c r="C314" s="7" t="s">
        <v>13</v>
      </c>
      <c r="D314" s="7">
        <v>2023</v>
      </c>
      <c r="E314" s="7">
        <v>66.69</v>
      </c>
      <c r="F314" s="7">
        <v>319</v>
      </c>
      <c r="G314" s="7">
        <v>4</v>
      </c>
      <c r="H314" s="7">
        <v>72384.820000000007</v>
      </c>
      <c r="I314" s="6" t="s">
        <v>724</v>
      </c>
      <c r="J314" s="7" t="s">
        <v>84</v>
      </c>
      <c r="K314" s="8">
        <v>12.9</v>
      </c>
      <c r="L314" s="7">
        <f ca="1">IFERROR(__xludf.DUMMYFUNCTION("""COMPUTED_VALUE"""),306)</f>
        <v>306</v>
      </c>
    </row>
    <row r="315" spans="1:12" ht="15.5">
      <c r="A315" s="9" t="s">
        <v>672</v>
      </c>
      <c r="B315" s="7" t="s">
        <v>725</v>
      </c>
      <c r="C315" s="7" t="s">
        <v>13</v>
      </c>
      <c r="D315" s="7">
        <v>2023</v>
      </c>
      <c r="E315" s="7">
        <v>58.42</v>
      </c>
      <c r="F315" s="7">
        <v>358</v>
      </c>
      <c r="G315" s="7">
        <v>3</v>
      </c>
      <c r="H315" s="7">
        <v>7276.16</v>
      </c>
      <c r="I315" s="6">
        <v>73</v>
      </c>
      <c r="J315" s="7" t="s">
        <v>726</v>
      </c>
      <c r="K315" s="8">
        <v>10.63</v>
      </c>
      <c r="L315" s="7">
        <f ca="1">IFERROR(__xludf.DUMMYFUNCTION("""COMPUTED_VALUE"""),302)</f>
        <v>302</v>
      </c>
    </row>
    <row r="316" spans="1:12" ht="15.5">
      <c r="A316" s="9" t="s">
        <v>672</v>
      </c>
      <c r="B316" s="7" t="s">
        <v>727</v>
      </c>
      <c r="C316" s="7" t="s">
        <v>13</v>
      </c>
      <c r="D316" s="7">
        <v>2023</v>
      </c>
      <c r="E316" s="7">
        <v>73</v>
      </c>
      <c r="F316" s="7">
        <v>267</v>
      </c>
      <c r="G316" s="7">
        <v>5</v>
      </c>
      <c r="H316" s="7">
        <v>27749.73</v>
      </c>
      <c r="I316" s="6" t="s">
        <v>728</v>
      </c>
      <c r="J316" s="7" t="s">
        <v>700</v>
      </c>
      <c r="K316" s="8">
        <v>15.13</v>
      </c>
      <c r="L316" s="7">
        <f ca="1">IFERROR(__xludf.DUMMYFUNCTION("""COMPUTED_VALUE"""),244)</f>
        <v>244</v>
      </c>
    </row>
    <row r="317" spans="1:12" ht="15.5">
      <c r="A317" s="12" t="s">
        <v>672</v>
      </c>
      <c r="B317" s="13" t="s">
        <v>729</v>
      </c>
      <c r="C317" s="13" t="s">
        <v>62</v>
      </c>
      <c r="D317" s="13">
        <v>2023</v>
      </c>
      <c r="E317" s="13">
        <v>75.849999999999994</v>
      </c>
      <c r="F317" s="13">
        <v>80</v>
      </c>
      <c r="G317" s="13">
        <v>6</v>
      </c>
      <c r="H317" s="13">
        <v>1578.12</v>
      </c>
      <c r="I317" s="6" t="s">
        <v>515</v>
      </c>
      <c r="J317" s="13" t="s">
        <v>666</v>
      </c>
      <c r="K317" s="14">
        <v>23.07</v>
      </c>
      <c r="L317" s="7">
        <f ca="1">IFERROR(__xludf.DUMMYFUNCTION("""COMPUTED_VALUE"""),361)</f>
        <v>361</v>
      </c>
    </row>
    <row r="318" spans="1:12" ht="15.5">
      <c r="A318" s="4" t="s">
        <v>730</v>
      </c>
      <c r="B318" s="5" t="s">
        <v>731</v>
      </c>
      <c r="C318" s="5" t="s">
        <v>13</v>
      </c>
      <c r="D318" s="5">
        <v>2023</v>
      </c>
      <c r="E318" s="5">
        <v>83.08</v>
      </c>
      <c r="F318" s="5">
        <v>99</v>
      </c>
      <c r="G318" s="5">
        <v>6</v>
      </c>
      <c r="H318" s="5"/>
      <c r="I318" s="15" t="s">
        <v>732</v>
      </c>
      <c r="J318" s="5" t="s">
        <v>293</v>
      </c>
      <c r="K318" s="8">
        <v>23.02</v>
      </c>
      <c r="L318" s="7">
        <f ca="1">IFERROR(__xludf.DUMMYFUNCTION("""COMPUTED_VALUE"""),362)</f>
        <v>362</v>
      </c>
    </row>
    <row r="319" spans="1:12" ht="15.5">
      <c r="A319" s="9" t="s">
        <v>733</v>
      </c>
      <c r="B319" s="7" t="s">
        <v>734</v>
      </c>
      <c r="C319" s="7" t="s">
        <v>13</v>
      </c>
      <c r="D319" s="7">
        <v>2023</v>
      </c>
      <c r="E319" s="7">
        <v>27.68</v>
      </c>
      <c r="F319" s="7">
        <v>404</v>
      </c>
      <c r="G319" s="7">
        <v>1</v>
      </c>
      <c r="I319" s="6" t="s">
        <v>735</v>
      </c>
      <c r="J319" s="7" t="s">
        <v>286</v>
      </c>
      <c r="K319" s="8">
        <v>30.07</v>
      </c>
      <c r="L319" s="7">
        <f ca="1">IFERROR(__xludf.DUMMYFUNCTION("""COMPUTED_VALUE"""),340)</f>
        <v>340</v>
      </c>
    </row>
    <row r="320" spans="1:12" ht="15.5">
      <c r="A320" s="9" t="s">
        <v>736</v>
      </c>
      <c r="B320" s="7" t="s">
        <v>737</v>
      </c>
      <c r="C320" s="7" t="s">
        <v>13</v>
      </c>
      <c r="D320" s="7">
        <v>2023</v>
      </c>
      <c r="E320" s="7">
        <v>72.14</v>
      </c>
      <c r="F320" s="7">
        <v>278</v>
      </c>
      <c r="G320" s="7">
        <v>5</v>
      </c>
      <c r="H320" s="7">
        <v>46.12</v>
      </c>
      <c r="I320" s="6" t="s">
        <v>738</v>
      </c>
      <c r="J320" s="7" t="s">
        <v>739</v>
      </c>
      <c r="K320" s="8">
        <v>22.44</v>
      </c>
      <c r="L320" s="7">
        <f ca="1">IFERROR(__xludf.DUMMYFUNCTION("""COMPUTED_VALUE"""),314)</f>
        <v>314</v>
      </c>
    </row>
    <row r="321" spans="1:12" ht="15.5">
      <c r="A321" s="9" t="s">
        <v>740</v>
      </c>
      <c r="B321" s="7" t="s">
        <v>741</v>
      </c>
      <c r="C321" s="7" t="s">
        <v>13</v>
      </c>
      <c r="D321" s="7">
        <v>2023</v>
      </c>
      <c r="E321" s="7">
        <v>78.069999999999993</v>
      </c>
      <c r="F321" s="7">
        <v>188</v>
      </c>
      <c r="G321" s="7">
        <v>6</v>
      </c>
      <c r="I321" s="6" t="s">
        <v>742</v>
      </c>
      <c r="J321" s="7" t="s">
        <v>743</v>
      </c>
      <c r="K321" s="8">
        <v>28.08</v>
      </c>
      <c r="L321" s="7">
        <f ca="1">IFERROR(__xludf.DUMMYFUNCTION("""COMPUTED_VALUE"""),293)</f>
        <v>293</v>
      </c>
    </row>
    <row r="322" spans="1:12" ht="15.5">
      <c r="A322" s="9" t="s">
        <v>744</v>
      </c>
      <c r="B322" s="7" t="s">
        <v>745</v>
      </c>
      <c r="C322" s="7" t="s">
        <v>13</v>
      </c>
      <c r="D322" s="7">
        <v>2023</v>
      </c>
      <c r="E322" s="7">
        <v>69.7</v>
      </c>
      <c r="F322" s="7">
        <v>300</v>
      </c>
      <c r="G322" s="7">
        <v>5</v>
      </c>
      <c r="I322" s="6" t="s">
        <v>746</v>
      </c>
      <c r="J322" s="7" t="s">
        <v>96</v>
      </c>
      <c r="K322" s="8">
        <v>35.24</v>
      </c>
      <c r="L322" s="7">
        <f ca="1">IFERROR(__xludf.DUMMYFUNCTION("""COMPUTED_VALUE"""),73)</f>
        <v>73</v>
      </c>
    </row>
    <row r="323" spans="1:12" ht="15.5">
      <c r="A323" s="9" t="s">
        <v>744</v>
      </c>
      <c r="B323" s="7" t="s">
        <v>747</v>
      </c>
      <c r="C323" s="7" t="s">
        <v>13</v>
      </c>
      <c r="D323" s="7">
        <v>2023</v>
      </c>
      <c r="E323" s="7">
        <v>49.81</v>
      </c>
      <c r="F323" s="7">
        <v>383</v>
      </c>
      <c r="G323" s="7">
        <v>2</v>
      </c>
      <c r="I323" s="6" t="s">
        <v>748</v>
      </c>
      <c r="J323" s="7" t="s">
        <v>749</v>
      </c>
      <c r="K323" s="8">
        <v>32.58</v>
      </c>
      <c r="L323" s="7">
        <f ca="1">IFERROR(__xludf.DUMMYFUNCTION("""COMPUTED_VALUE"""),321)</f>
        <v>321</v>
      </c>
    </row>
    <row r="324" spans="1:12" ht="15.5">
      <c r="A324" s="9" t="s">
        <v>740</v>
      </c>
      <c r="B324" s="7" t="s">
        <v>750</v>
      </c>
      <c r="C324" s="7" t="s">
        <v>13</v>
      </c>
      <c r="D324" s="7">
        <v>2023</v>
      </c>
      <c r="E324" s="7">
        <v>21.52</v>
      </c>
      <c r="F324" s="7">
        <v>412</v>
      </c>
      <c r="G324" s="7">
        <v>1</v>
      </c>
      <c r="I324" s="6" t="s">
        <v>751</v>
      </c>
      <c r="J324" s="7" t="s">
        <v>752</v>
      </c>
      <c r="K324" s="8">
        <v>20.100000000000001</v>
      </c>
      <c r="L324" s="7">
        <f ca="1">IFERROR(__xludf.DUMMYFUNCTION("""COMPUTED_VALUE"""),246)</f>
        <v>246</v>
      </c>
    </row>
    <row r="325" spans="1:12" ht="15.5">
      <c r="A325" s="9" t="s">
        <v>740</v>
      </c>
      <c r="B325" s="7" t="s">
        <v>753</v>
      </c>
      <c r="C325" s="7" t="s">
        <v>13</v>
      </c>
      <c r="D325" s="7">
        <v>2023</v>
      </c>
      <c r="E325" s="7">
        <v>25.14</v>
      </c>
      <c r="F325" s="7">
        <v>405</v>
      </c>
      <c r="G325" s="7">
        <v>1</v>
      </c>
      <c r="I325" s="6" t="s">
        <v>754</v>
      </c>
      <c r="J325" s="7" t="s">
        <v>755</v>
      </c>
      <c r="K325" s="8">
        <v>39.43</v>
      </c>
      <c r="L325" s="7">
        <f ca="1">IFERROR(__xludf.DUMMYFUNCTION("""COMPUTED_VALUE"""),272)</f>
        <v>272</v>
      </c>
    </row>
    <row r="326" spans="1:12" ht="15.5">
      <c r="A326" s="9" t="s">
        <v>740</v>
      </c>
      <c r="B326" s="7" t="s">
        <v>756</v>
      </c>
      <c r="C326" s="7" t="s">
        <v>13</v>
      </c>
      <c r="D326" s="7">
        <v>2023</v>
      </c>
      <c r="E326" s="7">
        <v>81.83</v>
      </c>
      <c r="F326" s="7">
        <v>122</v>
      </c>
      <c r="G326" s="7">
        <v>6</v>
      </c>
      <c r="I326" s="6" t="s">
        <v>757</v>
      </c>
      <c r="J326" s="7" t="s">
        <v>758</v>
      </c>
      <c r="K326" s="8">
        <v>28.76</v>
      </c>
      <c r="L326" s="7">
        <f ca="1">IFERROR(__xludf.DUMMYFUNCTION("""COMPUTED_VALUE"""),113)</f>
        <v>113</v>
      </c>
    </row>
    <row r="327" spans="1:12" ht="15.5">
      <c r="A327" s="9" t="s">
        <v>730</v>
      </c>
      <c r="B327" s="7" t="s">
        <v>759</v>
      </c>
      <c r="C327" s="7" t="s">
        <v>13</v>
      </c>
      <c r="D327" s="7">
        <v>2023</v>
      </c>
      <c r="E327" s="7">
        <v>40.549999999999997</v>
      </c>
      <c r="F327" s="7">
        <v>397</v>
      </c>
      <c r="G327" s="7">
        <v>1</v>
      </c>
      <c r="I327" s="6" t="s">
        <v>760</v>
      </c>
      <c r="J327" s="7" t="s">
        <v>683</v>
      </c>
      <c r="K327" s="8">
        <v>39.130000000000003</v>
      </c>
      <c r="L327" s="7">
        <f ca="1">IFERROR(__xludf.DUMMYFUNCTION("""COMPUTED_VALUE"""),348)</f>
        <v>348</v>
      </c>
    </row>
    <row r="328" spans="1:12" ht="15.5">
      <c r="A328" s="9" t="s">
        <v>730</v>
      </c>
      <c r="B328" s="7" t="s">
        <v>761</v>
      </c>
      <c r="C328" s="7" t="s">
        <v>13</v>
      </c>
      <c r="D328" s="7">
        <v>2023</v>
      </c>
      <c r="E328" s="7">
        <v>47.85</v>
      </c>
      <c r="F328" s="7">
        <v>387</v>
      </c>
      <c r="G328" s="7">
        <v>2</v>
      </c>
      <c r="I328" s="6" t="s">
        <v>762</v>
      </c>
      <c r="J328" s="7" t="s">
        <v>634</v>
      </c>
      <c r="K328" s="8">
        <v>48.88</v>
      </c>
      <c r="L328" s="7">
        <f ca="1">IFERROR(__xludf.DUMMYFUNCTION("""COMPUTED_VALUE"""),112)</f>
        <v>112</v>
      </c>
    </row>
    <row r="329" spans="1:12" ht="15.5">
      <c r="A329" s="9" t="s">
        <v>730</v>
      </c>
      <c r="B329" s="7" t="s">
        <v>763</v>
      </c>
      <c r="C329" s="7" t="s">
        <v>13</v>
      </c>
      <c r="D329" s="7">
        <v>2023</v>
      </c>
      <c r="E329" s="7">
        <v>36.69</v>
      </c>
      <c r="F329" s="7">
        <v>398</v>
      </c>
      <c r="G329" s="7">
        <v>1</v>
      </c>
      <c r="I329" s="6" t="s">
        <v>764</v>
      </c>
      <c r="J329" s="7" t="s">
        <v>765</v>
      </c>
      <c r="K329" s="8">
        <v>42.88</v>
      </c>
      <c r="L329" s="7">
        <f ca="1">IFERROR(__xludf.DUMMYFUNCTION("""COMPUTED_VALUE"""),280)</f>
        <v>280</v>
      </c>
    </row>
    <row r="330" spans="1:12" ht="15.5">
      <c r="A330" s="9" t="s">
        <v>733</v>
      </c>
      <c r="B330" s="7" t="s">
        <v>766</v>
      </c>
      <c r="C330" s="7" t="s">
        <v>13</v>
      </c>
      <c r="D330" s="7">
        <v>2023</v>
      </c>
      <c r="E330" s="7">
        <v>21.95</v>
      </c>
      <c r="F330" s="7">
        <v>409</v>
      </c>
      <c r="G330" s="7">
        <v>1</v>
      </c>
      <c r="I330" s="6" t="s">
        <v>767</v>
      </c>
      <c r="J330" s="7" t="s">
        <v>768</v>
      </c>
      <c r="K330" s="8">
        <v>56.8</v>
      </c>
      <c r="L330" s="7">
        <f ca="1">IFERROR(__xludf.DUMMYFUNCTION("""COMPUTED_VALUE"""),100)</f>
        <v>100</v>
      </c>
    </row>
    <row r="331" spans="1:12" ht="15.5">
      <c r="A331" s="9" t="s">
        <v>733</v>
      </c>
      <c r="B331" s="7" t="s">
        <v>769</v>
      </c>
      <c r="C331" s="7" t="s">
        <v>13</v>
      </c>
      <c r="D331" s="7">
        <v>2023</v>
      </c>
      <c r="E331" s="7">
        <v>51.99</v>
      </c>
      <c r="F331" s="7">
        <v>377</v>
      </c>
      <c r="G331" s="7">
        <v>3</v>
      </c>
      <c r="I331" s="6" t="s">
        <v>770</v>
      </c>
      <c r="J331" s="7" t="s">
        <v>683</v>
      </c>
      <c r="K331" s="8">
        <v>25.43</v>
      </c>
      <c r="L331" s="7">
        <f ca="1">IFERROR(__xludf.DUMMYFUNCTION("""COMPUTED_VALUE"""),51)</f>
        <v>51</v>
      </c>
    </row>
    <row r="332" spans="1:12" ht="15.5">
      <c r="A332" s="9" t="s">
        <v>733</v>
      </c>
      <c r="B332" s="7" t="s">
        <v>771</v>
      </c>
      <c r="C332" s="7" t="s">
        <v>13</v>
      </c>
      <c r="D332" s="7">
        <v>2023</v>
      </c>
      <c r="E332" s="7">
        <v>23</v>
      </c>
      <c r="F332" s="7">
        <v>407</v>
      </c>
      <c r="G332" s="7">
        <v>1</v>
      </c>
      <c r="I332" s="6" t="s">
        <v>772</v>
      </c>
      <c r="J332" s="7" t="s">
        <v>20</v>
      </c>
      <c r="K332" s="8">
        <v>51.68</v>
      </c>
      <c r="L332" s="7">
        <f ca="1">IFERROR(__xludf.DUMMYFUNCTION("""COMPUTED_VALUE"""),165)</f>
        <v>165</v>
      </c>
    </row>
    <row r="333" spans="1:12" ht="15.5">
      <c r="A333" s="9" t="s">
        <v>744</v>
      </c>
      <c r="B333" s="7" t="s">
        <v>773</v>
      </c>
      <c r="C333" s="7" t="s">
        <v>13</v>
      </c>
      <c r="D333" s="7">
        <v>2023</v>
      </c>
      <c r="E333" s="7">
        <v>61.25</v>
      </c>
      <c r="F333" s="7">
        <v>343</v>
      </c>
      <c r="G333" s="7">
        <v>4</v>
      </c>
      <c r="H333" s="7">
        <v>43.5</v>
      </c>
      <c r="I333" s="6" t="s">
        <v>774</v>
      </c>
      <c r="J333" s="7" t="s">
        <v>775</v>
      </c>
      <c r="K333" s="8">
        <v>43.89</v>
      </c>
      <c r="L333" s="7">
        <f ca="1">IFERROR(__xludf.DUMMYFUNCTION("""COMPUTED_VALUE"""),58)</f>
        <v>58</v>
      </c>
    </row>
    <row r="334" spans="1:12" ht="15.5">
      <c r="A334" s="9" t="s">
        <v>744</v>
      </c>
      <c r="B334" s="7" t="s">
        <v>776</v>
      </c>
      <c r="C334" s="7" t="s">
        <v>13</v>
      </c>
      <c r="D334" s="7">
        <v>2023</v>
      </c>
      <c r="E334" s="7">
        <v>71.92</v>
      </c>
      <c r="F334" s="7">
        <v>279</v>
      </c>
      <c r="G334" s="7">
        <v>5</v>
      </c>
      <c r="H334" s="7">
        <v>39.549999999999997</v>
      </c>
      <c r="I334" s="6" t="s">
        <v>777</v>
      </c>
      <c r="J334" s="7" t="s">
        <v>407</v>
      </c>
      <c r="K334" s="8">
        <v>47.9</v>
      </c>
      <c r="L334" s="7">
        <f ca="1">IFERROR(__xludf.DUMMYFUNCTION("""COMPUTED_VALUE"""),106)</f>
        <v>106</v>
      </c>
    </row>
    <row r="335" spans="1:12" ht="15.5">
      <c r="A335" s="9" t="s">
        <v>744</v>
      </c>
      <c r="B335" s="7" t="s">
        <v>778</v>
      </c>
      <c r="C335" s="7" t="s">
        <v>13</v>
      </c>
      <c r="D335" s="7">
        <v>2023</v>
      </c>
      <c r="E335" s="7">
        <v>61.63</v>
      </c>
      <c r="F335" s="7">
        <v>341</v>
      </c>
      <c r="G335" s="7">
        <v>4</v>
      </c>
      <c r="H335" s="7">
        <v>38.14</v>
      </c>
      <c r="I335" s="6" t="s">
        <v>779</v>
      </c>
      <c r="J335" s="7" t="s">
        <v>780</v>
      </c>
      <c r="K335" s="8">
        <v>35.93</v>
      </c>
      <c r="L335" s="7">
        <f ca="1">IFERROR(__xludf.DUMMYFUNCTION("""COMPUTED_VALUE"""),81)</f>
        <v>81</v>
      </c>
    </row>
    <row r="336" spans="1:12" ht="15.5">
      <c r="A336" s="9" t="s">
        <v>744</v>
      </c>
      <c r="B336" s="7" t="s">
        <v>781</v>
      </c>
      <c r="C336" s="7" t="s">
        <v>13</v>
      </c>
      <c r="D336" s="7">
        <v>2023</v>
      </c>
      <c r="E336" s="7">
        <v>30.41</v>
      </c>
      <c r="F336" s="7">
        <v>403</v>
      </c>
      <c r="G336" s="7">
        <v>1</v>
      </c>
      <c r="I336" s="6" t="s">
        <v>782</v>
      </c>
      <c r="J336" s="7" t="s">
        <v>783</v>
      </c>
      <c r="K336" s="8">
        <v>27.98</v>
      </c>
      <c r="L336" s="7">
        <f ca="1">IFERROR(__xludf.DUMMYFUNCTION("""COMPUTED_VALUE"""),167)</f>
        <v>167</v>
      </c>
    </row>
    <row r="337" spans="1:12" ht="15.5">
      <c r="A337" s="9" t="s">
        <v>744</v>
      </c>
      <c r="B337" s="7" t="s">
        <v>784</v>
      </c>
      <c r="C337" s="7" t="s">
        <v>13</v>
      </c>
      <c r="D337" s="7">
        <v>2023</v>
      </c>
      <c r="E337" s="7">
        <v>22.51</v>
      </c>
      <c r="F337" s="7">
        <v>408</v>
      </c>
      <c r="G337" s="7">
        <v>1</v>
      </c>
      <c r="I337" s="11">
        <v>0</v>
      </c>
      <c r="J337" s="7" t="s">
        <v>785</v>
      </c>
      <c r="K337" s="8">
        <v>48.03</v>
      </c>
      <c r="L337" s="7">
        <f ca="1">IFERROR(__xludf.DUMMYFUNCTION("""COMPUTED_VALUE"""),17)</f>
        <v>17</v>
      </c>
    </row>
    <row r="338" spans="1:12" ht="15.5">
      <c r="A338" s="9" t="s">
        <v>733</v>
      </c>
      <c r="B338" s="7" t="s">
        <v>786</v>
      </c>
      <c r="C338" s="7" t="s">
        <v>13</v>
      </c>
      <c r="D338" s="7">
        <v>2023</v>
      </c>
      <c r="E338" s="7">
        <v>17.63</v>
      </c>
      <c r="F338" s="7">
        <v>415</v>
      </c>
      <c r="G338" s="7">
        <v>1</v>
      </c>
      <c r="I338" s="6" t="s">
        <v>787</v>
      </c>
      <c r="J338" s="7" t="s">
        <v>788</v>
      </c>
      <c r="K338" s="8">
        <v>20.68</v>
      </c>
      <c r="L338" s="7">
        <f ca="1">IFERROR(__xludf.DUMMYFUNCTION("""COMPUTED_VALUE"""),20)</f>
        <v>20</v>
      </c>
    </row>
    <row r="339" spans="1:12" ht="15.5">
      <c r="A339" s="9" t="s">
        <v>733</v>
      </c>
      <c r="B339" s="7" t="s">
        <v>789</v>
      </c>
      <c r="C339" s="7" t="s">
        <v>13</v>
      </c>
      <c r="D339" s="7">
        <v>2023</v>
      </c>
      <c r="E339" s="7">
        <v>21.6</v>
      </c>
      <c r="F339" s="7">
        <v>411</v>
      </c>
      <c r="G339" s="7">
        <v>1</v>
      </c>
      <c r="I339" s="6" t="s">
        <v>790</v>
      </c>
      <c r="J339" s="7" t="s">
        <v>207</v>
      </c>
      <c r="K339" s="8">
        <v>20.07</v>
      </c>
      <c r="L339" s="7">
        <f ca="1">IFERROR(__xludf.DUMMYFUNCTION("""COMPUTED_VALUE"""),26)</f>
        <v>26</v>
      </c>
    </row>
    <row r="340" spans="1:12" ht="15.5">
      <c r="A340" s="9" t="s">
        <v>733</v>
      </c>
      <c r="B340" s="7" t="s">
        <v>791</v>
      </c>
      <c r="C340" s="7" t="s">
        <v>13</v>
      </c>
      <c r="D340" s="7">
        <v>2023</v>
      </c>
      <c r="E340" s="7">
        <v>20.059999999999999</v>
      </c>
      <c r="F340" s="7">
        <v>414</v>
      </c>
      <c r="G340" s="7">
        <v>1</v>
      </c>
      <c r="I340" s="6" t="s">
        <v>792</v>
      </c>
      <c r="J340" s="7" t="s">
        <v>112</v>
      </c>
      <c r="K340" s="8">
        <v>26.1</v>
      </c>
      <c r="L340" s="7">
        <f ca="1">IFERROR(__xludf.DUMMYFUNCTION("""COMPUTED_VALUE"""),115)</f>
        <v>115</v>
      </c>
    </row>
    <row r="341" spans="1:12" ht="15.5">
      <c r="A341" s="9" t="s">
        <v>733</v>
      </c>
      <c r="B341" s="7" t="s">
        <v>793</v>
      </c>
      <c r="C341" s="7" t="s">
        <v>13</v>
      </c>
      <c r="D341" s="7">
        <v>2023</v>
      </c>
      <c r="E341" s="7">
        <v>23.95</v>
      </c>
      <c r="F341" s="7">
        <v>406</v>
      </c>
      <c r="G341" s="7">
        <v>1</v>
      </c>
      <c r="I341" s="6" t="s">
        <v>437</v>
      </c>
      <c r="J341" s="7" t="s">
        <v>158</v>
      </c>
      <c r="K341" s="8">
        <v>17.940000000000001</v>
      </c>
      <c r="L341" s="7">
        <f ca="1">IFERROR(__xludf.DUMMYFUNCTION("""COMPUTED_VALUE"""),127)</f>
        <v>127</v>
      </c>
    </row>
    <row r="342" spans="1:12" ht="15.5">
      <c r="A342" s="9" t="s">
        <v>740</v>
      </c>
      <c r="B342" s="7" t="s">
        <v>794</v>
      </c>
      <c r="C342" s="7" t="s">
        <v>13</v>
      </c>
      <c r="D342" s="7">
        <v>2023</v>
      </c>
      <c r="E342" s="7">
        <v>20.100000000000001</v>
      </c>
      <c r="F342" s="7">
        <v>413</v>
      </c>
      <c r="G342" s="7">
        <v>1</v>
      </c>
      <c r="I342" s="6" t="s">
        <v>795</v>
      </c>
      <c r="J342" s="7" t="s">
        <v>796</v>
      </c>
      <c r="K342" s="8">
        <v>47.27</v>
      </c>
      <c r="L342" s="7">
        <f ca="1">IFERROR(__xludf.DUMMYFUNCTION("""COMPUTED_VALUE"""),196)</f>
        <v>196</v>
      </c>
    </row>
    <row r="343" spans="1:12" ht="15.5">
      <c r="A343" s="9" t="s">
        <v>740</v>
      </c>
      <c r="B343" s="7" t="s">
        <v>797</v>
      </c>
      <c r="C343" s="7" t="s">
        <v>13</v>
      </c>
      <c r="D343" s="7">
        <v>2023</v>
      </c>
      <c r="E343" s="7">
        <v>31.23</v>
      </c>
      <c r="F343" s="7">
        <v>402</v>
      </c>
      <c r="G343" s="7">
        <v>1</v>
      </c>
      <c r="I343" s="6" t="s">
        <v>798</v>
      </c>
      <c r="J343" s="7" t="s">
        <v>799</v>
      </c>
      <c r="K343" s="8">
        <v>67.17</v>
      </c>
      <c r="L343" s="7">
        <f ca="1">IFERROR(__xludf.DUMMYFUNCTION("""COMPUTED_VALUE"""),101)</f>
        <v>101</v>
      </c>
    </row>
    <row r="344" spans="1:12" ht="15.5">
      <c r="A344" s="9" t="s">
        <v>740</v>
      </c>
      <c r="B344" s="7" t="s">
        <v>800</v>
      </c>
      <c r="C344" s="7" t="s">
        <v>13</v>
      </c>
      <c r="D344" s="7">
        <v>2023</v>
      </c>
      <c r="E344" s="7">
        <v>14.54</v>
      </c>
      <c r="F344" s="7">
        <v>416</v>
      </c>
      <c r="G344" s="7">
        <v>1</v>
      </c>
      <c r="I344" s="11">
        <v>0</v>
      </c>
      <c r="J344" s="7" t="s">
        <v>649</v>
      </c>
      <c r="K344" s="8">
        <v>41.29</v>
      </c>
      <c r="L344" s="7">
        <f ca="1">IFERROR(__xludf.DUMMYFUNCTION("""COMPUTED_VALUE"""),151)</f>
        <v>151</v>
      </c>
    </row>
    <row r="345" spans="1:12" ht="15.5">
      <c r="A345" s="9" t="s">
        <v>740</v>
      </c>
      <c r="B345" s="7" t="s">
        <v>801</v>
      </c>
      <c r="C345" s="7" t="s">
        <v>13</v>
      </c>
      <c r="D345" s="7">
        <v>2023</v>
      </c>
      <c r="E345" s="7">
        <v>21.93</v>
      </c>
      <c r="F345" s="7">
        <v>410</v>
      </c>
      <c r="G345" s="7">
        <v>1</v>
      </c>
      <c r="I345" s="6" t="s">
        <v>802</v>
      </c>
      <c r="J345" s="7" t="s">
        <v>803</v>
      </c>
      <c r="K345" s="8">
        <v>66.760000000000005</v>
      </c>
      <c r="L345" s="7">
        <f ca="1">IFERROR(__xludf.DUMMYFUNCTION("""COMPUTED_VALUE"""),56)</f>
        <v>56</v>
      </c>
    </row>
    <row r="346" spans="1:12" ht="15.5">
      <c r="A346" s="12" t="s">
        <v>744</v>
      </c>
      <c r="B346" s="13" t="s">
        <v>804</v>
      </c>
      <c r="C346" s="13" t="s">
        <v>62</v>
      </c>
      <c r="D346" s="13">
        <v>2023</v>
      </c>
      <c r="E346" s="13">
        <v>76.010000000000005</v>
      </c>
      <c r="F346" s="13">
        <v>79</v>
      </c>
      <c r="G346" s="13">
        <v>6</v>
      </c>
      <c r="H346" s="13">
        <v>43.04</v>
      </c>
      <c r="I346" s="6" t="s">
        <v>191</v>
      </c>
      <c r="J346" s="13" t="s">
        <v>339</v>
      </c>
      <c r="K346" s="14">
        <v>18.59</v>
      </c>
      <c r="L346" s="7">
        <f ca="1">IFERROR(__xludf.DUMMYFUNCTION("""COMPUTED_VALUE"""),370)</f>
        <v>370</v>
      </c>
    </row>
    <row r="347" spans="1:12" ht="15.5">
      <c r="A347" s="4" t="s">
        <v>805</v>
      </c>
      <c r="B347" s="5" t="s">
        <v>806</v>
      </c>
      <c r="C347" s="5" t="s">
        <v>13</v>
      </c>
      <c r="D347" s="5">
        <v>2023</v>
      </c>
      <c r="E347" s="5">
        <v>47.32</v>
      </c>
      <c r="F347" s="5">
        <v>388</v>
      </c>
      <c r="G347" s="5">
        <v>2</v>
      </c>
      <c r="H347" s="5">
        <v>45.2</v>
      </c>
      <c r="I347" s="15" t="s">
        <v>807</v>
      </c>
      <c r="J347" s="5" t="s">
        <v>808</v>
      </c>
      <c r="K347" s="8">
        <v>24.29</v>
      </c>
      <c r="L347" s="7">
        <f ca="1">IFERROR(__xludf.DUMMYFUNCTION("""COMPUTED_VALUE"""),111)</f>
        <v>111</v>
      </c>
    </row>
    <row r="348" spans="1:12" ht="15.5">
      <c r="A348" s="9" t="s">
        <v>805</v>
      </c>
      <c r="B348" s="7" t="s">
        <v>809</v>
      </c>
      <c r="C348" s="7" t="s">
        <v>13</v>
      </c>
      <c r="D348" s="7">
        <v>2023</v>
      </c>
      <c r="E348" s="7">
        <v>47.12</v>
      </c>
      <c r="F348" s="7">
        <v>389</v>
      </c>
      <c r="G348" s="7">
        <v>2</v>
      </c>
      <c r="I348" s="6" t="s">
        <v>810</v>
      </c>
      <c r="J348" s="7" t="s">
        <v>811</v>
      </c>
      <c r="K348" s="8">
        <v>21.91</v>
      </c>
      <c r="L348" s="7">
        <f ca="1">IFERROR(__xludf.DUMMYFUNCTION("""COMPUTED_VALUE"""),275)</f>
        <v>275</v>
      </c>
    </row>
    <row r="349" spans="1:12" ht="15.5">
      <c r="A349" s="9" t="s">
        <v>805</v>
      </c>
      <c r="B349" s="7" t="s">
        <v>812</v>
      </c>
      <c r="C349" s="7" t="s">
        <v>13</v>
      </c>
      <c r="D349" s="7">
        <v>2023</v>
      </c>
      <c r="E349" s="7">
        <v>32.93</v>
      </c>
      <c r="F349" s="7">
        <v>399</v>
      </c>
      <c r="G349" s="7">
        <v>1</v>
      </c>
      <c r="H349" s="7">
        <v>66.23</v>
      </c>
      <c r="I349" s="6" t="s">
        <v>813</v>
      </c>
      <c r="J349" s="7" t="s">
        <v>814</v>
      </c>
      <c r="K349" s="8">
        <v>28.47</v>
      </c>
      <c r="L349" s="7">
        <f ca="1">IFERROR(__xludf.DUMMYFUNCTION("""COMPUTED_VALUE"""),173)</f>
        <v>173</v>
      </c>
    </row>
    <row r="350" spans="1:12" ht="15.5">
      <c r="A350" s="9" t="s">
        <v>805</v>
      </c>
      <c r="B350" s="7" t="s">
        <v>815</v>
      </c>
      <c r="C350" s="7" t="s">
        <v>13</v>
      </c>
      <c r="D350" s="7">
        <v>2023</v>
      </c>
      <c r="E350" s="7">
        <v>40.880000000000003</v>
      </c>
      <c r="F350" s="7">
        <v>396</v>
      </c>
      <c r="G350" s="7">
        <v>1</v>
      </c>
      <c r="H350" s="7">
        <v>684.52</v>
      </c>
      <c r="I350" s="6" t="s">
        <v>816</v>
      </c>
      <c r="J350" s="7" t="s">
        <v>817</v>
      </c>
      <c r="K350" s="8">
        <v>21.48</v>
      </c>
      <c r="L350" s="7">
        <f ca="1">IFERROR(__xludf.DUMMYFUNCTION("""COMPUTED_VALUE"""),200)</f>
        <v>200</v>
      </c>
    </row>
    <row r="351" spans="1:12" ht="15.5">
      <c r="A351" s="9" t="s">
        <v>805</v>
      </c>
      <c r="B351" s="7" t="s">
        <v>818</v>
      </c>
      <c r="C351" s="7" t="s">
        <v>13</v>
      </c>
      <c r="D351" s="7">
        <v>2023</v>
      </c>
      <c r="E351" s="7">
        <v>66.849999999999994</v>
      </c>
      <c r="F351" s="7">
        <v>318</v>
      </c>
      <c r="G351" s="7">
        <v>4</v>
      </c>
      <c r="H351" s="7">
        <v>15484.08</v>
      </c>
      <c r="I351" s="6" t="s">
        <v>819</v>
      </c>
      <c r="J351" s="7" t="s">
        <v>820</v>
      </c>
      <c r="K351" s="8">
        <v>22.6</v>
      </c>
      <c r="L351" s="7">
        <f ca="1">IFERROR(__xludf.DUMMYFUNCTION("""COMPUTED_VALUE"""),212)</f>
        <v>212</v>
      </c>
    </row>
    <row r="352" spans="1:12" ht="15.5">
      <c r="A352" s="9" t="s">
        <v>821</v>
      </c>
      <c r="B352" s="7" t="s">
        <v>822</v>
      </c>
      <c r="C352" s="7" t="s">
        <v>13</v>
      </c>
      <c r="D352" s="7">
        <v>2023</v>
      </c>
      <c r="E352" s="7">
        <v>48.46</v>
      </c>
      <c r="F352" s="7">
        <v>385</v>
      </c>
      <c r="G352" s="7">
        <v>2</v>
      </c>
      <c r="H352" s="7">
        <v>110.21</v>
      </c>
      <c r="I352" s="6" t="s">
        <v>823</v>
      </c>
      <c r="J352" s="7" t="s">
        <v>403</v>
      </c>
      <c r="K352" s="8">
        <v>28.34</v>
      </c>
      <c r="L352" s="7">
        <f ca="1">IFERROR(__xludf.DUMMYFUNCTION("""COMPUTED_VALUE"""),187)</f>
        <v>187</v>
      </c>
    </row>
    <row r="353" spans="1:12" ht="15.5">
      <c r="A353" s="9" t="s">
        <v>821</v>
      </c>
      <c r="B353" s="7" t="s">
        <v>824</v>
      </c>
      <c r="C353" s="7" t="s">
        <v>13</v>
      </c>
      <c r="D353" s="7">
        <v>2023</v>
      </c>
      <c r="E353" s="7">
        <v>46.99</v>
      </c>
      <c r="F353" s="7">
        <v>391</v>
      </c>
      <c r="G353" s="7">
        <v>2</v>
      </c>
      <c r="H353" s="7">
        <v>1289.3</v>
      </c>
      <c r="I353" s="6" t="s">
        <v>825</v>
      </c>
      <c r="J353" s="7" t="s">
        <v>470</v>
      </c>
      <c r="K353" s="8">
        <v>29.71</v>
      </c>
      <c r="L353" s="7">
        <f ca="1">IFERROR(__xludf.DUMMYFUNCTION("""COMPUTED_VALUE"""),380)</f>
        <v>380</v>
      </c>
    </row>
    <row r="354" spans="1:12" ht="15.5">
      <c r="A354" s="9" t="s">
        <v>821</v>
      </c>
      <c r="B354" s="7" t="s">
        <v>826</v>
      </c>
      <c r="C354" s="7" t="s">
        <v>13</v>
      </c>
      <c r="D354" s="7">
        <v>2023</v>
      </c>
      <c r="E354" s="7">
        <v>44.12</v>
      </c>
      <c r="F354" s="7">
        <v>393</v>
      </c>
      <c r="G354" s="7">
        <v>2</v>
      </c>
      <c r="H354" s="7">
        <v>834.19</v>
      </c>
      <c r="I354" s="6" t="s">
        <v>827</v>
      </c>
      <c r="J354" s="7" t="s">
        <v>828</v>
      </c>
      <c r="K354" s="8">
        <v>33.619999999999997</v>
      </c>
      <c r="L354" s="7">
        <f ca="1">IFERROR(__xludf.DUMMYFUNCTION("""COMPUTED_VALUE"""),107)</f>
        <v>107</v>
      </c>
    </row>
    <row r="355" spans="1:12" ht="15.5">
      <c r="A355" s="9" t="s">
        <v>821</v>
      </c>
      <c r="B355" s="7" t="s">
        <v>829</v>
      </c>
      <c r="C355" s="7" t="s">
        <v>13</v>
      </c>
      <c r="D355" s="7">
        <v>2023</v>
      </c>
      <c r="E355" s="7">
        <v>32.880000000000003</v>
      </c>
      <c r="F355" s="7">
        <v>400</v>
      </c>
      <c r="G355" s="7">
        <v>1</v>
      </c>
      <c r="I355" s="6" t="s">
        <v>830</v>
      </c>
      <c r="J355" s="7" t="s">
        <v>831</v>
      </c>
      <c r="K355" s="8">
        <v>34.92</v>
      </c>
      <c r="L355" s="7">
        <f ca="1">IFERROR(__xludf.DUMMYFUNCTION("""COMPUTED_VALUE"""),65)</f>
        <v>65</v>
      </c>
    </row>
    <row r="356" spans="1:12" ht="15.5">
      <c r="A356" s="9" t="s">
        <v>821</v>
      </c>
      <c r="B356" s="7" t="s">
        <v>832</v>
      </c>
      <c r="C356" s="7" t="s">
        <v>13</v>
      </c>
      <c r="D356" s="7">
        <v>2023</v>
      </c>
      <c r="E356" s="7">
        <v>41.6</v>
      </c>
      <c r="F356" s="7">
        <v>395</v>
      </c>
      <c r="G356" s="7">
        <v>2</v>
      </c>
      <c r="I356" s="6" t="s">
        <v>833</v>
      </c>
      <c r="J356" s="7" t="s">
        <v>834</v>
      </c>
      <c r="K356" s="8">
        <v>18.13</v>
      </c>
      <c r="L356" s="7">
        <f ca="1">IFERROR(__xludf.DUMMYFUNCTION("""COMPUTED_VALUE"""),303)</f>
        <v>303</v>
      </c>
    </row>
    <row r="357" spans="1:12" ht="15.5">
      <c r="A357" s="9" t="s">
        <v>805</v>
      </c>
      <c r="B357" s="7" t="s">
        <v>835</v>
      </c>
      <c r="C357" s="7" t="s">
        <v>13</v>
      </c>
      <c r="D357" s="7">
        <v>2023</v>
      </c>
      <c r="E357" s="7">
        <v>67.12</v>
      </c>
      <c r="F357" s="7">
        <v>316</v>
      </c>
      <c r="G357" s="7">
        <v>4</v>
      </c>
      <c r="H357" s="7">
        <v>5294.38</v>
      </c>
      <c r="I357" s="6" t="s">
        <v>836</v>
      </c>
      <c r="J357" s="7" t="s">
        <v>837</v>
      </c>
      <c r="K357" s="8">
        <v>27</v>
      </c>
      <c r="L357" s="7">
        <f ca="1">IFERROR(__xludf.DUMMYFUNCTION("""COMPUTED_VALUE"""),253)</f>
        <v>253</v>
      </c>
    </row>
    <row r="358" spans="1:12" ht="15.5">
      <c r="A358" s="9" t="s">
        <v>805</v>
      </c>
      <c r="B358" s="7" t="s">
        <v>838</v>
      </c>
      <c r="C358" s="7" t="s">
        <v>13</v>
      </c>
      <c r="D358" s="7">
        <v>2023</v>
      </c>
      <c r="E358" s="7">
        <v>32.869999999999997</v>
      </c>
      <c r="F358" s="7">
        <v>401</v>
      </c>
      <c r="G358" s="7">
        <v>1</v>
      </c>
      <c r="I358" s="6" t="s">
        <v>839</v>
      </c>
      <c r="J358" s="7" t="s">
        <v>840</v>
      </c>
      <c r="K358" s="8">
        <v>48.23</v>
      </c>
      <c r="L358" s="7">
        <f ca="1">IFERROR(__xludf.DUMMYFUNCTION("""COMPUTED_VALUE"""),42)</f>
        <v>42</v>
      </c>
    </row>
    <row r="359" spans="1:12" ht="15.5">
      <c r="A359" s="12" t="s">
        <v>821</v>
      </c>
      <c r="B359" s="13" t="s">
        <v>841</v>
      </c>
      <c r="C359" s="13" t="s">
        <v>62</v>
      </c>
      <c r="D359" s="13">
        <v>2023</v>
      </c>
      <c r="E359" s="13">
        <v>74.180000000000007</v>
      </c>
      <c r="F359" s="13">
        <v>84</v>
      </c>
      <c r="G359" s="13">
        <v>6</v>
      </c>
      <c r="H359" s="13"/>
      <c r="I359" s="6">
        <v>100</v>
      </c>
      <c r="J359" s="13" t="s">
        <v>780</v>
      </c>
      <c r="K359" s="14">
        <v>17.21</v>
      </c>
      <c r="L359" s="7">
        <f ca="1">IFERROR(__xludf.DUMMYFUNCTION("""COMPUTED_VALUE"""),378)</f>
        <v>378</v>
      </c>
    </row>
    <row r="360" spans="1:12" ht="15.5">
      <c r="A360" s="4" t="s">
        <v>842</v>
      </c>
      <c r="B360" s="5" t="s">
        <v>843</v>
      </c>
      <c r="C360" s="5" t="s">
        <v>13</v>
      </c>
      <c r="D360" s="5">
        <v>2023</v>
      </c>
      <c r="E360" s="5">
        <v>68.94</v>
      </c>
      <c r="F360" s="5">
        <v>310</v>
      </c>
      <c r="G360" s="5">
        <v>5</v>
      </c>
      <c r="H360" s="5">
        <v>24035.35</v>
      </c>
      <c r="I360" s="15" t="s">
        <v>844</v>
      </c>
      <c r="J360" s="5" t="s">
        <v>845</v>
      </c>
      <c r="K360" s="8">
        <v>13.75</v>
      </c>
      <c r="L360" s="7">
        <f ca="1">IFERROR(__xludf.DUMMYFUNCTION("""COMPUTED_VALUE"""),328)</f>
        <v>328</v>
      </c>
    </row>
    <row r="361" spans="1:12" ht="15.5">
      <c r="A361" s="9" t="s">
        <v>842</v>
      </c>
      <c r="B361" s="7" t="s">
        <v>846</v>
      </c>
      <c r="C361" s="7" t="s">
        <v>13</v>
      </c>
      <c r="D361" s="7">
        <v>2023</v>
      </c>
      <c r="E361" s="7">
        <v>59.35</v>
      </c>
      <c r="F361" s="7">
        <v>352</v>
      </c>
      <c r="G361" s="7">
        <v>3</v>
      </c>
      <c r="H361" s="7">
        <v>3507.77</v>
      </c>
      <c r="I361" s="6" t="s">
        <v>572</v>
      </c>
      <c r="J361" s="7" t="s">
        <v>403</v>
      </c>
      <c r="K361" s="8">
        <v>12.31</v>
      </c>
      <c r="L361" s="7">
        <f ca="1">IFERROR(__xludf.DUMMYFUNCTION("""COMPUTED_VALUE"""),163)</f>
        <v>163</v>
      </c>
    </row>
    <row r="362" spans="1:12" ht="15.5">
      <c r="A362" s="9" t="s">
        <v>842</v>
      </c>
      <c r="B362" s="7" t="s">
        <v>847</v>
      </c>
      <c r="C362" s="7" t="s">
        <v>13</v>
      </c>
      <c r="D362" s="7">
        <v>2023</v>
      </c>
      <c r="E362" s="7">
        <v>69.290000000000006</v>
      </c>
      <c r="F362" s="7">
        <v>306</v>
      </c>
      <c r="G362" s="7">
        <v>5</v>
      </c>
      <c r="H362" s="7">
        <v>52895.69</v>
      </c>
      <c r="I362" s="6" t="s">
        <v>848</v>
      </c>
      <c r="J362" s="7" t="s">
        <v>663</v>
      </c>
      <c r="K362" s="8">
        <v>17.059999999999999</v>
      </c>
      <c r="L362" s="7">
        <f ca="1">IFERROR(__xludf.DUMMYFUNCTION("""COMPUTED_VALUE"""),183)</f>
        <v>183</v>
      </c>
    </row>
    <row r="363" spans="1:12" ht="15.5">
      <c r="A363" s="9" t="s">
        <v>842</v>
      </c>
      <c r="B363" s="7" t="s">
        <v>849</v>
      </c>
      <c r="C363" s="7" t="s">
        <v>13</v>
      </c>
      <c r="D363" s="7">
        <v>2023</v>
      </c>
      <c r="E363" s="7">
        <v>69.489999999999995</v>
      </c>
      <c r="F363" s="7">
        <v>302</v>
      </c>
      <c r="G363" s="7">
        <v>5</v>
      </c>
      <c r="H363" s="7">
        <v>18727.91</v>
      </c>
      <c r="I363" s="6" t="s">
        <v>850</v>
      </c>
      <c r="J363" s="7" t="s">
        <v>230</v>
      </c>
      <c r="K363" s="8">
        <v>10.96</v>
      </c>
      <c r="L363" s="7">
        <f ca="1">IFERROR(__xludf.DUMMYFUNCTION("""COMPUTED_VALUE"""),382)</f>
        <v>382</v>
      </c>
    </row>
    <row r="364" spans="1:12" ht="15.5">
      <c r="A364" s="9" t="s">
        <v>842</v>
      </c>
      <c r="B364" s="7" t="s">
        <v>851</v>
      </c>
      <c r="C364" s="7" t="s">
        <v>13</v>
      </c>
      <c r="D364" s="7">
        <v>2023</v>
      </c>
      <c r="E364" s="7">
        <v>74.739999999999995</v>
      </c>
      <c r="F364" s="7">
        <v>244</v>
      </c>
      <c r="G364" s="7">
        <v>5</v>
      </c>
      <c r="H364" s="7">
        <v>28161.01</v>
      </c>
      <c r="I364" s="6" t="s">
        <v>852</v>
      </c>
      <c r="J364" s="7" t="s">
        <v>437</v>
      </c>
      <c r="K364" s="8">
        <v>10.33</v>
      </c>
      <c r="L364" s="7">
        <f ca="1">IFERROR(__xludf.DUMMYFUNCTION("""COMPUTED_VALUE"""),213)</f>
        <v>213</v>
      </c>
    </row>
    <row r="365" spans="1:12" ht="15.5">
      <c r="A365" s="9" t="s">
        <v>842</v>
      </c>
      <c r="B365" s="7" t="s">
        <v>853</v>
      </c>
      <c r="C365" s="7" t="s">
        <v>13</v>
      </c>
      <c r="D365" s="7">
        <v>2023</v>
      </c>
      <c r="E365" s="7">
        <v>57.59</v>
      </c>
      <c r="F365" s="7">
        <v>361</v>
      </c>
      <c r="G365" s="7">
        <v>3</v>
      </c>
      <c r="H365" s="7">
        <v>10587.2</v>
      </c>
      <c r="I365" s="6" t="s">
        <v>854</v>
      </c>
      <c r="J365" s="7" t="s">
        <v>68</v>
      </c>
      <c r="K365" s="8">
        <v>12.01</v>
      </c>
      <c r="L365" s="7">
        <f ca="1">IFERROR(__xludf.DUMMYFUNCTION("""COMPUTED_VALUE"""),317)</f>
        <v>317</v>
      </c>
    </row>
    <row r="366" spans="1:12" ht="15.5">
      <c r="A366" s="9" t="s">
        <v>842</v>
      </c>
      <c r="B366" s="7" t="s">
        <v>855</v>
      </c>
      <c r="C366" s="7" t="s">
        <v>13</v>
      </c>
      <c r="D366" s="7">
        <v>2023</v>
      </c>
      <c r="E366" s="7">
        <v>56.76</v>
      </c>
      <c r="F366" s="7">
        <v>362</v>
      </c>
      <c r="G366" s="7">
        <v>3</v>
      </c>
      <c r="H366" s="7">
        <v>5844.52</v>
      </c>
      <c r="I366" s="6" t="s">
        <v>856</v>
      </c>
      <c r="J366" s="7" t="s">
        <v>857</v>
      </c>
      <c r="K366" s="8">
        <v>9.32</v>
      </c>
      <c r="L366" s="7">
        <f ca="1">IFERROR(__xludf.DUMMYFUNCTION("""COMPUTED_VALUE"""),331)</f>
        <v>331</v>
      </c>
    </row>
    <row r="367" spans="1:12" ht="15.5">
      <c r="A367" s="9" t="s">
        <v>842</v>
      </c>
      <c r="B367" s="7" t="s">
        <v>858</v>
      </c>
      <c r="C367" s="7" t="s">
        <v>13</v>
      </c>
      <c r="D367" s="7">
        <v>2023</v>
      </c>
      <c r="E367" s="7">
        <v>61.68</v>
      </c>
      <c r="F367" s="7">
        <v>340</v>
      </c>
      <c r="G367" s="7">
        <v>4</v>
      </c>
      <c r="H367" s="7">
        <v>16745.59</v>
      </c>
      <c r="I367" s="6" t="s">
        <v>515</v>
      </c>
      <c r="J367" s="7" t="s">
        <v>859</v>
      </c>
      <c r="K367" s="8">
        <v>12.77</v>
      </c>
      <c r="L367" s="7">
        <f ca="1">IFERROR(__xludf.DUMMYFUNCTION("""COMPUTED_VALUE"""),63)</f>
        <v>63</v>
      </c>
    </row>
    <row r="368" spans="1:12" ht="15.5">
      <c r="A368" s="9" t="s">
        <v>842</v>
      </c>
      <c r="B368" s="7" t="s">
        <v>860</v>
      </c>
      <c r="C368" s="7" t="s">
        <v>13</v>
      </c>
      <c r="D368" s="7">
        <v>2023</v>
      </c>
      <c r="E368" s="7">
        <v>67.45</v>
      </c>
      <c r="F368" s="7">
        <v>314</v>
      </c>
      <c r="G368" s="7">
        <v>4</v>
      </c>
      <c r="H368" s="7">
        <v>34555.49</v>
      </c>
      <c r="I368" s="6" t="s">
        <v>14</v>
      </c>
      <c r="J368" s="7" t="s">
        <v>861</v>
      </c>
      <c r="K368" s="8">
        <v>12.62</v>
      </c>
      <c r="L368" s="7">
        <f ca="1">IFERROR(__xludf.DUMMYFUNCTION("""COMPUTED_VALUE"""),372)</f>
        <v>372</v>
      </c>
    </row>
    <row r="369" spans="1:12" ht="15.5">
      <c r="A369" s="9" t="s">
        <v>842</v>
      </c>
      <c r="B369" s="7" t="s">
        <v>862</v>
      </c>
      <c r="C369" s="7" t="s">
        <v>13</v>
      </c>
      <c r="D369" s="7">
        <v>2023</v>
      </c>
      <c r="E369" s="7">
        <v>70.47</v>
      </c>
      <c r="F369" s="7">
        <v>293</v>
      </c>
      <c r="G369" s="7">
        <v>5</v>
      </c>
      <c r="H369" s="7">
        <v>9033.6200000000008</v>
      </c>
      <c r="I369" s="6" t="s">
        <v>863</v>
      </c>
      <c r="J369" s="7" t="s">
        <v>864</v>
      </c>
      <c r="K369" s="8">
        <v>15.95</v>
      </c>
      <c r="L369" s="7">
        <f ca="1">IFERROR(__xludf.DUMMYFUNCTION("""COMPUTED_VALUE"""),222)</f>
        <v>222</v>
      </c>
    </row>
    <row r="370" spans="1:12" ht="15.5">
      <c r="A370" s="9" t="s">
        <v>842</v>
      </c>
      <c r="B370" s="7" t="s">
        <v>865</v>
      </c>
      <c r="C370" s="7" t="s">
        <v>62</v>
      </c>
      <c r="D370" s="7">
        <v>2023</v>
      </c>
      <c r="E370" s="7">
        <v>89.81</v>
      </c>
      <c r="F370" s="7">
        <v>16</v>
      </c>
      <c r="G370" s="7">
        <v>6</v>
      </c>
      <c r="I370" s="6">
        <v>100</v>
      </c>
      <c r="J370" s="7" t="s">
        <v>765</v>
      </c>
      <c r="K370" s="8">
        <v>11.75</v>
      </c>
      <c r="L370" s="7">
        <f ca="1">IFERROR(__xludf.DUMMYFUNCTION("""COMPUTED_VALUE"""),93)</f>
        <v>93</v>
      </c>
    </row>
    <row r="371" spans="1:12" ht="15.5">
      <c r="A371" s="12" t="s">
        <v>842</v>
      </c>
      <c r="B371" s="13" t="s">
        <v>866</v>
      </c>
      <c r="C371" s="13" t="s">
        <v>62</v>
      </c>
      <c r="D371" s="13">
        <v>2023</v>
      </c>
      <c r="E371" s="13">
        <v>78.61</v>
      </c>
      <c r="F371" s="13">
        <v>73</v>
      </c>
      <c r="G371" s="13">
        <v>6</v>
      </c>
      <c r="H371" s="13">
        <v>5095.87</v>
      </c>
      <c r="I371" s="16" t="s">
        <v>867</v>
      </c>
      <c r="J371" s="13" t="s">
        <v>817</v>
      </c>
      <c r="K371" s="14">
        <v>12.42</v>
      </c>
      <c r="L371" s="7">
        <f ca="1">IFERROR(__xludf.DUMMYFUNCTION("""COMPUTED_VALUE"""),128)</f>
        <v>128</v>
      </c>
    </row>
    <row r="372" spans="1:12" ht="15.5">
      <c r="A372" s="4" t="s">
        <v>868</v>
      </c>
      <c r="B372" s="5" t="s">
        <v>869</v>
      </c>
      <c r="C372" s="5" t="s">
        <v>13</v>
      </c>
      <c r="D372" s="5">
        <v>2023</v>
      </c>
      <c r="E372" s="5">
        <v>66.33</v>
      </c>
      <c r="F372" s="5">
        <v>321</v>
      </c>
      <c r="G372" s="5">
        <v>4</v>
      </c>
      <c r="H372" s="5">
        <v>4303.05</v>
      </c>
      <c r="I372" s="6" t="s">
        <v>103</v>
      </c>
      <c r="J372" s="5" t="s">
        <v>189</v>
      </c>
      <c r="K372" s="8">
        <v>6.66</v>
      </c>
      <c r="L372" s="7">
        <f ca="1">IFERROR(__xludf.DUMMYFUNCTION("""COMPUTED_VALUE"""),374)</f>
        <v>374</v>
      </c>
    </row>
    <row r="373" spans="1:12" ht="15.5">
      <c r="A373" s="9" t="s">
        <v>868</v>
      </c>
      <c r="B373" s="7" t="s">
        <v>870</v>
      </c>
      <c r="C373" s="7" t="s">
        <v>13</v>
      </c>
      <c r="D373" s="7">
        <v>2023</v>
      </c>
      <c r="E373" s="7">
        <v>74.59</v>
      </c>
      <c r="F373" s="7">
        <v>246</v>
      </c>
      <c r="G373" s="7">
        <v>5</v>
      </c>
      <c r="H373" s="7">
        <v>168962.96</v>
      </c>
      <c r="I373" s="6" t="s">
        <v>871</v>
      </c>
      <c r="J373" s="7" t="s">
        <v>620</v>
      </c>
      <c r="K373" s="8">
        <v>8.65</v>
      </c>
      <c r="L373" s="7">
        <f ca="1">IFERROR(__xludf.DUMMYFUNCTION("""COMPUTED_VALUE"""),150)</f>
        <v>150</v>
      </c>
    </row>
    <row r="374" spans="1:12" ht="15.5">
      <c r="A374" s="9" t="s">
        <v>868</v>
      </c>
      <c r="B374" s="7" t="s">
        <v>872</v>
      </c>
      <c r="C374" s="7" t="s">
        <v>13</v>
      </c>
      <c r="D374" s="7">
        <v>2023</v>
      </c>
      <c r="E374" s="7">
        <v>72.650000000000006</v>
      </c>
      <c r="F374" s="7">
        <v>272</v>
      </c>
      <c r="G374" s="7">
        <v>5</v>
      </c>
      <c r="H374" s="7">
        <v>50554.04</v>
      </c>
      <c r="I374" s="6" t="s">
        <v>873</v>
      </c>
      <c r="J374" s="7" t="s">
        <v>874</v>
      </c>
      <c r="K374" s="8">
        <v>14.95</v>
      </c>
      <c r="L374" s="7">
        <f ca="1">IFERROR(__xludf.DUMMYFUNCTION("""COMPUTED_VALUE"""),269)</f>
        <v>269</v>
      </c>
    </row>
    <row r="375" spans="1:12" ht="15.5">
      <c r="A375" s="9" t="s">
        <v>868</v>
      </c>
      <c r="B375" s="7" t="s">
        <v>875</v>
      </c>
      <c r="C375" s="7" t="s">
        <v>13</v>
      </c>
      <c r="D375" s="7">
        <v>2023</v>
      </c>
      <c r="E375" s="7">
        <v>82.26</v>
      </c>
      <c r="F375" s="7">
        <v>113</v>
      </c>
      <c r="G375" s="7">
        <v>6</v>
      </c>
      <c r="H375" s="7">
        <v>52532.31</v>
      </c>
      <c r="I375" s="6" t="s">
        <v>876</v>
      </c>
      <c r="J375" s="7" t="s">
        <v>877</v>
      </c>
      <c r="K375" s="8">
        <v>7.35</v>
      </c>
      <c r="L375" s="7">
        <f ca="1">IFERROR(__xludf.DUMMYFUNCTION("""COMPUTED_VALUE"""),170)</f>
        <v>170</v>
      </c>
    </row>
    <row r="376" spans="1:12" ht="15.5">
      <c r="A376" s="9" t="s">
        <v>868</v>
      </c>
      <c r="B376" s="7" t="s">
        <v>878</v>
      </c>
      <c r="C376" s="7" t="s">
        <v>13</v>
      </c>
      <c r="D376" s="7">
        <v>2023</v>
      </c>
      <c r="E376" s="7">
        <v>60.1</v>
      </c>
      <c r="F376" s="7">
        <v>348</v>
      </c>
      <c r="G376" s="7">
        <v>4</v>
      </c>
      <c r="H376" s="7">
        <v>2344.16</v>
      </c>
      <c r="I376" s="6" t="s">
        <v>879</v>
      </c>
      <c r="J376" s="7" t="s">
        <v>880</v>
      </c>
      <c r="K376" s="8">
        <v>5.48</v>
      </c>
      <c r="L376" s="7">
        <f ca="1">IFERROR(__xludf.DUMMYFUNCTION("""COMPUTED_VALUE"""),379)</f>
        <v>379</v>
      </c>
    </row>
    <row r="377" spans="1:12" ht="15.5">
      <c r="A377" s="12" t="s">
        <v>868</v>
      </c>
      <c r="B377" s="13" t="s">
        <v>881</v>
      </c>
      <c r="C377" s="13" t="s">
        <v>13</v>
      </c>
      <c r="D377" s="13">
        <v>2023</v>
      </c>
      <c r="E377" s="13">
        <v>82.26</v>
      </c>
      <c r="F377" s="13">
        <v>112</v>
      </c>
      <c r="G377" s="13">
        <v>6</v>
      </c>
      <c r="H377" s="13">
        <v>15330.16</v>
      </c>
      <c r="I377" s="16" t="s">
        <v>882</v>
      </c>
      <c r="J377" s="13" t="s">
        <v>99</v>
      </c>
      <c r="K377" s="14">
        <v>7.4</v>
      </c>
      <c r="L377" s="7">
        <f ca="1">IFERROR(__xludf.DUMMYFUNCTION("""COMPUTED_VALUE"""),124)</f>
        <v>124</v>
      </c>
    </row>
    <row r="378" spans="1:12" ht="15.5">
      <c r="A378" s="4" t="s">
        <v>883</v>
      </c>
      <c r="B378" s="5" t="s">
        <v>884</v>
      </c>
      <c r="C378" s="5" t="s">
        <v>13</v>
      </c>
      <c r="D378" s="5">
        <v>2023</v>
      </c>
      <c r="E378" s="5">
        <v>71.87</v>
      </c>
      <c r="F378" s="5">
        <v>280</v>
      </c>
      <c r="G378" s="5">
        <v>5</v>
      </c>
      <c r="H378" s="5">
        <v>6191.5</v>
      </c>
      <c r="I378" s="6" t="s">
        <v>885</v>
      </c>
      <c r="J378" s="5" t="s">
        <v>886</v>
      </c>
      <c r="K378" s="8">
        <v>8.14</v>
      </c>
      <c r="L378" s="7">
        <f ca="1">IFERROR(__xludf.DUMMYFUNCTION("""COMPUTED_VALUE"""),160)</f>
        <v>160</v>
      </c>
    </row>
    <row r="379" spans="1:12" ht="15.5">
      <c r="A379" s="9" t="s">
        <v>883</v>
      </c>
      <c r="B379" s="7" t="s">
        <v>887</v>
      </c>
      <c r="C379" s="7" t="s">
        <v>13</v>
      </c>
      <c r="D379" s="7">
        <v>2023</v>
      </c>
      <c r="E379" s="7">
        <v>83.03</v>
      </c>
      <c r="F379" s="7">
        <v>100</v>
      </c>
      <c r="G379" s="7">
        <v>6</v>
      </c>
      <c r="H379" s="7">
        <v>209198.56</v>
      </c>
      <c r="I379" s="6" t="s">
        <v>888</v>
      </c>
      <c r="J379" s="7" t="s">
        <v>446</v>
      </c>
      <c r="K379" s="8">
        <v>10.71</v>
      </c>
      <c r="L379" s="7">
        <f ca="1">IFERROR(__xludf.DUMMYFUNCTION("""COMPUTED_VALUE"""),96)</f>
        <v>96</v>
      </c>
    </row>
    <row r="380" spans="1:12" ht="15.5">
      <c r="A380" s="9" t="s">
        <v>883</v>
      </c>
      <c r="B380" s="7" t="s">
        <v>889</v>
      </c>
      <c r="C380" s="7" t="s">
        <v>13</v>
      </c>
      <c r="D380" s="7">
        <v>2023</v>
      </c>
      <c r="E380" s="7">
        <v>85.38</v>
      </c>
      <c r="F380" s="7">
        <v>51</v>
      </c>
      <c r="G380" s="7">
        <v>6</v>
      </c>
      <c r="H380" s="7">
        <v>48955.39</v>
      </c>
      <c r="I380" s="6">
        <v>100</v>
      </c>
      <c r="J380" s="7" t="s">
        <v>309</v>
      </c>
      <c r="K380" s="8">
        <v>8.9700000000000006</v>
      </c>
      <c r="L380" s="7">
        <f ca="1">IFERROR(__xludf.DUMMYFUNCTION("""COMPUTED_VALUE"""),146)</f>
        <v>146</v>
      </c>
    </row>
    <row r="381" spans="1:12" ht="15.5">
      <c r="A381" s="9" t="s">
        <v>883</v>
      </c>
      <c r="B381" s="7" t="s">
        <v>890</v>
      </c>
      <c r="C381" s="7" t="s">
        <v>13</v>
      </c>
      <c r="D381" s="7">
        <v>2023</v>
      </c>
      <c r="E381" s="7">
        <v>79.69</v>
      </c>
      <c r="F381" s="7">
        <v>165</v>
      </c>
      <c r="G381" s="7">
        <v>6</v>
      </c>
      <c r="H381" s="7">
        <v>114648.05</v>
      </c>
      <c r="I381" s="6" t="s">
        <v>656</v>
      </c>
      <c r="J381" s="7" t="s">
        <v>783</v>
      </c>
      <c r="K381" s="8">
        <v>11.41</v>
      </c>
      <c r="L381" s="7">
        <f ca="1">IFERROR(__xludf.DUMMYFUNCTION("""COMPUTED_VALUE"""),149)</f>
        <v>149</v>
      </c>
    </row>
    <row r="382" spans="1:12" ht="15.5">
      <c r="A382" s="9" t="s">
        <v>883</v>
      </c>
      <c r="B382" s="7" t="s">
        <v>891</v>
      </c>
      <c r="C382" s="7" t="s">
        <v>13</v>
      </c>
      <c r="D382" s="7">
        <v>2023</v>
      </c>
      <c r="E382" s="7">
        <v>84.39</v>
      </c>
      <c r="F382" s="7">
        <v>71</v>
      </c>
      <c r="G382" s="7">
        <v>6</v>
      </c>
      <c r="H382" s="7">
        <v>121778.76</v>
      </c>
      <c r="I382" s="6" t="s">
        <v>535</v>
      </c>
      <c r="J382" s="7" t="s">
        <v>892</v>
      </c>
      <c r="K382" s="8">
        <v>9.7100000000000009</v>
      </c>
      <c r="L382" s="7">
        <f ca="1">IFERROR(__xludf.DUMMYFUNCTION("""COMPUTED_VALUE"""),114)</f>
        <v>114</v>
      </c>
    </row>
    <row r="383" spans="1:12" ht="15.5">
      <c r="A383" s="9" t="s">
        <v>883</v>
      </c>
      <c r="B383" s="7" t="s">
        <v>893</v>
      </c>
      <c r="C383" s="7" t="s">
        <v>13</v>
      </c>
      <c r="D383" s="7">
        <v>2023</v>
      </c>
      <c r="E383" s="7">
        <v>85.24</v>
      </c>
      <c r="F383" s="7">
        <v>58</v>
      </c>
      <c r="G383" s="7">
        <v>6</v>
      </c>
      <c r="H383" s="7">
        <v>221124.05</v>
      </c>
      <c r="I383" s="6" t="s">
        <v>106</v>
      </c>
      <c r="J383" s="7" t="s">
        <v>505</v>
      </c>
      <c r="K383" s="8">
        <v>8.42</v>
      </c>
      <c r="L383" s="7">
        <f ca="1">IFERROR(__xludf.DUMMYFUNCTION("""COMPUTED_VALUE"""),147)</f>
        <v>147</v>
      </c>
    </row>
    <row r="384" spans="1:12" ht="15.5">
      <c r="A384" s="9" t="s">
        <v>883</v>
      </c>
      <c r="B384" s="7" t="s">
        <v>894</v>
      </c>
      <c r="C384" s="7" t="s">
        <v>13</v>
      </c>
      <c r="D384" s="7">
        <v>2023</v>
      </c>
      <c r="E384" s="7">
        <v>82.73</v>
      </c>
      <c r="F384" s="7">
        <v>106</v>
      </c>
      <c r="G384" s="7">
        <v>6</v>
      </c>
      <c r="H384" s="7">
        <v>108617.68</v>
      </c>
      <c r="I384" s="6" t="s">
        <v>895</v>
      </c>
      <c r="J384" s="7" t="s">
        <v>467</v>
      </c>
      <c r="K384" s="8">
        <v>8.58</v>
      </c>
      <c r="L384" s="7">
        <f ca="1">IFERROR(__xludf.DUMMYFUNCTION("""COMPUTED_VALUE"""),247)</f>
        <v>247</v>
      </c>
    </row>
    <row r="385" spans="1:12" ht="15.5">
      <c r="A385" s="9" t="s">
        <v>883</v>
      </c>
      <c r="B385" s="7" t="s">
        <v>896</v>
      </c>
      <c r="C385" s="7" t="s">
        <v>13</v>
      </c>
      <c r="D385" s="7">
        <v>2023</v>
      </c>
      <c r="E385" s="7">
        <v>83.74</v>
      </c>
      <c r="F385" s="7">
        <v>81</v>
      </c>
      <c r="G385" s="7">
        <v>6</v>
      </c>
      <c r="H385" s="7">
        <v>182344.01</v>
      </c>
      <c r="I385" s="6" t="s">
        <v>54</v>
      </c>
      <c r="J385" s="7" t="s">
        <v>253</v>
      </c>
      <c r="K385" s="8">
        <v>7.15</v>
      </c>
      <c r="L385" s="7">
        <f ca="1">IFERROR(__xludf.DUMMYFUNCTION("""COMPUTED_VALUE"""),177)</f>
        <v>177</v>
      </c>
    </row>
    <row r="386" spans="1:12" ht="15.5">
      <c r="A386" s="9" t="s">
        <v>883</v>
      </c>
      <c r="B386" s="7" t="s">
        <v>897</v>
      </c>
      <c r="C386" s="7" t="s">
        <v>13</v>
      </c>
      <c r="D386" s="7">
        <v>2023</v>
      </c>
      <c r="E386" s="7">
        <v>79.47</v>
      </c>
      <c r="F386" s="7">
        <v>167</v>
      </c>
      <c r="G386" s="7">
        <v>6</v>
      </c>
      <c r="H386" s="7">
        <v>113755.41</v>
      </c>
      <c r="I386" s="6" t="s">
        <v>898</v>
      </c>
      <c r="J386" s="7" t="s">
        <v>899</v>
      </c>
      <c r="K386" s="8">
        <v>4.17</v>
      </c>
      <c r="L386" s="7">
        <f ca="1">IFERROR(__xludf.DUMMYFUNCTION("""COMPUTED_VALUE"""),265)</f>
        <v>265</v>
      </c>
    </row>
    <row r="387" spans="1:12" ht="15.5">
      <c r="A387" s="9" t="s">
        <v>883</v>
      </c>
      <c r="B387" s="7" t="s">
        <v>900</v>
      </c>
      <c r="C387" s="7" t="s">
        <v>13</v>
      </c>
      <c r="D387" s="7">
        <v>2023</v>
      </c>
      <c r="E387" s="7">
        <v>87.71</v>
      </c>
      <c r="F387" s="7">
        <v>17</v>
      </c>
      <c r="G387" s="7">
        <v>6</v>
      </c>
      <c r="H387" s="7">
        <v>111516.28</v>
      </c>
      <c r="I387" s="6" t="s">
        <v>901</v>
      </c>
      <c r="J387" s="7" t="s">
        <v>204</v>
      </c>
      <c r="K387" s="8">
        <v>8.1999999999999993</v>
      </c>
      <c r="L387" s="7">
        <f ca="1">IFERROR(__xludf.DUMMYFUNCTION("""COMPUTED_VALUE"""),270)</f>
        <v>270</v>
      </c>
    </row>
    <row r="388" spans="1:12" ht="15.5">
      <c r="A388" s="9" t="s">
        <v>883</v>
      </c>
      <c r="B388" s="7" t="s">
        <v>902</v>
      </c>
      <c r="C388" s="7" t="s">
        <v>13</v>
      </c>
      <c r="D388" s="7">
        <v>2023</v>
      </c>
      <c r="E388" s="7">
        <v>83.86</v>
      </c>
      <c r="F388" s="7">
        <v>79</v>
      </c>
      <c r="G388" s="7">
        <v>6</v>
      </c>
      <c r="H388" s="7">
        <v>861230.25</v>
      </c>
      <c r="I388" s="6" t="s">
        <v>903</v>
      </c>
      <c r="J388" s="7" t="s">
        <v>700</v>
      </c>
      <c r="K388" s="8">
        <v>12.55</v>
      </c>
      <c r="L388" s="7">
        <f ca="1">IFERROR(__xludf.DUMMYFUNCTION("""COMPUTED_VALUE"""),166)</f>
        <v>166</v>
      </c>
    </row>
    <row r="389" spans="1:12" ht="15.5">
      <c r="A389" s="9" t="s">
        <v>883</v>
      </c>
      <c r="B389" s="7" t="s">
        <v>904</v>
      </c>
      <c r="C389" s="7" t="s">
        <v>13</v>
      </c>
      <c r="D389" s="7">
        <v>2023</v>
      </c>
      <c r="E389" s="7">
        <v>86.35</v>
      </c>
      <c r="F389" s="7">
        <v>36</v>
      </c>
      <c r="G389" s="7">
        <v>6</v>
      </c>
      <c r="H389" s="7">
        <v>270347.13</v>
      </c>
      <c r="I389" s="6" t="s">
        <v>905</v>
      </c>
      <c r="J389" s="7" t="s">
        <v>906</v>
      </c>
      <c r="K389" s="8">
        <v>13.14</v>
      </c>
      <c r="L389" s="7">
        <f ca="1">IFERROR(__xludf.DUMMYFUNCTION("""COMPUTED_VALUE"""),174)</f>
        <v>174</v>
      </c>
    </row>
    <row r="390" spans="1:12" ht="15.5">
      <c r="A390" s="9" t="s">
        <v>883</v>
      </c>
      <c r="B390" s="7" t="s">
        <v>907</v>
      </c>
      <c r="C390" s="7" t="s">
        <v>13</v>
      </c>
      <c r="D390" s="7">
        <v>2023</v>
      </c>
      <c r="E390" s="7">
        <v>84.36</v>
      </c>
      <c r="F390" s="7">
        <v>73</v>
      </c>
      <c r="G390" s="7">
        <v>6</v>
      </c>
      <c r="H390" s="7">
        <v>686335.43</v>
      </c>
      <c r="I390" s="6" t="s">
        <v>908</v>
      </c>
      <c r="J390" s="7" t="s">
        <v>909</v>
      </c>
      <c r="K390" s="8">
        <v>6.67</v>
      </c>
      <c r="L390" s="7">
        <f ca="1">IFERROR(__xludf.DUMMYFUNCTION("""COMPUTED_VALUE"""),179)</f>
        <v>179</v>
      </c>
    </row>
    <row r="391" spans="1:12" ht="15.5">
      <c r="A391" s="9" t="s">
        <v>883</v>
      </c>
      <c r="B391" s="7" t="s">
        <v>910</v>
      </c>
      <c r="C391" s="7" t="s">
        <v>13</v>
      </c>
      <c r="D391" s="7">
        <v>2023</v>
      </c>
      <c r="E391" s="7">
        <v>87.52</v>
      </c>
      <c r="F391" s="7">
        <v>20</v>
      </c>
      <c r="G391" s="7">
        <v>6</v>
      </c>
      <c r="H391" s="7">
        <v>502651.56</v>
      </c>
      <c r="I391" s="6" t="s">
        <v>659</v>
      </c>
      <c r="J391" s="7" t="s">
        <v>911</v>
      </c>
      <c r="K391" s="8">
        <v>6.81</v>
      </c>
      <c r="L391" s="7">
        <f ca="1">IFERROR(__xludf.DUMMYFUNCTION("""COMPUTED_VALUE"""),228)</f>
        <v>228</v>
      </c>
    </row>
    <row r="392" spans="1:12" ht="15.5">
      <c r="A392" s="9" t="s">
        <v>883</v>
      </c>
      <c r="B392" s="7" t="s">
        <v>912</v>
      </c>
      <c r="C392" s="7" t="s">
        <v>13</v>
      </c>
      <c r="D392" s="7">
        <v>2023</v>
      </c>
      <c r="E392" s="7">
        <v>87.2</v>
      </c>
      <c r="F392" s="7">
        <v>26</v>
      </c>
      <c r="G392" s="7">
        <v>6</v>
      </c>
      <c r="H392" s="7">
        <v>467149.36</v>
      </c>
      <c r="I392" s="7" t="s">
        <v>250</v>
      </c>
      <c r="J392" s="7" t="s">
        <v>913</v>
      </c>
      <c r="K392" s="8">
        <v>7.1</v>
      </c>
      <c r="L392" s="7">
        <f ca="1">IFERROR(__xludf.DUMMYFUNCTION("""COMPUTED_VALUE"""),225)</f>
        <v>225</v>
      </c>
    </row>
    <row r="393" spans="1:12" ht="15.5">
      <c r="A393" s="9" t="s">
        <v>883</v>
      </c>
      <c r="B393" s="7" t="s">
        <v>914</v>
      </c>
      <c r="C393" s="7" t="s">
        <v>13</v>
      </c>
      <c r="D393" s="7">
        <v>2023</v>
      </c>
      <c r="E393" s="7">
        <v>82.12</v>
      </c>
      <c r="F393" s="7">
        <v>115</v>
      </c>
      <c r="G393" s="7">
        <v>6</v>
      </c>
      <c r="H393" s="7">
        <v>35257.26</v>
      </c>
      <c r="I393" s="6" t="s">
        <v>915</v>
      </c>
      <c r="J393" s="7" t="s">
        <v>916</v>
      </c>
      <c r="K393" s="8">
        <v>7.48</v>
      </c>
      <c r="L393" s="7">
        <f ca="1">IFERROR(__xludf.DUMMYFUNCTION("""COMPUTED_VALUE"""),307)</f>
        <v>307</v>
      </c>
    </row>
    <row r="394" spans="1:12" ht="15.5">
      <c r="A394" s="9" t="s">
        <v>883</v>
      </c>
      <c r="B394" s="7" t="s">
        <v>917</v>
      </c>
      <c r="C394" s="7" t="s">
        <v>13</v>
      </c>
      <c r="D394" s="7">
        <v>2023</v>
      </c>
      <c r="E394" s="7">
        <v>81.61</v>
      </c>
      <c r="F394" s="7">
        <v>127</v>
      </c>
      <c r="G394" s="7">
        <v>6</v>
      </c>
      <c r="H394" s="7">
        <v>287155.71999999997</v>
      </c>
      <c r="I394" s="6" t="s">
        <v>918</v>
      </c>
      <c r="J394" s="7" t="s">
        <v>476</v>
      </c>
      <c r="K394" s="8">
        <v>7.61</v>
      </c>
      <c r="L394" s="7">
        <f ca="1">IFERROR(__xludf.DUMMYFUNCTION("""COMPUTED_VALUE"""),256)</f>
        <v>256</v>
      </c>
    </row>
    <row r="395" spans="1:12" ht="15.5">
      <c r="A395" s="9" t="s">
        <v>883</v>
      </c>
      <c r="B395" s="7" t="s">
        <v>919</v>
      </c>
      <c r="C395" s="7" t="s">
        <v>13</v>
      </c>
      <c r="D395" s="7">
        <v>2023</v>
      </c>
      <c r="E395" s="7">
        <v>77.739999999999995</v>
      </c>
      <c r="F395" s="7">
        <v>196</v>
      </c>
      <c r="G395" s="7">
        <v>6</v>
      </c>
      <c r="H395" s="7">
        <v>70869.460000000006</v>
      </c>
      <c r="I395" s="6" t="s">
        <v>920</v>
      </c>
      <c r="J395" s="7" t="s">
        <v>75</v>
      </c>
      <c r="K395" s="8">
        <v>9.67</v>
      </c>
      <c r="L395" s="7">
        <f ca="1">IFERROR(__xludf.DUMMYFUNCTION("""COMPUTED_VALUE"""),346)</f>
        <v>346</v>
      </c>
    </row>
    <row r="396" spans="1:12" ht="15.5">
      <c r="A396" s="9" t="s">
        <v>883</v>
      </c>
      <c r="B396" s="7" t="s">
        <v>921</v>
      </c>
      <c r="C396" s="7" t="s">
        <v>13</v>
      </c>
      <c r="D396" s="7">
        <v>2023</v>
      </c>
      <c r="E396" s="7">
        <v>83.03</v>
      </c>
      <c r="F396" s="7">
        <v>101</v>
      </c>
      <c r="G396" s="7">
        <v>6</v>
      </c>
      <c r="H396" s="7">
        <v>189007.92</v>
      </c>
      <c r="I396" s="6" t="s">
        <v>922</v>
      </c>
      <c r="J396" s="7" t="s">
        <v>259</v>
      </c>
      <c r="K396" s="8">
        <v>5.38</v>
      </c>
      <c r="L396" s="7">
        <f ca="1">IFERROR(__xludf.DUMMYFUNCTION("""COMPUTED_VALUE"""),285)</f>
        <v>285</v>
      </c>
    </row>
    <row r="397" spans="1:12" ht="15.5">
      <c r="A397" s="9" t="s">
        <v>883</v>
      </c>
      <c r="B397" s="7" t="s">
        <v>923</v>
      </c>
      <c r="C397" s="7" t="s">
        <v>13</v>
      </c>
      <c r="D397" s="7">
        <v>2023</v>
      </c>
      <c r="E397" s="7">
        <v>87.82</v>
      </c>
      <c r="F397" s="7">
        <v>15</v>
      </c>
      <c r="G397" s="7">
        <v>6</v>
      </c>
      <c r="H397" s="7">
        <v>213546.34</v>
      </c>
      <c r="I397" s="6" t="s">
        <v>924</v>
      </c>
      <c r="J397" s="7" t="s">
        <v>925</v>
      </c>
      <c r="K397" s="8">
        <v>6.85</v>
      </c>
      <c r="L397" s="7">
        <f ca="1">IFERROR(__xludf.DUMMYFUNCTION("""COMPUTED_VALUE"""),301)</f>
        <v>301</v>
      </c>
    </row>
    <row r="398" spans="1:12" ht="15.5">
      <c r="A398" s="9" t="s">
        <v>883</v>
      </c>
      <c r="B398" s="7" t="s">
        <v>926</v>
      </c>
      <c r="C398" s="7" t="s">
        <v>13</v>
      </c>
      <c r="D398" s="7">
        <v>2023</v>
      </c>
      <c r="E398" s="7">
        <v>80.44</v>
      </c>
      <c r="F398" s="7">
        <v>151</v>
      </c>
      <c r="G398" s="7">
        <v>6</v>
      </c>
      <c r="H398" s="7">
        <v>88709.26</v>
      </c>
      <c r="I398" s="6" t="s">
        <v>179</v>
      </c>
      <c r="J398" s="7" t="s">
        <v>927</v>
      </c>
      <c r="K398" s="8">
        <v>6.2</v>
      </c>
      <c r="L398" s="7">
        <f ca="1">IFERROR(__xludf.DUMMYFUNCTION("""COMPUTED_VALUE"""),262)</f>
        <v>262</v>
      </c>
    </row>
    <row r="399" spans="1:12" ht="15.5">
      <c r="A399" s="9" t="s">
        <v>883</v>
      </c>
      <c r="B399" s="7" t="s">
        <v>928</v>
      </c>
      <c r="C399" s="7" t="s">
        <v>62</v>
      </c>
      <c r="D399" s="7">
        <v>2023</v>
      </c>
      <c r="E399" s="7">
        <v>89.28</v>
      </c>
      <c r="F399" s="7">
        <v>20</v>
      </c>
      <c r="G399" s="7">
        <v>6</v>
      </c>
      <c r="H399" s="7">
        <v>12446.62</v>
      </c>
      <c r="I399" s="6" t="s">
        <v>929</v>
      </c>
      <c r="J399" s="7" t="s">
        <v>930</v>
      </c>
      <c r="K399" s="8">
        <v>5.18</v>
      </c>
      <c r="L399" s="7">
        <f ca="1">IFERROR(__xludf.DUMMYFUNCTION("""COMPUTED_VALUE"""),277)</f>
        <v>277</v>
      </c>
    </row>
    <row r="400" spans="1:12" ht="15.5">
      <c r="A400" s="9" t="s">
        <v>883</v>
      </c>
      <c r="B400" s="7" t="s">
        <v>931</v>
      </c>
      <c r="C400" s="7" t="s">
        <v>62</v>
      </c>
      <c r="D400" s="7">
        <v>2023</v>
      </c>
      <c r="E400" s="7">
        <v>83.07</v>
      </c>
      <c r="F400" s="7">
        <v>55</v>
      </c>
      <c r="G400" s="7">
        <v>6</v>
      </c>
      <c r="H400" s="7">
        <v>3849.99</v>
      </c>
      <c r="I400" s="6" t="s">
        <v>24</v>
      </c>
      <c r="J400" s="7" t="s">
        <v>932</v>
      </c>
      <c r="K400" s="8">
        <v>6.37</v>
      </c>
      <c r="L400" s="7">
        <f ca="1">IFERROR(__xludf.DUMMYFUNCTION("""COMPUTED_VALUE"""),204)</f>
        <v>204</v>
      </c>
    </row>
    <row r="401" spans="1:12" ht="15.5">
      <c r="A401" s="12" t="s">
        <v>883</v>
      </c>
      <c r="B401" s="13" t="s">
        <v>933</v>
      </c>
      <c r="C401" s="13" t="s">
        <v>62</v>
      </c>
      <c r="D401" s="13">
        <v>2023</v>
      </c>
      <c r="E401" s="13">
        <v>82.93</v>
      </c>
      <c r="F401" s="13">
        <v>56</v>
      </c>
      <c r="G401" s="13">
        <v>6</v>
      </c>
      <c r="H401" s="13">
        <v>16410.37</v>
      </c>
      <c r="I401" s="16" t="s">
        <v>134</v>
      </c>
      <c r="J401" s="13" t="s">
        <v>934</v>
      </c>
      <c r="K401" s="14">
        <v>4.3499999999999996</v>
      </c>
      <c r="L401" s="7">
        <f ca="1">IFERROR(__xludf.DUMMYFUNCTION("""COMPUTED_VALUE"""),191)</f>
        <v>191</v>
      </c>
    </row>
    <row r="402" spans="1:12" ht="15.5">
      <c r="A402" s="4" t="s">
        <v>935</v>
      </c>
      <c r="B402" s="5" t="s">
        <v>936</v>
      </c>
      <c r="C402" s="5" t="s">
        <v>13</v>
      </c>
      <c r="D402" s="5">
        <v>2023</v>
      </c>
      <c r="E402" s="5">
        <v>53.61</v>
      </c>
      <c r="F402" s="5">
        <v>370</v>
      </c>
      <c r="G402" s="5">
        <v>3</v>
      </c>
      <c r="H402" s="5">
        <v>2238.44</v>
      </c>
      <c r="I402" s="6" t="s">
        <v>937</v>
      </c>
      <c r="J402" s="5" t="s">
        <v>927</v>
      </c>
      <c r="K402" s="8">
        <v>16.559999999999999</v>
      </c>
      <c r="L402" s="7">
        <f ca="1">IFERROR(__xludf.DUMMYFUNCTION("""COMPUTED_VALUE"""),254)</f>
        <v>254</v>
      </c>
    </row>
    <row r="403" spans="1:12" ht="15.5">
      <c r="A403" s="9" t="s">
        <v>935</v>
      </c>
      <c r="B403" s="7" t="s">
        <v>938</v>
      </c>
      <c r="C403" s="7" t="s">
        <v>13</v>
      </c>
      <c r="D403" s="7">
        <v>2023</v>
      </c>
      <c r="E403" s="7">
        <v>85.72</v>
      </c>
      <c r="F403" s="7">
        <v>41</v>
      </c>
      <c r="G403" s="7">
        <v>6</v>
      </c>
      <c r="H403" s="7">
        <v>174431.76</v>
      </c>
      <c r="I403" s="6" t="s">
        <v>939</v>
      </c>
      <c r="J403" s="7" t="s">
        <v>739</v>
      </c>
      <c r="K403" s="8">
        <v>9.9499999999999993</v>
      </c>
      <c r="L403" s="7">
        <f ca="1">IFERROR(__xludf.DUMMYFUNCTION("""COMPUTED_VALUE"""),130)</f>
        <v>130</v>
      </c>
    </row>
    <row r="404" spans="1:12" ht="15.5">
      <c r="A404" s="9" t="s">
        <v>935</v>
      </c>
      <c r="B404" s="7" t="s">
        <v>940</v>
      </c>
      <c r="C404" s="7" t="s">
        <v>13</v>
      </c>
      <c r="D404" s="7">
        <v>2023</v>
      </c>
      <c r="E404" s="7">
        <v>82.36</v>
      </c>
      <c r="F404" s="7">
        <v>111</v>
      </c>
      <c r="G404" s="7">
        <v>6</v>
      </c>
      <c r="H404" s="7">
        <v>26115.52</v>
      </c>
      <c r="I404" s="6" t="s">
        <v>941</v>
      </c>
      <c r="J404" s="7" t="s">
        <v>942</v>
      </c>
      <c r="K404" s="8">
        <v>7.9</v>
      </c>
      <c r="L404" s="7">
        <f ca="1">IFERROR(__xludf.DUMMYFUNCTION("""COMPUTED_VALUE"""),104)</f>
        <v>104</v>
      </c>
    </row>
    <row r="405" spans="1:12" ht="15.5">
      <c r="A405" s="9" t="s">
        <v>935</v>
      </c>
      <c r="B405" s="7" t="s">
        <v>943</v>
      </c>
      <c r="C405" s="7" t="s">
        <v>13</v>
      </c>
      <c r="D405" s="7">
        <v>2023</v>
      </c>
      <c r="E405" s="7">
        <v>83.57</v>
      </c>
      <c r="F405" s="7">
        <v>87</v>
      </c>
      <c r="G405" s="7">
        <v>6</v>
      </c>
      <c r="H405" s="7">
        <v>95815.06</v>
      </c>
      <c r="I405" s="6" t="s">
        <v>944</v>
      </c>
      <c r="J405" s="7" t="s">
        <v>141</v>
      </c>
      <c r="K405" s="8">
        <v>7.36</v>
      </c>
      <c r="L405" s="7">
        <f ca="1">IFERROR(__xludf.DUMMYFUNCTION("""COMPUTED_VALUE"""),134)</f>
        <v>134</v>
      </c>
    </row>
    <row r="406" spans="1:12" ht="15.5">
      <c r="A406" s="9" t="s">
        <v>935</v>
      </c>
      <c r="B406" s="7" t="s">
        <v>945</v>
      </c>
      <c r="C406" s="7" t="s">
        <v>13</v>
      </c>
      <c r="D406" s="7">
        <v>2023</v>
      </c>
      <c r="E406" s="7">
        <v>72.27</v>
      </c>
      <c r="F406" s="7">
        <v>275</v>
      </c>
      <c r="G406" s="7">
        <v>5</v>
      </c>
      <c r="H406" s="7">
        <v>60933.39</v>
      </c>
      <c r="I406" s="6" t="s">
        <v>946</v>
      </c>
      <c r="J406" s="7" t="s">
        <v>400</v>
      </c>
      <c r="K406" s="8">
        <v>11.36</v>
      </c>
      <c r="L406" s="7">
        <f ca="1">IFERROR(__xludf.DUMMYFUNCTION("""COMPUTED_VALUE"""),214)</f>
        <v>214</v>
      </c>
    </row>
    <row r="407" spans="1:12" ht="15.5">
      <c r="A407" s="9" t="s">
        <v>935</v>
      </c>
      <c r="B407" s="7" t="s">
        <v>947</v>
      </c>
      <c r="C407" s="7" t="s">
        <v>13</v>
      </c>
      <c r="D407" s="7">
        <v>2023</v>
      </c>
      <c r="E407" s="7">
        <v>79.180000000000007</v>
      </c>
      <c r="F407" s="7">
        <v>173</v>
      </c>
      <c r="G407" s="7">
        <v>6</v>
      </c>
      <c r="H407" s="7">
        <v>55315.19</v>
      </c>
      <c r="I407" s="6" t="s">
        <v>948</v>
      </c>
      <c r="J407" s="7" t="s">
        <v>18</v>
      </c>
      <c r="K407" s="8">
        <v>13.66</v>
      </c>
      <c r="L407" s="7">
        <f ca="1">IFERROR(__xludf.DUMMYFUNCTION("""COMPUTED_VALUE"""),325)</f>
        <v>325</v>
      </c>
    </row>
    <row r="408" spans="1:12" ht="15.5">
      <c r="A408" s="9" t="s">
        <v>935</v>
      </c>
      <c r="B408" s="7" t="s">
        <v>949</v>
      </c>
      <c r="C408" s="7" t="s">
        <v>13</v>
      </c>
      <c r="D408" s="7">
        <v>2023</v>
      </c>
      <c r="E408" s="7">
        <v>83.11</v>
      </c>
      <c r="F408" s="7">
        <v>97</v>
      </c>
      <c r="G408" s="7">
        <v>6</v>
      </c>
      <c r="H408" s="7">
        <v>18384.259999999998</v>
      </c>
      <c r="I408" s="6" t="s">
        <v>125</v>
      </c>
      <c r="J408" s="7" t="s">
        <v>950</v>
      </c>
      <c r="K408" s="8">
        <v>8.48</v>
      </c>
      <c r="L408" s="7">
        <f ca="1">IFERROR(__xludf.DUMMYFUNCTION("""COMPUTED_VALUE"""),180)</f>
        <v>180</v>
      </c>
    </row>
    <row r="409" spans="1:12" ht="15.5">
      <c r="A409" s="9" t="s">
        <v>935</v>
      </c>
      <c r="B409" s="7" t="s">
        <v>951</v>
      </c>
      <c r="C409" s="7" t="s">
        <v>13</v>
      </c>
      <c r="D409" s="7">
        <v>2023</v>
      </c>
      <c r="E409" s="7">
        <v>77.59</v>
      </c>
      <c r="F409" s="7">
        <v>200</v>
      </c>
      <c r="G409" s="7">
        <v>6</v>
      </c>
      <c r="H409" s="7">
        <v>249300.33</v>
      </c>
      <c r="I409" s="6" t="s">
        <v>952</v>
      </c>
      <c r="J409" s="7" t="s">
        <v>84</v>
      </c>
      <c r="K409" s="8">
        <v>9.92</v>
      </c>
      <c r="L409" s="7">
        <f ca="1">IFERROR(__xludf.DUMMYFUNCTION("""COMPUTED_VALUE"""),203)</f>
        <v>203</v>
      </c>
    </row>
    <row r="410" spans="1:12" ht="15.5">
      <c r="A410" s="9" t="s">
        <v>935</v>
      </c>
      <c r="B410" s="7" t="s">
        <v>953</v>
      </c>
      <c r="C410" s="7" t="s">
        <v>13</v>
      </c>
      <c r="D410" s="7">
        <v>2023</v>
      </c>
      <c r="E410" s="7">
        <v>76.930000000000007</v>
      </c>
      <c r="F410" s="7">
        <v>212</v>
      </c>
      <c r="G410" s="7">
        <v>6</v>
      </c>
      <c r="H410" s="7">
        <v>7356.78</v>
      </c>
      <c r="I410" s="6" t="s">
        <v>954</v>
      </c>
      <c r="J410" s="7" t="s">
        <v>955</v>
      </c>
      <c r="K410" s="8">
        <v>10.78</v>
      </c>
      <c r="L410" s="7">
        <f ca="1">IFERROR(__xludf.DUMMYFUNCTION("""COMPUTED_VALUE"""),181)</f>
        <v>181</v>
      </c>
    </row>
    <row r="411" spans="1:12" ht="15.5">
      <c r="A411" s="9" t="s">
        <v>935</v>
      </c>
      <c r="B411" s="7" t="s">
        <v>956</v>
      </c>
      <c r="C411" s="7" t="s">
        <v>13</v>
      </c>
      <c r="D411" s="7">
        <v>2023</v>
      </c>
      <c r="E411" s="7">
        <v>78.17</v>
      </c>
      <c r="F411" s="7">
        <v>187</v>
      </c>
      <c r="G411" s="7">
        <v>6</v>
      </c>
      <c r="H411" s="7">
        <v>92758.17</v>
      </c>
      <c r="I411" s="6" t="s">
        <v>957</v>
      </c>
      <c r="J411" s="7" t="s">
        <v>958</v>
      </c>
      <c r="K411" s="8">
        <v>14.11</v>
      </c>
      <c r="L411" s="7">
        <f ca="1">IFERROR(__xludf.DUMMYFUNCTION("""COMPUTED_VALUE"""),216)</f>
        <v>216</v>
      </c>
    </row>
    <row r="412" spans="1:12" ht="15.5">
      <c r="A412" s="9" t="s">
        <v>935</v>
      </c>
      <c r="B412" s="7" t="s">
        <v>959</v>
      </c>
      <c r="C412" s="7" t="s">
        <v>13</v>
      </c>
      <c r="D412" s="7">
        <v>2023</v>
      </c>
      <c r="E412" s="7">
        <v>50.77</v>
      </c>
      <c r="F412" s="7">
        <v>380</v>
      </c>
      <c r="G412" s="7">
        <v>2</v>
      </c>
      <c r="I412" s="6" t="s">
        <v>960</v>
      </c>
      <c r="J412" s="7" t="s">
        <v>700</v>
      </c>
      <c r="K412" s="8">
        <v>13.42</v>
      </c>
      <c r="L412" s="7">
        <f ca="1">IFERROR(__xludf.DUMMYFUNCTION("""COMPUTED_VALUE"""),295)</f>
        <v>295</v>
      </c>
    </row>
    <row r="413" spans="1:12" ht="15.5">
      <c r="A413" s="9" t="s">
        <v>935</v>
      </c>
      <c r="B413" s="7" t="s">
        <v>961</v>
      </c>
      <c r="C413" s="7" t="s">
        <v>13</v>
      </c>
      <c r="D413" s="7">
        <v>2023</v>
      </c>
      <c r="E413" s="7">
        <v>82.52</v>
      </c>
      <c r="F413" s="7">
        <v>107</v>
      </c>
      <c r="G413" s="7">
        <v>6</v>
      </c>
      <c r="H413" s="7">
        <v>29579.759999999998</v>
      </c>
      <c r="I413" s="6" t="s">
        <v>962</v>
      </c>
      <c r="J413" s="7" t="s">
        <v>963</v>
      </c>
      <c r="K413" s="8">
        <v>7.1</v>
      </c>
      <c r="L413" s="7">
        <f ca="1">IFERROR(__xludf.DUMMYFUNCTION("""COMPUTED_VALUE"""),288)</f>
        <v>288</v>
      </c>
    </row>
    <row r="414" spans="1:12" ht="15.5">
      <c r="A414" s="12" t="s">
        <v>935</v>
      </c>
      <c r="B414" s="13" t="s">
        <v>964</v>
      </c>
      <c r="C414" s="13" t="s">
        <v>62</v>
      </c>
      <c r="D414" s="13">
        <v>2023</v>
      </c>
      <c r="E414" s="13">
        <v>80.05</v>
      </c>
      <c r="F414" s="13">
        <v>65</v>
      </c>
      <c r="G414" s="13">
        <v>6</v>
      </c>
      <c r="H414" s="13">
        <v>719.83</v>
      </c>
      <c r="I414" s="16">
        <v>100</v>
      </c>
      <c r="J414" s="13" t="s">
        <v>375</v>
      </c>
      <c r="K414" s="14">
        <v>6</v>
      </c>
      <c r="L414" s="7">
        <f ca="1">IFERROR(__xludf.DUMMYFUNCTION("""COMPUTED_VALUE"""),364)</f>
        <v>364</v>
      </c>
    </row>
    <row r="415" spans="1:12" ht="15.5">
      <c r="A415" s="4" t="s">
        <v>965</v>
      </c>
      <c r="B415" s="5" t="s">
        <v>966</v>
      </c>
      <c r="C415" s="5" t="s">
        <v>13</v>
      </c>
      <c r="D415" s="5">
        <v>2023</v>
      </c>
      <c r="E415" s="5">
        <v>69.459999999999994</v>
      </c>
      <c r="F415" s="5">
        <v>303</v>
      </c>
      <c r="G415" s="5">
        <v>5</v>
      </c>
      <c r="H415" s="5">
        <v>6919.3</v>
      </c>
      <c r="I415" s="6" t="s">
        <v>967</v>
      </c>
      <c r="J415" s="5" t="s">
        <v>968</v>
      </c>
      <c r="K415" s="8">
        <v>15.7</v>
      </c>
      <c r="L415" s="7">
        <f ca="1">IFERROR(__xludf.DUMMYFUNCTION("""COMPUTED_VALUE"""),139)</f>
        <v>139</v>
      </c>
    </row>
    <row r="416" spans="1:12" ht="15.5">
      <c r="A416" s="9" t="s">
        <v>965</v>
      </c>
      <c r="B416" s="7" t="s">
        <v>969</v>
      </c>
      <c r="C416" s="7" t="s">
        <v>13</v>
      </c>
      <c r="D416" s="7">
        <v>2023</v>
      </c>
      <c r="E416" s="7">
        <v>73.989999999999995</v>
      </c>
      <c r="F416" s="7">
        <v>253</v>
      </c>
      <c r="G416" s="7">
        <v>5</v>
      </c>
      <c r="H416" s="7">
        <v>2395.62</v>
      </c>
      <c r="I416" s="6" t="s">
        <v>970</v>
      </c>
      <c r="J416" s="7" t="s">
        <v>971</v>
      </c>
      <c r="K416" s="8">
        <v>13.98</v>
      </c>
      <c r="L416" s="7">
        <f ca="1">IFERROR(__xludf.DUMMYFUNCTION("""COMPUTED_VALUE"""),258)</f>
        <v>258</v>
      </c>
    </row>
    <row r="417" spans="1:12" ht="15.5">
      <c r="A417" s="9" t="s">
        <v>965</v>
      </c>
      <c r="B417" s="7" t="s">
        <v>972</v>
      </c>
      <c r="C417" s="7" t="s">
        <v>13</v>
      </c>
      <c r="D417" s="7">
        <v>2023</v>
      </c>
      <c r="E417" s="7">
        <v>84.23</v>
      </c>
      <c r="F417" s="7">
        <v>75</v>
      </c>
      <c r="G417" s="7">
        <v>6</v>
      </c>
      <c r="H417" s="7">
        <v>151675.85</v>
      </c>
      <c r="I417" s="6" t="s">
        <v>748</v>
      </c>
      <c r="J417" s="7" t="s">
        <v>973</v>
      </c>
      <c r="K417" s="8">
        <v>8.44</v>
      </c>
      <c r="L417" s="7">
        <f ca="1">IFERROR(__xludf.DUMMYFUNCTION("""COMPUTED_VALUE"""),344)</f>
        <v>344</v>
      </c>
    </row>
    <row r="418" spans="1:12" ht="15.5">
      <c r="A418" s="9" t="s">
        <v>965</v>
      </c>
      <c r="B418" s="7" t="s">
        <v>974</v>
      </c>
      <c r="C418" s="7" t="s">
        <v>13</v>
      </c>
      <c r="D418" s="7">
        <v>2023</v>
      </c>
      <c r="E418" s="7">
        <v>85.56</v>
      </c>
      <c r="F418" s="7">
        <v>45</v>
      </c>
      <c r="G418" s="7">
        <v>6</v>
      </c>
      <c r="H418" s="7">
        <v>54800.2</v>
      </c>
      <c r="I418" s="6">
        <v>100</v>
      </c>
      <c r="J418" s="7" t="s">
        <v>220</v>
      </c>
      <c r="K418" s="8">
        <v>7.27</v>
      </c>
    </row>
    <row r="419" spans="1:12" ht="15.5">
      <c r="A419" s="9" t="s">
        <v>965</v>
      </c>
      <c r="B419" s="7" t="s">
        <v>975</v>
      </c>
      <c r="C419" s="7" t="s">
        <v>13</v>
      </c>
      <c r="D419" s="7">
        <v>2023</v>
      </c>
      <c r="E419" s="7">
        <v>85.31</v>
      </c>
      <c r="F419" s="7">
        <v>56</v>
      </c>
      <c r="G419" s="7">
        <v>6</v>
      </c>
      <c r="H419" s="7">
        <v>76126.759999999995</v>
      </c>
      <c r="I419" s="6" t="s">
        <v>976</v>
      </c>
      <c r="J419" s="7" t="s">
        <v>217</v>
      </c>
      <c r="K419" s="8">
        <v>12.94</v>
      </c>
    </row>
    <row r="420" spans="1:12" ht="15.5">
      <c r="A420" s="9" t="s">
        <v>965</v>
      </c>
      <c r="B420" s="7" t="s">
        <v>977</v>
      </c>
      <c r="C420" s="7" t="s">
        <v>13</v>
      </c>
      <c r="D420" s="7">
        <v>2023</v>
      </c>
      <c r="E420" s="7">
        <v>85.63</v>
      </c>
      <c r="F420" s="7">
        <v>42</v>
      </c>
      <c r="G420" s="7">
        <v>6</v>
      </c>
      <c r="H420" s="7">
        <v>68424.960000000006</v>
      </c>
      <c r="I420" s="6" t="s">
        <v>431</v>
      </c>
      <c r="J420" s="7" t="s">
        <v>978</v>
      </c>
      <c r="K420" s="8">
        <v>9.6199999999999992</v>
      </c>
    </row>
    <row r="421" spans="1:12" ht="15.5">
      <c r="A421" s="9" t="s">
        <v>965</v>
      </c>
      <c r="B421" s="7" t="s">
        <v>979</v>
      </c>
      <c r="C421" s="7" t="s">
        <v>13</v>
      </c>
      <c r="D421" s="7">
        <v>2023</v>
      </c>
      <c r="E421" s="7">
        <v>51.98</v>
      </c>
      <c r="F421" s="7">
        <v>378</v>
      </c>
      <c r="G421" s="7">
        <v>3</v>
      </c>
      <c r="I421" s="6" t="s">
        <v>980</v>
      </c>
      <c r="J421" s="7" t="s">
        <v>541</v>
      </c>
      <c r="K421" s="8">
        <v>10.65</v>
      </c>
    </row>
    <row r="422" spans="1:12" ht="15.5">
      <c r="A422" s="9" t="s">
        <v>965</v>
      </c>
      <c r="B422" s="7" t="s">
        <v>981</v>
      </c>
      <c r="C422" s="7" t="s">
        <v>13</v>
      </c>
      <c r="D422" s="7">
        <v>2023</v>
      </c>
      <c r="E422" s="7">
        <v>65.55</v>
      </c>
      <c r="F422" s="7">
        <v>328</v>
      </c>
      <c r="G422" s="7">
        <v>4</v>
      </c>
      <c r="H422" s="7">
        <v>5813.82</v>
      </c>
      <c r="I422" s="6" t="s">
        <v>982</v>
      </c>
      <c r="J422" s="7" t="s">
        <v>983</v>
      </c>
      <c r="K422" s="8">
        <v>7.55</v>
      </c>
    </row>
    <row r="423" spans="1:12" ht="15.5">
      <c r="A423" s="9" t="s">
        <v>965</v>
      </c>
      <c r="B423" s="7" t="s">
        <v>984</v>
      </c>
      <c r="C423" s="7" t="s">
        <v>13</v>
      </c>
      <c r="D423" s="7">
        <v>2023</v>
      </c>
      <c r="E423" s="7">
        <v>79.87</v>
      </c>
      <c r="F423" s="7">
        <v>163</v>
      </c>
      <c r="G423" s="7">
        <v>6</v>
      </c>
      <c r="H423" s="7">
        <v>2267.85</v>
      </c>
      <c r="I423" s="6" t="s">
        <v>985</v>
      </c>
      <c r="J423" s="7" t="s">
        <v>694</v>
      </c>
      <c r="K423" s="8">
        <v>11.7</v>
      </c>
    </row>
    <row r="424" spans="1:12" ht="15.5">
      <c r="A424" s="9" t="s">
        <v>965</v>
      </c>
      <c r="B424" s="7" t="s">
        <v>986</v>
      </c>
      <c r="C424" s="7" t="s">
        <v>13</v>
      </c>
      <c r="D424" s="7">
        <v>2023</v>
      </c>
      <c r="E424" s="7">
        <v>78.67</v>
      </c>
      <c r="F424" s="7">
        <v>183</v>
      </c>
      <c r="G424" s="7">
        <v>6</v>
      </c>
      <c r="H424" s="7">
        <v>8272.57</v>
      </c>
      <c r="I424" s="6" t="s">
        <v>89</v>
      </c>
      <c r="J424" s="7" t="s">
        <v>344</v>
      </c>
      <c r="K424" s="8">
        <v>5.56</v>
      </c>
    </row>
    <row r="425" spans="1:12" ht="15.5">
      <c r="A425" s="9" t="s">
        <v>965</v>
      </c>
      <c r="B425" s="7" t="s">
        <v>987</v>
      </c>
      <c r="C425" s="7" t="s">
        <v>13</v>
      </c>
      <c r="D425" s="7">
        <v>2023</v>
      </c>
      <c r="E425" s="7">
        <v>86.4</v>
      </c>
      <c r="F425" s="7">
        <v>35</v>
      </c>
      <c r="G425" s="7">
        <v>6</v>
      </c>
      <c r="H425" s="7">
        <v>89083.35</v>
      </c>
      <c r="I425" s="6" t="s">
        <v>550</v>
      </c>
      <c r="J425" s="7" t="s">
        <v>988</v>
      </c>
      <c r="K425" s="8">
        <v>11.25</v>
      </c>
    </row>
    <row r="426" spans="1:12" ht="15.5">
      <c r="A426" s="9" t="s">
        <v>965</v>
      </c>
      <c r="B426" s="7" t="s">
        <v>989</v>
      </c>
      <c r="C426" s="7" t="s">
        <v>13</v>
      </c>
      <c r="D426" s="7">
        <v>2023</v>
      </c>
      <c r="E426" s="7">
        <v>50.43</v>
      </c>
      <c r="F426" s="7">
        <v>382</v>
      </c>
      <c r="G426" s="7">
        <v>2</v>
      </c>
      <c r="H426" s="7">
        <v>449.32</v>
      </c>
      <c r="I426" s="6" t="s">
        <v>14</v>
      </c>
      <c r="J426" s="7" t="s">
        <v>389</v>
      </c>
      <c r="K426" s="8">
        <v>8.7899999999999991</v>
      </c>
    </row>
    <row r="427" spans="1:12" ht="15.5">
      <c r="A427" s="9" t="s">
        <v>965</v>
      </c>
      <c r="B427" s="7" t="s">
        <v>990</v>
      </c>
      <c r="C427" s="7" t="s">
        <v>13</v>
      </c>
      <c r="D427" s="7">
        <v>2023</v>
      </c>
      <c r="E427" s="7">
        <v>76.92</v>
      </c>
      <c r="F427" s="7">
        <v>213</v>
      </c>
      <c r="G427" s="7">
        <v>6</v>
      </c>
      <c r="H427" s="7">
        <v>5608.63</v>
      </c>
      <c r="I427" s="6" t="s">
        <v>991</v>
      </c>
      <c r="J427" s="7" t="s">
        <v>496</v>
      </c>
      <c r="K427" s="8">
        <v>14.85</v>
      </c>
    </row>
    <row r="428" spans="1:12" ht="15.5">
      <c r="A428" s="9" t="s">
        <v>965</v>
      </c>
      <c r="B428" s="7" t="s">
        <v>992</v>
      </c>
      <c r="C428" s="7" t="s">
        <v>13</v>
      </c>
      <c r="D428" s="7">
        <v>2023</v>
      </c>
      <c r="E428" s="7">
        <v>66.97</v>
      </c>
      <c r="F428" s="7">
        <v>317</v>
      </c>
      <c r="G428" s="7">
        <v>4</v>
      </c>
      <c r="H428" s="7">
        <v>27.05</v>
      </c>
      <c r="I428" s="6" t="s">
        <v>863</v>
      </c>
      <c r="J428" s="7" t="s">
        <v>993</v>
      </c>
      <c r="K428" s="8">
        <v>17.559999999999999</v>
      </c>
    </row>
    <row r="429" spans="1:12" ht="15.5">
      <c r="A429" s="9" t="s">
        <v>965</v>
      </c>
      <c r="B429" s="7" t="s">
        <v>994</v>
      </c>
      <c r="C429" s="7" t="s">
        <v>13</v>
      </c>
      <c r="D429" s="7">
        <v>2023</v>
      </c>
      <c r="E429" s="7">
        <v>64.540000000000006</v>
      </c>
      <c r="F429" s="7">
        <v>331</v>
      </c>
      <c r="G429" s="7">
        <v>4</v>
      </c>
      <c r="H429" s="7">
        <v>69.099999999999994</v>
      </c>
      <c r="I429" s="6" t="s">
        <v>995</v>
      </c>
      <c r="J429" s="7" t="s">
        <v>996</v>
      </c>
      <c r="K429" s="8">
        <v>11.65</v>
      </c>
    </row>
    <row r="430" spans="1:12" ht="15.5">
      <c r="A430" s="9" t="s">
        <v>965</v>
      </c>
      <c r="B430" s="7" t="s">
        <v>997</v>
      </c>
      <c r="C430" s="7" t="s">
        <v>62</v>
      </c>
      <c r="D430" s="7">
        <v>2023</v>
      </c>
      <c r="E430" s="7">
        <v>88.34</v>
      </c>
      <c r="F430" s="7">
        <v>25</v>
      </c>
      <c r="G430" s="7">
        <v>6</v>
      </c>
      <c r="H430" s="7">
        <v>2211.85</v>
      </c>
      <c r="I430" s="6">
        <v>100</v>
      </c>
      <c r="J430" s="7" t="s">
        <v>998</v>
      </c>
      <c r="K430" s="8">
        <v>6.44</v>
      </c>
    </row>
    <row r="431" spans="1:12" ht="15.5">
      <c r="A431" s="12" t="s">
        <v>965</v>
      </c>
      <c r="B431" s="13" t="s">
        <v>999</v>
      </c>
      <c r="C431" s="13" t="s">
        <v>62</v>
      </c>
      <c r="D431" s="13">
        <v>2023</v>
      </c>
      <c r="E431" s="13">
        <v>80.48</v>
      </c>
      <c r="F431" s="13">
        <v>63</v>
      </c>
      <c r="G431" s="13">
        <v>6</v>
      </c>
      <c r="H431" s="13">
        <v>8224.82</v>
      </c>
      <c r="I431" s="16" t="s">
        <v>35</v>
      </c>
      <c r="J431" s="13" t="s">
        <v>1000</v>
      </c>
      <c r="K431" s="14">
        <v>10.84</v>
      </c>
    </row>
    <row r="432" spans="1:12" ht="15.5">
      <c r="A432" s="4" t="s">
        <v>1001</v>
      </c>
      <c r="B432" s="5" t="s">
        <v>1002</v>
      </c>
      <c r="C432" s="5" t="s">
        <v>13</v>
      </c>
      <c r="D432" s="5">
        <v>2023</v>
      </c>
      <c r="E432" s="5">
        <v>84.87</v>
      </c>
      <c r="F432" s="5">
        <v>63</v>
      </c>
      <c r="G432" s="5">
        <v>6</v>
      </c>
      <c r="H432" s="5">
        <v>126407.67999999999</v>
      </c>
      <c r="I432" s="6" t="s">
        <v>1003</v>
      </c>
      <c r="J432" s="5" t="s">
        <v>101</v>
      </c>
      <c r="K432" s="8">
        <v>6.38</v>
      </c>
    </row>
    <row r="433" spans="1:11" ht="15.5">
      <c r="A433" s="9" t="s">
        <v>1001</v>
      </c>
      <c r="B433" s="7" t="s">
        <v>1004</v>
      </c>
      <c r="C433" s="7" t="s">
        <v>13</v>
      </c>
      <c r="D433" s="7">
        <v>2023</v>
      </c>
      <c r="E433" s="7">
        <v>84.69</v>
      </c>
      <c r="F433" s="7">
        <v>65</v>
      </c>
      <c r="G433" s="7">
        <v>6</v>
      </c>
      <c r="H433" s="7">
        <v>33893.51</v>
      </c>
      <c r="I433" s="6" t="s">
        <v>645</v>
      </c>
      <c r="J433" s="7" t="s">
        <v>1005</v>
      </c>
      <c r="K433" s="8">
        <v>5.42</v>
      </c>
    </row>
    <row r="434" spans="1:11" ht="15.5">
      <c r="A434" s="9" t="s">
        <v>1001</v>
      </c>
      <c r="B434" s="7" t="s">
        <v>1006</v>
      </c>
      <c r="C434" s="7" t="s">
        <v>13</v>
      </c>
      <c r="D434" s="7">
        <v>2023</v>
      </c>
      <c r="E434" s="7">
        <v>53.22</v>
      </c>
      <c r="F434" s="7">
        <v>372</v>
      </c>
      <c r="G434" s="7">
        <v>3</v>
      </c>
      <c r="H434" s="7">
        <v>0.8</v>
      </c>
      <c r="I434" s="6" t="s">
        <v>1007</v>
      </c>
      <c r="J434" s="7" t="s">
        <v>165</v>
      </c>
      <c r="K434" s="8">
        <v>11.12</v>
      </c>
    </row>
    <row r="435" spans="1:11" ht="15.5">
      <c r="A435" s="9" t="s">
        <v>1001</v>
      </c>
      <c r="B435" s="7" t="s">
        <v>1008</v>
      </c>
      <c r="C435" s="7" t="s">
        <v>13</v>
      </c>
      <c r="D435" s="7">
        <v>2023</v>
      </c>
      <c r="E435" s="7">
        <v>76.510000000000005</v>
      </c>
      <c r="F435" s="7">
        <v>222</v>
      </c>
      <c r="G435" s="7">
        <v>6</v>
      </c>
      <c r="I435" s="6" t="s">
        <v>14</v>
      </c>
      <c r="J435" s="7" t="s">
        <v>353</v>
      </c>
      <c r="K435" s="8">
        <v>7.34</v>
      </c>
    </row>
    <row r="436" spans="1:11" ht="15.5">
      <c r="A436" s="9" t="s">
        <v>1001</v>
      </c>
      <c r="B436" s="7" t="s">
        <v>1009</v>
      </c>
      <c r="C436" s="7" t="s">
        <v>13</v>
      </c>
      <c r="D436" s="7">
        <v>2023</v>
      </c>
      <c r="E436" s="7">
        <v>83.2</v>
      </c>
      <c r="F436" s="7">
        <v>93</v>
      </c>
      <c r="G436" s="7">
        <v>6</v>
      </c>
      <c r="H436" s="7">
        <v>11606.93</v>
      </c>
      <c r="I436" s="6">
        <v>100</v>
      </c>
      <c r="J436" s="7" t="s">
        <v>1010</v>
      </c>
      <c r="K436" s="8">
        <v>9.15</v>
      </c>
    </row>
    <row r="437" spans="1:11" ht="15.5">
      <c r="A437" s="9" t="s">
        <v>1001</v>
      </c>
      <c r="B437" s="7" t="s">
        <v>1011</v>
      </c>
      <c r="C437" s="7" t="s">
        <v>13</v>
      </c>
      <c r="D437" s="7">
        <v>2023</v>
      </c>
      <c r="E437" s="7">
        <v>83.29</v>
      </c>
      <c r="F437" s="7">
        <v>92</v>
      </c>
      <c r="G437" s="7">
        <v>6</v>
      </c>
      <c r="H437" s="7">
        <v>4343.2700000000004</v>
      </c>
      <c r="I437" s="6" t="s">
        <v>1012</v>
      </c>
      <c r="J437" s="7" t="s">
        <v>1013</v>
      </c>
      <c r="K437" s="8">
        <v>7.11</v>
      </c>
    </row>
    <row r="438" spans="1:11" ht="15.5">
      <c r="A438" s="9" t="s">
        <v>1001</v>
      </c>
      <c r="B438" s="7" t="s">
        <v>1014</v>
      </c>
      <c r="C438" s="7" t="s">
        <v>13</v>
      </c>
      <c r="D438" s="7">
        <v>2023</v>
      </c>
      <c r="E438" s="7">
        <v>81.599999999999994</v>
      </c>
      <c r="F438" s="7">
        <v>128</v>
      </c>
      <c r="G438" s="7">
        <v>6</v>
      </c>
      <c r="H438" s="7">
        <v>20541</v>
      </c>
      <c r="I438" s="6" t="s">
        <v>448</v>
      </c>
      <c r="J438" s="7" t="s">
        <v>264</v>
      </c>
      <c r="K438" s="8">
        <v>8.5399999999999991</v>
      </c>
    </row>
    <row r="439" spans="1:11" ht="15.5">
      <c r="A439" s="9" t="s">
        <v>1001</v>
      </c>
      <c r="B439" s="7" t="s">
        <v>1015</v>
      </c>
      <c r="C439" s="7" t="s">
        <v>13</v>
      </c>
      <c r="D439" s="7">
        <v>2023</v>
      </c>
      <c r="E439" s="7">
        <v>52.79</v>
      </c>
      <c r="F439" s="7">
        <v>374</v>
      </c>
      <c r="G439" s="7">
        <v>3</v>
      </c>
      <c r="I439" s="6" t="s">
        <v>1016</v>
      </c>
      <c r="J439" s="7" t="s">
        <v>235</v>
      </c>
      <c r="K439" s="8">
        <v>8.85</v>
      </c>
    </row>
    <row r="440" spans="1:11" ht="15.5">
      <c r="A440" s="9" t="s">
        <v>1001</v>
      </c>
      <c r="B440" s="7" t="s">
        <v>1017</v>
      </c>
      <c r="C440" s="7" t="s">
        <v>13</v>
      </c>
      <c r="D440" s="7">
        <v>2023</v>
      </c>
      <c r="E440" s="7">
        <v>80.44</v>
      </c>
      <c r="F440" s="7">
        <v>150</v>
      </c>
      <c r="G440" s="7">
        <v>6</v>
      </c>
      <c r="H440" s="7">
        <v>6913.85</v>
      </c>
      <c r="I440" s="6" t="s">
        <v>1018</v>
      </c>
      <c r="J440" s="7" t="s">
        <v>1019</v>
      </c>
      <c r="K440" s="8">
        <v>7.35</v>
      </c>
    </row>
    <row r="441" spans="1:11" ht="15.5">
      <c r="A441" s="9" t="s">
        <v>1001</v>
      </c>
      <c r="B441" s="7" t="s">
        <v>1020</v>
      </c>
      <c r="C441" s="7" t="s">
        <v>13</v>
      </c>
      <c r="D441" s="7">
        <v>2023</v>
      </c>
      <c r="E441" s="7">
        <v>72.88</v>
      </c>
      <c r="F441" s="7">
        <v>269</v>
      </c>
      <c r="G441" s="7">
        <v>5</v>
      </c>
      <c r="H441" s="7">
        <v>7780.56</v>
      </c>
      <c r="I441" s="6" t="s">
        <v>86</v>
      </c>
      <c r="J441" s="7" t="s">
        <v>1021</v>
      </c>
      <c r="K441" s="8">
        <v>6.57</v>
      </c>
    </row>
    <row r="442" spans="1:11" ht="15.5">
      <c r="A442" s="9" t="s">
        <v>1001</v>
      </c>
      <c r="B442" s="7" t="s">
        <v>1022</v>
      </c>
      <c r="C442" s="7" t="s">
        <v>13</v>
      </c>
      <c r="D442" s="7">
        <v>2023</v>
      </c>
      <c r="E442" s="7">
        <v>79.36</v>
      </c>
      <c r="F442" s="7">
        <v>170</v>
      </c>
      <c r="G442" s="7">
        <v>6</v>
      </c>
      <c r="H442" s="7">
        <v>3317.93</v>
      </c>
      <c r="I442" s="6" t="s">
        <v>1023</v>
      </c>
      <c r="J442" s="7" t="s">
        <v>378</v>
      </c>
      <c r="K442" s="8">
        <v>6.55</v>
      </c>
    </row>
    <row r="443" spans="1:11" ht="15.5">
      <c r="A443" s="9" t="s">
        <v>1001</v>
      </c>
      <c r="B443" s="7" t="s">
        <v>1024</v>
      </c>
      <c r="C443" s="7" t="s">
        <v>62</v>
      </c>
      <c r="D443" s="7">
        <v>2023</v>
      </c>
      <c r="E443" s="7">
        <v>85.33</v>
      </c>
      <c r="F443" s="7">
        <v>42</v>
      </c>
      <c r="G443" s="7">
        <v>6</v>
      </c>
      <c r="I443" s="6">
        <v>100</v>
      </c>
      <c r="J443" s="7" t="s">
        <v>1025</v>
      </c>
      <c r="K443" s="8">
        <v>4.63</v>
      </c>
    </row>
    <row r="444" spans="1:11" ht="15.5">
      <c r="A444" s="9" t="s">
        <v>1001</v>
      </c>
      <c r="B444" s="7" t="s">
        <v>1026</v>
      </c>
      <c r="C444" s="7" t="s">
        <v>62</v>
      </c>
      <c r="D444" s="7">
        <v>2023</v>
      </c>
      <c r="E444" s="7">
        <v>80.89</v>
      </c>
      <c r="F444" s="7">
        <v>61</v>
      </c>
      <c r="G444" s="7">
        <v>6</v>
      </c>
      <c r="H444" s="7">
        <v>81.67</v>
      </c>
      <c r="I444" s="6" t="s">
        <v>35</v>
      </c>
      <c r="J444" s="7" t="s">
        <v>279</v>
      </c>
      <c r="K444" s="8">
        <v>3.91</v>
      </c>
    </row>
    <row r="445" spans="1:11" ht="15.5">
      <c r="A445" s="9" t="s">
        <v>1001</v>
      </c>
      <c r="B445" s="7" t="s">
        <v>1027</v>
      </c>
      <c r="C445" s="7" t="s">
        <v>62</v>
      </c>
      <c r="D445" s="7">
        <v>2023</v>
      </c>
      <c r="E445" s="7">
        <v>83.14</v>
      </c>
      <c r="F445" s="7">
        <v>52</v>
      </c>
      <c r="G445" s="7">
        <v>6</v>
      </c>
      <c r="H445" s="7">
        <v>2717.39</v>
      </c>
      <c r="I445" s="6">
        <v>100</v>
      </c>
      <c r="J445" s="7" t="s">
        <v>158</v>
      </c>
      <c r="K445" s="8">
        <v>3.75</v>
      </c>
    </row>
    <row r="446" spans="1:11" ht="15.5">
      <c r="A446" s="12" t="s">
        <v>1001</v>
      </c>
      <c r="B446" s="13" t="s">
        <v>1028</v>
      </c>
      <c r="C446" s="13" t="s">
        <v>62</v>
      </c>
      <c r="D446" s="13">
        <v>2023</v>
      </c>
      <c r="E446" s="13">
        <v>77.61</v>
      </c>
      <c r="F446" s="13">
        <v>76</v>
      </c>
      <c r="G446" s="13">
        <v>6</v>
      </c>
      <c r="H446" s="13">
        <v>13227.55</v>
      </c>
      <c r="I446" s="16">
        <v>100</v>
      </c>
      <c r="J446" s="13" t="s">
        <v>248</v>
      </c>
      <c r="K446" s="14">
        <v>4.6100000000000003</v>
      </c>
    </row>
    <row r="447" spans="1:11" ht="15.5">
      <c r="A447" s="4" t="s">
        <v>1029</v>
      </c>
      <c r="B447" s="5" t="s">
        <v>1030</v>
      </c>
      <c r="C447" s="5" t="s">
        <v>13</v>
      </c>
      <c r="D447" s="5">
        <v>2023</v>
      </c>
      <c r="E447" s="5">
        <v>50.91</v>
      </c>
      <c r="F447" s="5">
        <v>379</v>
      </c>
      <c r="G447" s="5">
        <v>2</v>
      </c>
      <c r="H447" s="5">
        <v>1180.07</v>
      </c>
      <c r="I447" s="6" t="s">
        <v>1031</v>
      </c>
      <c r="J447" s="5" t="s">
        <v>1032</v>
      </c>
      <c r="K447" s="8">
        <v>6.38</v>
      </c>
    </row>
    <row r="448" spans="1:11" ht="15.5">
      <c r="A448" s="9" t="s">
        <v>1029</v>
      </c>
      <c r="B448" s="7" t="s">
        <v>1033</v>
      </c>
      <c r="C448" s="7" t="s">
        <v>13</v>
      </c>
      <c r="D448" s="7">
        <v>2023</v>
      </c>
      <c r="E448" s="7">
        <v>85.95</v>
      </c>
      <c r="F448" s="7">
        <v>40</v>
      </c>
      <c r="G448" s="7">
        <v>6</v>
      </c>
      <c r="H448" s="7">
        <v>201974.08</v>
      </c>
      <c r="I448" s="6" t="s">
        <v>1034</v>
      </c>
      <c r="J448" s="7" t="s">
        <v>608</v>
      </c>
      <c r="K448" s="8">
        <v>5.42</v>
      </c>
    </row>
    <row r="449" spans="1:11" ht="15.5">
      <c r="A449" s="9" t="s">
        <v>1029</v>
      </c>
      <c r="B449" s="7" t="s">
        <v>1035</v>
      </c>
      <c r="C449" s="7" t="s">
        <v>13</v>
      </c>
      <c r="D449" s="7">
        <v>2023</v>
      </c>
      <c r="E449" s="7">
        <v>81.78</v>
      </c>
      <c r="F449" s="7">
        <v>124</v>
      </c>
      <c r="G449" s="7">
        <v>6</v>
      </c>
      <c r="H449" s="7">
        <v>182608.63</v>
      </c>
      <c r="I449" s="6" t="s">
        <v>140</v>
      </c>
      <c r="J449" s="7" t="s">
        <v>366</v>
      </c>
      <c r="K449" s="8">
        <v>11.12</v>
      </c>
    </row>
    <row r="450" spans="1:11" ht="15.5">
      <c r="A450" s="9" t="s">
        <v>1029</v>
      </c>
      <c r="B450" s="7" t="s">
        <v>1036</v>
      </c>
      <c r="C450" s="7" t="s">
        <v>13</v>
      </c>
      <c r="D450" s="7">
        <v>2023</v>
      </c>
      <c r="E450" s="7">
        <v>79.930000000000007</v>
      </c>
      <c r="F450" s="7">
        <v>160</v>
      </c>
      <c r="G450" s="7">
        <v>6</v>
      </c>
      <c r="H450" s="7">
        <v>63412.33</v>
      </c>
      <c r="I450" s="6" t="s">
        <v>1037</v>
      </c>
      <c r="J450" s="7" t="s">
        <v>978</v>
      </c>
      <c r="K450" s="8">
        <v>7.34</v>
      </c>
    </row>
    <row r="451" spans="1:11" ht="15.5">
      <c r="A451" s="9" t="s">
        <v>1029</v>
      </c>
      <c r="B451" s="7" t="s">
        <v>1038</v>
      </c>
      <c r="C451" s="7" t="s">
        <v>13</v>
      </c>
      <c r="D451" s="7">
        <v>2023</v>
      </c>
      <c r="E451" s="7">
        <v>87.55</v>
      </c>
      <c r="F451" s="7">
        <v>18</v>
      </c>
      <c r="G451" s="7">
        <v>6</v>
      </c>
      <c r="H451" s="7">
        <v>181490.95</v>
      </c>
      <c r="I451" s="6" t="s">
        <v>17</v>
      </c>
      <c r="J451" s="7" t="s">
        <v>541</v>
      </c>
      <c r="K451" s="8">
        <v>9.15</v>
      </c>
    </row>
    <row r="452" spans="1:11" ht="15.5">
      <c r="A452" s="9" t="s">
        <v>1029</v>
      </c>
      <c r="B452" s="7" t="s">
        <v>1039</v>
      </c>
      <c r="C452" s="7" t="s">
        <v>13</v>
      </c>
      <c r="D452" s="7">
        <v>2023</v>
      </c>
      <c r="E452" s="7">
        <v>83.13</v>
      </c>
      <c r="F452" s="7">
        <v>96</v>
      </c>
      <c r="G452" s="7">
        <v>6</v>
      </c>
      <c r="H452" s="7">
        <v>140376.62</v>
      </c>
      <c r="I452" s="6" t="s">
        <v>255</v>
      </c>
      <c r="J452" s="7" t="s">
        <v>496</v>
      </c>
      <c r="K452" s="8">
        <v>7.11</v>
      </c>
    </row>
    <row r="453" spans="1:11" ht="15.5">
      <c r="A453" s="9" t="s">
        <v>1029</v>
      </c>
      <c r="B453" s="7" t="s">
        <v>1040</v>
      </c>
      <c r="C453" s="7" t="s">
        <v>13</v>
      </c>
      <c r="D453" s="7">
        <v>2023</v>
      </c>
      <c r="E453" s="7">
        <v>86.4</v>
      </c>
      <c r="F453" s="7">
        <v>34</v>
      </c>
      <c r="G453" s="7">
        <v>6</v>
      </c>
      <c r="H453" s="7">
        <v>144501.24</v>
      </c>
      <c r="I453" s="6" t="s">
        <v>1041</v>
      </c>
      <c r="J453" s="7" t="s">
        <v>182</v>
      </c>
      <c r="K453" s="8">
        <v>8.5399999999999991</v>
      </c>
    </row>
    <row r="454" spans="1:11" ht="15.5">
      <c r="A454" s="9" t="s">
        <v>1029</v>
      </c>
      <c r="B454" s="7" t="s">
        <v>1042</v>
      </c>
      <c r="C454" s="7" t="s">
        <v>13</v>
      </c>
      <c r="D454" s="7">
        <v>2023</v>
      </c>
      <c r="E454" s="7">
        <v>80.680000000000007</v>
      </c>
      <c r="F454" s="7">
        <v>146</v>
      </c>
      <c r="G454" s="7">
        <v>6</v>
      </c>
      <c r="H454" s="7">
        <v>137891.51999999999</v>
      </c>
      <c r="I454" s="6" t="s">
        <v>103</v>
      </c>
      <c r="J454" s="7" t="s">
        <v>482</v>
      </c>
      <c r="K454" s="8">
        <v>8.85</v>
      </c>
    </row>
    <row r="455" spans="1:11" ht="15.5">
      <c r="A455" s="9" t="s">
        <v>1029</v>
      </c>
      <c r="B455" s="7" t="s">
        <v>1043</v>
      </c>
      <c r="C455" s="7" t="s">
        <v>13</v>
      </c>
      <c r="D455" s="7">
        <v>2023</v>
      </c>
      <c r="E455" s="7">
        <v>80.59</v>
      </c>
      <c r="F455" s="7">
        <v>149</v>
      </c>
      <c r="G455" s="7">
        <v>6</v>
      </c>
      <c r="H455" s="7">
        <v>144628.81</v>
      </c>
      <c r="I455" s="6" t="s">
        <v>908</v>
      </c>
      <c r="J455" s="7" t="s">
        <v>603</v>
      </c>
      <c r="K455" s="8">
        <v>7.35</v>
      </c>
    </row>
    <row r="456" spans="1:11" ht="15.5">
      <c r="A456" s="9" t="s">
        <v>1029</v>
      </c>
      <c r="B456" s="7" t="s">
        <v>1044</v>
      </c>
      <c r="C456" s="7" t="s">
        <v>13</v>
      </c>
      <c r="D456" s="7">
        <v>2023</v>
      </c>
      <c r="E456" s="7">
        <v>82.16</v>
      </c>
      <c r="F456" s="7">
        <v>114</v>
      </c>
      <c r="G456" s="7">
        <v>6</v>
      </c>
      <c r="H456" s="7">
        <v>54601.34</v>
      </c>
      <c r="I456" s="6" t="s">
        <v>687</v>
      </c>
      <c r="J456" s="7" t="s">
        <v>1045</v>
      </c>
      <c r="K456" s="8">
        <v>6.57</v>
      </c>
    </row>
    <row r="457" spans="1:11" ht="15.5">
      <c r="A457" s="9" t="s">
        <v>1029</v>
      </c>
      <c r="B457" s="7" t="s">
        <v>1046</v>
      </c>
      <c r="C457" s="7" t="s">
        <v>13</v>
      </c>
      <c r="D457" s="7">
        <v>2023</v>
      </c>
      <c r="E457" s="7">
        <v>84.38</v>
      </c>
      <c r="F457" s="7">
        <v>72</v>
      </c>
      <c r="G457" s="7">
        <v>6</v>
      </c>
      <c r="H457" s="7">
        <v>44033.05</v>
      </c>
      <c r="I457" s="6" t="s">
        <v>1047</v>
      </c>
      <c r="J457" s="7" t="s">
        <v>437</v>
      </c>
      <c r="K457" s="8">
        <v>6.55</v>
      </c>
    </row>
    <row r="458" spans="1:11" ht="15.5">
      <c r="A458" s="9" t="s">
        <v>1029</v>
      </c>
      <c r="B458" s="7" t="s">
        <v>1048</v>
      </c>
      <c r="C458" s="7" t="s">
        <v>13</v>
      </c>
      <c r="D458" s="7">
        <v>2023</v>
      </c>
      <c r="E458" s="7">
        <v>80.67</v>
      </c>
      <c r="F458" s="7">
        <v>147</v>
      </c>
      <c r="G458" s="7">
        <v>6</v>
      </c>
      <c r="H458" s="7">
        <v>47663.46</v>
      </c>
      <c r="I458" s="6" t="s">
        <v>89</v>
      </c>
      <c r="J458" s="7" t="s">
        <v>1049</v>
      </c>
      <c r="K458" s="8">
        <v>4.63</v>
      </c>
    </row>
    <row r="459" spans="1:11" ht="15.5">
      <c r="A459" s="9" t="s">
        <v>1029</v>
      </c>
      <c r="B459" s="7" t="s">
        <v>1050</v>
      </c>
      <c r="C459" s="7" t="s">
        <v>62</v>
      </c>
      <c r="D459" s="7">
        <v>2023</v>
      </c>
      <c r="E459" s="7">
        <v>88.33</v>
      </c>
      <c r="F459" s="7">
        <v>26</v>
      </c>
      <c r="G459" s="7">
        <v>6</v>
      </c>
      <c r="H459" s="7">
        <v>58020.74</v>
      </c>
      <c r="I459" s="6">
        <v>100</v>
      </c>
      <c r="J459" s="7" t="s">
        <v>1051</v>
      </c>
      <c r="K459" s="8">
        <v>3.91</v>
      </c>
    </row>
    <row r="460" spans="1:11" ht="15.5">
      <c r="A460" s="9" t="s">
        <v>1029</v>
      </c>
      <c r="B460" s="7" t="s">
        <v>1052</v>
      </c>
      <c r="C460" s="7" t="s">
        <v>62</v>
      </c>
      <c r="D460" s="7">
        <v>2023</v>
      </c>
      <c r="E460" s="7">
        <v>92.87</v>
      </c>
      <c r="F460" s="7">
        <v>4</v>
      </c>
      <c r="G460" s="7">
        <v>6</v>
      </c>
      <c r="H460" s="7">
        <v>16771.07</v>
      </c>
      <c r="I460" s="6">
        <v>100</v>
      </c>
      <c r="J460" s="7" t="s">
        <v>864</v>
      </c>
      <c r="K460" s="8">
        <v>3.75</v>
      </c>
    </row>
    <row r="461" spans="1:11" ht="15.5">
      <c r="A461" s="9" t="s">
        <v>1029</v>
      </c>
      <c r="B461" s="7" t="s">
        <v>1053</v>
      </c>
      <c r="C461" s="7" t="s">
        <v>62</v>
      </c>
      <c r="D461" s="7">
        <v>2023</v>
      </c>
      <c r="E461" s="7">
        <v>84.38</v>
      </c>
      <c r="F461" s="7">
        <v>46</v>
      </c>
      <c r="G461" s="7">
        <v>6</v>
      </c>
      <c r="H461" s="7">
        <v>12265.28</v>
      </c>
      <c r="I461" s="6" t="s">
        <v>1054</v>
      </c>
      <c r="J461" s="7" t="s">
        <v>330</v>
      </c>
      <c r="K461" s="8">
        <v>4.6100000000000003</v>
      </c>
    </row>
    <row r="462" spans="1:11" ht="15.5">
      <c r="A462" s="9" t="s">
        <v>1029</v>
      </c>
      <c r="B462" s="7" t="s">
        <v>1055</v>
      </c>
      <c r="C462" s="7" t="s">
        <v>62</v>
      </c>
      <c r="D462" s="7">
        <v>2023</v>
      </c>
      <c r="E462" s="7">
        <v>89.58</v>
      </c>
      <c r="F462" s="7">
        <v>17</v>
      </c>
      <c r="G462" s="7">
        <v>6</v>
      </c>
      <c r="H462" s="7">
        <v>5483.86</v>
      </c>
      <c r="I462" s="6" t="s">
        <v>665</v>
      </c>
      <c r="J462" s="7" t="s">
        <v>451</v>
      </c>
      <c r="K462" s="8">
        <v>6.81</v>
      </c>
    </row>
    <row r="463" spans="1:11" ht="15.5">
      <c r="A463" s="9" t="s">
        <v>1029</v>
      </c>
      <c r="B463" s="7" t="s">
        <v>1056</v>
      </c>
      <c r="C463" s="7" t="s">
        <v>62</v>
      </c>
      <c r="D463" s="7">
        <v>2023</v>
      </c>
      <c r="E463" s="7">
        <v>91.78</v>
      </c>
      <c r="F463" s="7">
        <v>7</v>
      </c>
      <c r="G463" s="7">
        <v>6</v>
      </c>
      <c r="H463" s="7">
        <v>3540.22</v>
      </c>
      <c r="I463" s="6">
        <v>100</v>
      </c>
      <c r="J463" s="7" t="s">
        <v>1057</v>
      </c>
      <c r="K463" s="8">
        <v>6.21</v>
      </c>
    </row>
    <row r="464" spans="1:11" ht="15.5">
      <c r="A464" s="9" t="s">
        <v>1029</v>
      </c>
      <c r="B464" s="7" t="s">
        <v>1058</v>
      </c>
      <c r="C464" s="7" t="s">
        <v>62</v>
      </c>
      <c r="D464" s="7">
        <v>2023</v>
      </c>
      <c r="E464" s="7">
        <v>88.56</v>
      </c>
      <c r="F464" s="7">
        <v>24</v>
      </c>
      <c r="G464" s="7">
        <v>6</v>
      </c>
      <c r="H464" s="7">
        <v>25857.83</v>
      </c>
      <c r="I464" s="6">
        <v>100</v>
      </c>
      <c r="J464" s="7" t="s">
        <v>82</v>
      </c>
      <c r="K464" s="8">
        <v>6.51</v>
      </c>
    </row>
    <row r="465" spans="1:11" ht="15.5">
      <c r="A465" s="12" t="s">
        <v>1029</v>
      </c>
      <c r="B465" s="13" t="s">
        <v>1059</v>
      </c>
      <c r="C465" s="13" t="s">
        <v>62</v>
      </c>
      <c r="D465" s="13">
        <v>2023</v>
      </c>
      <c r="E465" s="13">
        <v>81.569999999999993</v>
      </c>
      <c r="F465" s="13">
        <v>58</v>
      </c>
      <c r="G465" s="13">
        <v>6</v>
      </c>
      <c r="H465" s="13">
        <v>16167.69</v>
      </c>
      <c r="I465" s="16">
        <v>100</v>
      </c>
      <c r="J465" s="13" t="s">
        <v>1057</v>
      </c>
      <c r="K465" s="14">
        <v>8.3800000000000008</v>
      </c>
    </row>
    <row r="466" spans="1:11" ht="15.5">
      <c r="A466" s="4" t="s">
        <v>1060</v>
      </c>
      <c r="B466" s="5" t="s">
        <v>1061</v>
      </c>
      <c r="C466" s="5" t="s">
        <v>13</v>
      </c>
      <c r="D466" s="5">
        <v>2023</v>
      </c>
      <c r="E466" s="5">
        <v>74.36</v>
      </c>
      <c r="F466" s="5">
        <v>247</v>
      </c>
      <c r="G466" s="5">
        <v>5</v>
      </c>
      <c r="H466" s="5">
        <v>7898.1</v>
      </c>
      <c r="I466" s="6" t="s">
        <v>1062</v>
      </c>
      <c r="J466" s="5" t="s">
        <v>1063</v>
      </c>
      <c r="K466" s="8">
        <v>6.22</v>
      </c>
    </row>
    <row r="467" spans="1:11" ht="15.5">
      <c r="A467" s="9" t="s">
        <v>1060</v>
      </c>
      <c r="B467" s="7" t="s">
        <v>1064</v>
      </c>
      <c r="C467" s="7" t="s">
        <v>13</v>
      </c>
      <c r="D467" s="7">
        <v>2023</v>
      </c>
      <c r="E467" s="7">
        <v>79.040000000000006</v>
      </c>
      <c r="F467" s="7">
        <v>177</v>
      </c>
      <c r="G467" s="7">
        <v>6</v>
      </c>
      <c r="H467" s="7">
        <v>292132.15000000002</v>
      </c>
      <c r="I467" s="6" t="s">
        <v>1065</v>
      </c>
      <c r="J467" s="7" t="s">
        <v>299</v>
      </c>
      <c r="K467" s="8">
        <v>6.3</v>
      </c>
    </row>
    <row r="468" spans="1:11" ht="15.5">
      <c r="A468" s="9" t="s">
        <v>1060</v>
      </c>
      <c r="B468" s="7" t="s">
        <v>1066</v>
      </c>
      <c r="C468" s="7" t="s">
        <v>13</v>
      </c>
      <c r="D468" s="7">
        <v>2023</v>
      </c>
      <c r="E468" s="7">
        <v>73.22</v>
      </c>
      <c r="F468" s="7">
        <v>265</v>
      </c>
      <c r="G468" s="7">
        <v>5</v>
      </c>
      <c r="H468" s="7">
        <v>29797.21</v>
      </c>
      <c r="I468" s="6" t="s">
        <v>1067</v>
      </c>
      <c r="J468" s="7" t="s">
        <v>1068</v>
      </c>
      <c r="K468" s="8">
        <v>6.13</v>
      </c>
    </row>
    <row r="469" spans="1:11" ht="15.5">
      <c r="A469" s="9" t="s">
        <v>1060</v>
      </c>
      <c r="B469" s="7" t="s">
        <v>1069</v>
      </c>
      <c r="C469" s="7" t="s">
        <v>13</v>
      </c>
      <c r="D469" s="7">
        <v>2023</v>
      </c>
      <c r="E469" s="7">
        <v>72.87</v>
      </c>
      <c r="F469" s="7">
        <v>270</v>
      </c>
      <c r="G469" s="7">
        <v>5</v>
      </c>
      <c r="H469" s="7">
        <v>40125.49</v>
      </c>
      <c r="I469" s="6">
        <v>100</v>
      </c>
      <c r="J469" s="7" t="s">
        <v>1070</v>
      </c>
      <c r="K469" s="8">
        <v>5.41</v>
      </c>
    </row>
    <row r="470" spans="1:11" ht="15.5">
      <c r="A470" s="9" t="s">
        <v>1060</v>
      </c>
      <c r="B470" s="7" t="s">
        <v>1071</v>
      </c>
      <c r="C470" s="7" t="s">
        <v>13</v>
      </c>
      <c r="D470" s="7">
        <v>2023</v>
      </c>
      <c r="E470" s="7">
        <v>79.56</v>
      </c>
      <c r="F470" s="7">
        <v>166</v>
      </c>
      <c r="G470" s="7">
        <v>6</v>
      </c>
      <c r="H470" s="7">
        <v>59638.7</v>
      </c>
      <c r="I470" s="6" t="s">
        <v>856</v>
      </c>
      <c r="J470" s="7" t="s">
        <v>1072</v>
      </c>
      <c r="K470" s="8">
        <v>8.1199999999999992</v>
      </c>
    </row>
    <row r="471" spans="1:11" ht="15.5">
      <c r="A471" s="9" t="s">
        <v>1060</v>
      </c>
      <c r="B471" s="7" t="s">
        <v>1073</v>
      </c>
      <c r="C471" s="7" t="s">
        <v>13</v>
      </c>
      <c r="D471" s="7">
        <v>2023</v>
      </c>
      <c r="E471" s="7">
        <v>79.09</v>
      </c>
      <c r="F471" s="7">
        <v>174</v>
      </c>
      <c r="G471" s="7">
        <v>6</v>
      </c>
      <c r="H471" s="7">
        <v>77574.960000000006</v>
      </c>
      <c r="I471" s="6" t="s">
        <v>1074</v>
      </c>
      <c r="J471" s="7" t="s">
        <v>172</v>
      </c>
      <c r="K471" s="8">
        <v>4.58</v>
      </c>
    </row>
    <row r="472" spans="1:11" ht="15.5">
      <c r="A472" s="9" t="s">
        <v>1060</v>
      </c>
      <c r="B472" s="7" t="s">
        <v>1075</v>
      </c>
      <c r="C472" s="7" t="s">
        <v>13</v>
      </c>
      <c r="D472" s="7">
        <v>2023</v>
      </c>
      <c r="E472" s="7">
        <v>78.91</v>
      </c>
      <c r="F472" s="7">
        <v>179</v>
      </c>
      <c r="G472" s="7">
        <v>6</v>
      </c>
      <c r="H472" s="7">
        <v>525872.87</v>
      </c>
      <c r="I472" s="6">
        <v>100</v>
      </c>
      <c r="J472" s="7" t="s">
        <v>63</v>
      </c>
      <c r="K472" s="8">
        <v>4.4800000000000004</v>
      </c>
    </row>
    <row r="473" spans="1:11" ht="15.5">
      <c r="A473" s="9" t="s">
        <v>1060</v>
      </c>
      <c r="B473" s="7" t="s">
        <v>1076</v>
      </c>
      <c r="C473" s="7" t="s">
        <v>13</v>
      </c>
      <c r="D473" s="7">
        <v>2023</v>
      </c>
      <c r="E473" s="7">
        <v>76.150000000000006</v>
      </c>
      <c r="F473" s="7">
        <v>228</v>
      </c>
      <c r="G473" s="7">
        <v>6</v>
      </c>
      <c r="H473" s="7">
        <v>26167.7</v>
      </c>
      <c r="I473" s="6" t="s">
        <v>1077</v>
      </c>
      <c r="J473" s="7" t="s">
        <v>123</v>
      </c>
      <c r="K473" s="8">
        <v>10.47</v>
      </c>
    </row>
    <row r="474" spans="1:11" ht="15.5">
      <c r="A474" s="9" t="s">
        <v>1060</v>
      </c>
      <c r="B474" s="7" t="s">
        <v>1078</v>
      </c>
      <c r="C474" s="7" t="s">
        <v>13</v>
      </c>
      <c r="D474" s="7">
        <v>2023</v>
      </c>
      <c r="E474" s="7">
        <v>84.52</v>
      </c>
      <c r="F474" s="7">
        <v>68</v>
      </c>
      <c r="G474" s="7">
        <v>6</v>
      </c>
      <c r="H474" s="7">
        <v>399696.81</v>
      </c>
      <c r="I474" s="6">
        <v>100</v>
      </c>
      <c r="J474" s="7" t="s">
        <v>266</v>
      </c>
      <c r="K474" s="8">
        <v>8.4</v>
      </c>
    </row>
    <row r="475" spans="1:11" ht="15.5">
      <c r="A475" s="9" t="s">
        <v>1060</v>
      </c>
      <c r="B475" s="7" t="s">
        <v>1079</v>
      </c>
      <c r="C475" s="7" t="s">
        <v>13</v>
      </c>
      <c r="D475" s="7">
        <v>2023</v>
      </c>
      <c r="E475" s="7">
        <v>76.319999999999993</v>
      </c>
      <c r="F475" s="7">
        <v>225</v>
      </c>
      <c r="G475" s="7">
        <v>6</v>
      </c>
      <c r="H475" s="7">
        <v>54474.06</v>
      </c>
      <c r="I475" s="6" t="s">
        <v>1080</v>
      </c>
      <c r="J475" s="7" t="s">
        <v>1081</v>
      </c>
      <c r="K475" s="8">
        <v>8.5500000000000007</v>
      </c>
    </row>
    <row r="476" spans="1:11" ht="15.5">
      <c r="A476" s="9" t="s">
        <v>1060</v>
      </c>
      <c r="B476" s="7" t="s">
        <v>1082</v>
      </c>
      <c r="C476" s="7" t="s">
        <v>13</v>
      </c>
      <c r="D476" s="7">
        <v>2023</v>
      </c>
      <c r="E476" s="7">
        <v>69.27</v>
      </c>
      <c r="F476" s="7">
        <v>307</v>
      </c>
      <c r="G476" s="7">
        <v>5</v>
      </c>
      <c r="H476" s="7">
        <v>27874.43</v>
      </c>
      <c r="I476" s="6" t="s">
        <v>176</v>
      </c>
      <c r="J476" s="7" t="s">
        <v>33</v>
      </c>
      <c r="K476" s="8">
        <v>12.35</v>
      </c>
    </row>
    <row r="477" spans="1:11" ht="15.5">
      <c r="A477" s="9" t="s">
        <v>1060</v>
      </c>
      <c r="B477" s="7" t="s">
        <v>1083</v>
      </c>
      <c r="C477" s="7" t="s">
        <v>13</v>
      </c>
      <c r="D477" s="7">
        <v>2023</v>
      </c>
      <c r="E477" s="7">
        <v>73.709999999999994</v>
      </c>
      <c r="F477" s="7">
        <v>256</v>
      </c>
      <c r="G477" s="7">
        <v>5</v>
      </c>
      <c r="H477" s="7">
        <v>14380.66</v>
      </c>
      <c r="I477" s="6">
        <v>100</v>
      </c>
      <c r="J477" s="7" t="s">
        <v>210</v>
      </c>
      <c r="K477" s="8">
        <v>8.2799999999999994</v>
      </c>
    </row>
    <row r="478" spans="1:11" ht="15.5">
      <c r="A478" s="9" t="s">
        <v>1060</v>
      </c>
      <c r="B478" s="7" t="s">
        <v>1084</v>
      </c>
      <c r="C478" s="7" t="s">
        <v>13</v>
      </c>
      <c r="D478" s="7">
        <v>2023</v>
      </c>
      <c r="E478" s="7">
        <v>60.31</v>
      </c>
      <c r="F478" s="7">
        <v>346</v>
      </c>
      <c r="G478" s="7">
        <v>4</v>
      </c>
      <c r="H478" s="7">
        <v>7015.72</v>
      </c>
      <c r="I478" s="6" t="s">
        <v>1085</v>
      </c>
      <c r="J478" s="7" t="s">
        <v>934</v>
      </c>
      <c r="K478" s="8">
        <v>7.49</v>
      </c>
    </row>
    <row r="479" spans="1:11" ht="15.5">
      <c r="A479" s="9" t="s">
        <v>1060</v>
      </c>
      <c r="B479" s="7" t="s">
        <v>1086</v>
      </c>
      <c r="C479" s="7" t="s">
        <v>62</v>
      </c>
      <c r="D479" s="7">
        <v>2023</v>
      </c>
      <c r="E479" s="7">
        <v>83.29</v>
      </c>
      <c r="F479" s="7">
        <v>51</v>
      </c>
      <c r="G479" s="7">
        <v>6</v>
      </c>
      <c r="H479" s="7">
        <v>8585.99</v>
      </c>
      <c r="I479" s="6">
        <v>100</v>
      </c>
      <c r="J479" s="7" t="s">
        <v>259</v>
      </c>
      <c r="K479" s="8">
        <v>4.59</v>
      </c>
    </row>
    <row r="480" spans="1:11" ht="15.5">
      <c r="A480" s="9" t="s">
        <v>1060</v>
      </c>
      <c r="B480" s="7" t="s">
        <v>1087</v>
      </c>
      <c r="C480" s="7" t="s">
        <v>62</v>
      </c>
      <c r="D480" s="7">
        <v>2023</v>
      </c>
      <c r="E480" s="7">
        <v>68.83</v>
      </c>
      <c r="F480" s="7">
        <v>91</v>
      </c>
      <c r="G480" s="7">
        <v>5</v>
      </c>
      <c r="H480" s="7">
        <v>90.93</v>
      </c>
      <c r="I480" s="6" t="s">
        <v>1080</v>
      </c>
      <c r="J480" s="7" t="s">
        <v>104</v>
      </c>
      <c r="K480" s="8">
        <v>8.09</v>
      </c>
    </row>
    <row r="481" spans="1:11" ht="15.5">
      <c r="A481" s="9" t="s">
        <v>1060</v>
      </c>
      <c r="B481" s="7" t="s">
        <v>1088</v>
      </c>
      <c r="C481" s="7" t="s">
        <v>62</v>
      </c>
      <c r="D481" s="7">
        <v>2023</v>
      </c>
      <c r="E481" s="7">
        <v>59.17</v>
      </c>
      <c r="F481" s="7">
        <v>96</v>
      </c>
      <c r="G481" s="7">
        <v>4</v>
      </c>
      <c r="H481" s="7">
        <v>11106.33</v>
      </c>
      <c r="I481" s="6" t="s">
        <v>1089</v>
      </c>
      <c r="J481" s="7" t="s">
        <v>437</v>
      </c>
      <c r="K481" s="8">
        <v>10.23</v>
      </c>
    </row>
    <row r="482" spans="1:11" ht="15.5">
      <c r="A482" s="12" t="s">
        <v>1060</v>
      </c>
      <c r="B482" s="13" t="s">
        <v>1090</v>
      </c>
      <c r="C482" s="13" t="s">
        <v>62</v>
      </c>
      <c r="D482" s="13">
        <v>2023</v>
      </c>
      <c r="E482" s="13">
        <v>66.260000000000005</v>
      </c>
      <c r="F482" s="13">
        <v>93</v>
      </c>
      <c r="G482" s="13">
        <v>5</v>
      </c>
      <c r="H482" s="13">
        <v>3694.73</v>
      </c>
      <c r="I482" s="16">
        <v>100</v>
      </c>
      <c r="J482" s="13" t="s">
        <v>541</v>
      </c>
      <c r="K482" s="14">
        <v>7.84</v>
      </c>
    </row>
    <row r="483" spans="1:11" ht="15.5">
      <c r="A483" s="4" t="s">
        <v>1091</v>
      </c>
      <c r="B483" s="5" t="s">
        <v>1092</v>
      </c>
      <c r="C483" s="5" t="s">
        <v>13</v>
      </c>
      <c r="D483" s="5">
        <v>2023</v>
      </c>
      <c r="E483" s="5">
        <v>71.38</v>
      </c>
      <c r="F483" s="5">
        <v>285</v>
      </c>
      <c r="G483" s="5">
        <v>5</v>
      </c>
      <c r="H483" s="5">
        <v>3524447</v>
      </c>
      <c r="I483" s="6" t="s">
        <v>1093</v>
      </c>
      <c r="J483" s="5" t="s">
        <v>141</v>
      </c>
      <c r="K483" s="8">
        <v>8.14</v>
      </c>
    </row>
    <row r="484" spans="1:11" ht="15.5">
      <c r="A484" s="9" t="s">
        <v>1091</v>
      </c>
      <c r="B484" s="7" t="s">
        <v>1094</v>
      </c>
      <c r="C484" s="7" t="s">
        <v>13</v>
      </c>
      <c r="D484" s="7">
        <v>2023</v>
      </c>
      <c r="E484" s="7">
        <v>69.540000000000006</v>
      </c>
      <c r="F484" s="7">
        <v>301</v>
      </c>
      <c r="G484" s="7">
        <v>5</v>
      </c>
      <c r="H484" s="7">
        <v>82436.28</v>
      </c>
      <c r="I484" s="6" t="s">
        <v>1095</v>
      </c>
      <c r="J484" s="7" t="s">
        <v>316</v>
      </c>
      <c r="K484" s="8">
        <v>9.0299999999999994</v>
      </c>
    </row>
    <row r="485" spans="1:11" ht="15.5">
      <c r="A485" s="9" t="s">
        <v>1091</v>
      </c>
      <c r="B485" s="7" t="s">
        <v>1096</v>
      </c>
      <c r="C485" s="7" t="s">
        <v>13</v>
      </c>
      <c r="D485" s="7">
        <v>2023</v>
      </c>
      <c r="E485" s="7">
        <v>73.400000000000006</v>
      </c>
      <c r="F485" s="7">
        <v>262</v>
      </c>
      <c r="G485" s="7">
        <v>5</v>
      </c>
      <c r="H485" s="7">
        <v>98843.26</v>
      </c>
      <c r="I485" s="6" t="s">
        <v>1097</v>
      </c>
      <c r="J485" s="7" t="s">
        <v>1063</v>
      </c>
      <c r="K485" s="8">
        <v>8.1</v>
      </c>
    </row>
    <row r="486" spans="1:11" ht="15.5">
      <c r="A486" s="9" t="s">
        <v>1091</v>
      </c>
      <c r="B486" s="7" t="s">
        <v>1098</v>
      </c>
      <c r="C486" s="7" t="s">
        <v>13</v>
      </c>
      <c r="D486" s="7">
        <v>2023</v>
      </c>
      <c r="E486" s="7">
        <v>72.180000000000007</v>
      </c>
      <c r="F486" s="7">
        <v>277</v>
      </c>
      <c r="G486" s="7">
        <v>5</v>
      </c>
      <c r="H486" s="7">
        <v>48181.74</v>
      </c>
      <c r="I486" s="6" t="s">
        <v>1099</v>
      </c>
      <c r="J486" s="7" t="s">
        <v>1100</v>
      </c>
      <c r="K486" s="8">
        <v>6.99</v>
      </c>
    </row>
    <row r="487" spans="1:11" ht="15.5">
      <c r="A487" s="9" t="s">
        <v>1091</v>
      </c>
      <c r="B487" s="7" t="s">
        <v>1101</v>
      </c>
      <c r="C487" s="7" t="s">
        <v>13</v>
      </c>
      <c r="D487" s="7">
        <v>2023</v>
      </c>
      <c r="E487" s="7">
        <v>77.290000000000006</v>
      </c>
      <c r="F487" s="7">
        <v>204</v>
      </c>
      <c r="G487" s="7">
        <v>6</v>
      </c>
      <c r="H487" s="7">
        <v>125645.14</v>
      </c>
      <c r="I487" s="6" t="s">
        <v>206</v>
      </c>
      <c r="J487" s="7" t="s">
        <v>899</v>
      </c>
      <c r="K487" s="8">
        <v>7.05</v>
      </c>
    </row>
    <row r="488" spans="1:11" ht="15.5">
      <c r="A488" s="9" t="s">
        <v>1091</v>
      </c>
      <c r="B488" s="7" t="s">
        <v>1102</v>
      </c>
      <c r="C488" s="7" t="s">
        <v>13</v>
      </c>
      <c r="D488" s="7">
        <v>2023</v>
      </c>
      <c r="E488" s="7">
        <v>83.09</v>
      </c>
      <c r="F488" s="7">
        <v>98</v>
      </c>
      <c r="G488" s="7">
        <v>6</v>
      </c>
      <c r="H488" s="7">
        <v>102802.33</v>
      </c>
      <c r="I488" s="6" t="s">
        <v>559</v>
      </c>
      <c r="J488" s="7" t="s">
        <v>316</v>
      </c>
      <c r="K488" s="8">
        <v>6.91</v>
      </c>
    </row>
    <row r="489" spans="1:11" ht="15.5">
      <c r="A489" s="9" t="s">
        <v>1091</v>
      </c>
      <c r="B489" s="7" t="s">
        <v>1103</v>
      </c>
      <c r="C489" s="7" t="s">
        <v>13</v>
      </c>
      <c r="D489" s="7">
        <v>2023</v>
      </c>
      <c r="E489" s="7">
        <v>77.959999999999994</v>
      </c>
      <c r="F489" s="7">
        <v>191</v>
      </c>
      <c r="G489" s="7">
        <v>6</v>
      </c>
      <c r="H489" s="7">
        <v>8264209</v>
      </c>
      <c r="I489" s="6" t="s">
        <v>445</v>
      </c>
      <c r="J489" s="7" t="s">
        <v>344</v>
      </c>
      <c r="K489" s="8">
        <v>7.38</v>
      </c>
    </row>
    <row r="490" spans="1:11" ht="15.5">
      <c r="A490" s="9" t="s">
        <v>1091</v>
      </c>
      <c r="B490" s="7" t="s">
        <v>1104</v>
      </c>
      <c r="C490" s="7" t="s">
        <v>13</v>
      </c>
      <c r="D490" s="7">
        <v>2023</v>
      </c>
      <c r="E490" s="7">
        <v>73.989999999999995</v>
      </c>
      <c r="F490" s="7">
        <v>254</v>
      </c>
      <c r="G490" s="7">
        <v>5</v>
      </c>
      <c r="H490" s="7">
        <v>6569271</v>
      </c>
      <c r="I490" s="6" t="s">
        <v>65</v>
      </c>
      <c r="J490" s="7" t="s">
        <v>1105</v>
      </c>
      <c r="K490" s="8">
        <v>8.65</v>
      </c>
    </row>
    <row r="491" spans="1:11" ht="15.5">
      <c r="A491" s="9" t="s">
        <v>1091</v>
      </c>
      <c r="B491" s="7" t="s">
        <v>1106</v>
      </c>
      <c r="C491" s="7" t="s">
        <v>13</v>
      </c>
      <c r="D491" s="7">
        <v>2023</v>
      </c>
      <c r="E491" s="7">
        <v>81.41</v>
      </c>
      <c r="F491" s="7">
        <v>130</v>
      </c>
      <c r="G491" s="7">
        <v>6</v>
      </c>
      <c r="H491" s="7">
        <v>14300893</v>
      </c>
      <c r="I491" s="6" t="s">
        <v>219</v>
      </c>
      <c r="J491" s="7" t="s">
        <v>261</v>
      </c>
      <c r="K491" s="8">
        <v>11.19</v>
      </c>
    </row>
    <row r="492" spans="1:11" ht="15.5">
      <c r="A492" s="9" t="s">
        <v>1091</v>
      </c>
      <c r="B492" s="7" t="s">
        <v>1107</v>
      </c>
      <c r="C492" s="7" t="s">
        <v>13</v>
      </c>
      <c r="D492" s="7">
        <v>2023</v>
      </c>
      <c r="E492" s="7">
        <v>82.92</v>
      </c>
      <c r="F492" s="7">
        <v>104</v>
      </c>
      <c r="G492" s="7">
        <v>6</v>
      </c>
      <c r="H492" s="7">
        <v>3493489</v>
      </c>
      <c r="I492" s="6" t="s">
        <v>1108</v>
      </c>
      <c r="J492" s="7" t="s">
        <v>149</v>
      </c>
      <c r="K492" s="8">
        <v>7.66</v>
      </c>
    </row>
    <row r="493" spans="1:11" ht="15.5">
      <c r="A493" s="9" t="s">
        <v>1091</v>
      </c>
      <c r="B493" s="7" t="s">
        <v>1109</v>
      </c>
      <c r="C493" s="7" t="s">
        <v>13</v>
      </c>
      <c r="D493" s="7">
        <v>2023</v>
      </c>
      <c r="E493" s="7">
        <v>81.349999999999994</v>
      </c>
      <c r="F493" s="7">
        <v>134</v>
      </c>
      <c r="G493" s="7">
        <v>6</v>
      </c>
      <c r="H493" s="7">
        <v>6345143</v>
      </c>
      <c r="I493" s="6">
        <v>100</v>
      </c>
      <c r="J493" s="7" t="s">
        <v>63</v>
      </c>
      <c r="K493" s="8">
        <v>5.42</v>
      </c>
    </row>
    <row r="494" spans="1:11" ht="15.5">
      <c r="A494" s="9" t="s">
        <v>1091</v>
      </c>
      <c r="B494" s="7" t="s">
        <v>1110</v>
      </c>
      <c r="C494" s="7" t="s">
        <v>13</v>
      </c>
      <c r="D494" s="7">
        <v>2023</v>
      </c>
      <c r="E494" s="7">
        <v>86.81</v>
      </c>
      <c r="F494" s="7">
        <v>31</v>
      </c>
      <c r="G494" s="7">
        <v>6</v>
      </c>
      <c r="H494" s="7">
        <v>33176945</v>
      </c>
      <c r="I494" s="6" t="s">
        <v>1054</v>
      </c>
      <c r="J494" s="7" t="s">
        <v>273</v>
      </c>
      <c r="K494" s="8">
        <v>9.6999999999999993</v>
      </c>
    </row>
    <row r="495" spans="1:11" ht="15.5">
      <c r="A495" s="9" t="s">
        <v>1091</v>
      </c>
      <c r="B495" s="7" t="s">
        <v>1111</v>
      </c>
      <c r="C495" s="7" t="s">
        <v>13</v>
      </c>
      <c r="D495" s="7">
        <v>2023</v>
      </c>
      <c r="E495" s="7">
        <v>76.89</v>
      </c>
      <c r="F495" s="7">
        <v>214</v>
      </c>
      <c r="G495" s="7">
        <v>6</v>
      </c>
      <c r="H495" s="7">
        <v>11531033</v>
      </c>
      <c r="I495" s="6" t="s">
        <v>1112</v>
      </c>
      <c r="J495" s="7" t="s">
        <v>316</v>
      </c>
      <c r="K495" s="8">
        <v>10.75</v>
      </c>
    </row>
    <row r="496" spans="1:11" ht="15.5">
      <c r="A496" s="9" t="s">
        <v>1091</v>
      </c>
      <c r="B496" s="7" t="s">
        <v>1113</v>
      </c>
      <c r="C496" s="7" t="s">
        <v>13</v>
      </c>
      <c r="D496" s="7">
        <v>2023</v>
      </c>
      <c r="E496" s="7">
        <v>65.67</v>
      </c>
      <c r="F496" s="7">
        <v>325</v>
      </c>
      <c r="G496" s="7">
        <v>4</v>
      </c>
      <c r="H496" s="7">
        <v>4303779</v>
      </c>
      <c r="I496" s="6" t="s">
        <v>1114</v>
      </c>
      <c r="J496" s="7" t="s">
        <v>1115</v>
      </c>
      <c r="K496" s="8">
        <v>13.45</v>
      </c>
    </row>
    <row r="497" spans="1:11" ht="15.5">
      <c r="A497" s="9" t="s">
        <v>1091</v>
      </c>
      <c r="B497" s="7" t="s">
        <v>1116</v>
      </c>
      <c r="C497" s="7" t="s">
        <v>13</v>
      </c>
      <c r="D497" s="7">
        <v>2023</v>
      </c>
      <c r="E497" s="7">
        <v>78.900000000000006</v>
      </c>
      <c r="F497" s="7">
        <v>180</v>
      </c>
      <c r="G497" s="7">
        <v>6</v>
      </c>
      <c r="H497" s="7">
        <v>6590805</v>
      </c>
      <c r="I497" s="6" t="s">
        <v>32</v>
      </c>
      <c r="J497" s="7" t="s">
        <v>39</v>
      </c>
      <c r="K497" s="8">
        <v>5.82</v>
      </c>
    </row>
    <row r="498" spans="1:11" ht="15.5">
      <c r="A498" s="9" t="s">
        <v>1091</v>
      </c>
      <c r="B498" s="7" t="s">
        <v>1117</v>
      </c>
      <c r="C498" s="7" t="s">
        <v>13</v>
      </c>
      <c r="D498" s="7">
        <v>2023</v>
      </c>
      <c r="E498" s="7">
        <v>77.319999999999993</v>
      </c>
      <c r="F498" s="7">
        <v>203</v>
      </c>
      <c r="G498" s="7">
        <v>6</v>
      </c>
      <c r="H498" s="7">
        <v>521274</v>
      </c>
      <c r="I498" s="6" t="s">
        <v>1118</v>
      </c>
      <c r="J498" s="7" t="s">
        <v>163</v>
      </c>
      <c r="K498" s="8">
        <v>5.26</v>
      </c>
    </row>
    <row r="499" spans="1:11" ht="15.5">
      <c r="A499" s="9" t="s">
        <v>1091</v>
      </c>
      <c r="B499" s="7" t="s">
        <v>1119</v>
      </c>
      <c r="C499" s="7" t="s">
        <v>13</v>
      </c>
      <c r="D499" s="7">
        <v>2023</v>
      </c>
      <c r="E499" s="7">
        <v>78.89</v>
      </c>
      <c r="F499" s="7">
        <v>181</v>
      </c>
      <c r="G499" s="7">
        <v>6</v>
      </c>
      <c r="H499" s="7">
        <v>3805233</v>
      </c>
      <c r="I499" s="6" t="s">
        <v>1018</v>
      </c>
      <c r="J499" s="7" t="s">
        <v>344</v>
      </c>
      <c r="K499" s="8">
        <v>6.31</v>
      </c>
    </row>
    <row r="500" spans="1:11" ht="15.5">
      <c r="A500" s="9" t="s">
        <v>1091</v>
      </c>
      <c r="B500" s="7" t="s">
        <v>1120</v>
      </c>
      <c r="C500" s="7" t="s">
        <v>13</v>
      </c>
      <c r="D500" s="7">
        <v>2023</v>
      </c>
      <c r="E500" s="7">
        <v>83.76</v>
      </c>
      <c r="F500" s="7">
        <v>80</v>
      </c>
      <c r="G500" s="7">
        <v>6</v>
      </c>
      <c r="H500" s="7">
        <v>29831465</v>
      </c>
      <c r="I500" s="6" t="s">
        <v>229</v>
      </c>
      <c r="J500" s="7" t="s">
        <v>344</v>
      </c>
      <c r="K500" s="8">
        <v>10.59</v>
      </c>
    </row>
    <row r="501" spans="1:11" ht="15.5">
      <c r="A501" s="9" t="s">
        <v>1091</v>
      </c>
      <c r="B501" s="7" t="s">
        <v>1121</v>
      </c>
      <c r="C501" s="7" t="s">
        <v>13</v>
      </c>
      <c r="D501" s="7">
        <v>2023</v>
      </c>
      <c r="E501" s="7">
        <v>76.819999999999993</v>
      </c>
      <c r="F501" s="7">
        <v>216</v>
      </c>
      <c r="G501" s="7">
        <v>6</v>
      </c>
      <c r="H501" s="7">
        <v>6843096</v>
      </c>
      <c r="I501" s="6" t="s">
        <v>1047</v>
      </c>
      <c r="J501" s="7" t="s">
        <v>30</v>
      </c>
      <c r="K501" s="8">
        <v>8.44</v>
      </c>
    </row>
    <row r="502" spans="1:11" ht="15.5">
      <c r="A502" s="9" t="s">
        <v>1091</v>
      </c>
      <c r="B502" s="7" t="s">
        <v>1122</v>
      </c>
      <c r="C502" s="7" t="s">
        <v>13</v>
      </c>
      <c r="D502" s="7">
        <v>2023</v>
      </c>
      <c r="E502" s="7">
        <v>70.400000000000006</v>
      </c>
      <c r="F502" s="7">
        <v>295</v>
      </c>
      <c r="G502" s="7">
        <v>5</v>
      </c>
      <c r="H502" s="7">
        <v>29247.18</v>
      </c>
      <c r="I502" s="6" t="s">
        <v>1080</v>
      </c>
      <c r="J502" s="7" t="s">
        <v>214</v>
      </c>
      <c r="K502" s="8">
        <v>6.09</v>
      </c>
    </row>
    <row r="503" spans="1:11" ht="15.5">
      <c r="A503" s="9" t="s">
        <v>1091</v>
      </c>
      <c r="B503" s="7" t="s">
        <v>1123</v>
      </c>
      <c r="C503" s="7" t="s">
        <v>13</v>
      </c>
      <c r="D503" s="7">
        <v>2023</v>
      </c>
      <c r="E503" s="7">
        <v>70.900000000000006</v>
      </c>
      <c r="F503" s="7">
        <v>288</v>
      </c>
      <c r="G503" s="7">
        <v>5</v>
      </c>
      <c r="H503" s="7">
        <v>27674.560000000001</v>
      </c>
      <c r="I503" s="6" t="s">
        <v>579</v>
      </c>
      <c r="J503" s="7" t="s">
        <v>312</v>
      </c>
      <c r="K503" s="8">
        <v>5.26</v>
      </c>
    </row>
    <row r="504" spans="1:11" ht="15.5">
      <c r="A504" s="9" t="s">
        <v>1091</v>
      </c>
      <c r="B504" s="7" t="s">
        <v>1124</v>
      </c>
      <c r="C504" s="7" t="s">
        <v>13</v>
      </c>
      <c r="D504" s="7">
        <v>2023</v>
      </c>
      <c r="E504" s="7">
        <v>56.18</v>
      </c>
      <c r="F504" s="7">
        <v>364</v>
      </c>
      <c r="G504" s="7">
        <v>3</v>
      </c>
      <c r="H504" s="7">
        <v>403.84</v>
      </c>
      <c r="I504" s="6" t="s">
        <v>1125</v>
      </c>
      <c r="J504" s="7" t="s">
        <v>227</v>
      </c>
      <c r="K504" s="8">
        <v>5.33</v>
      </c>
    </row>
    <row r="505" spans="1:11" ht="15.5">
      <c r="A505" s="9" t="s">
        <v>1091</v>
      </c>
      <c r="B505" s="7" t="s">
        <v>1126</v>
      </c>
      <c r="C505" s="7" t="s">
        <v>13</v>
      </c>
      <c r="D505" s="7">
        <v>2023</v>
      </c>
      <c r="E505" s="7">
        <v>81.22</v>
      </c>
      <c r="F505" s="7">
        <v>139</v>
      </c>
      <c r="G505" s="7">
        <v>6</v>
      </c>
      <c r="H505" s="7">
        <v>79223.039999999994</v>
      </c>
      <c r="I505" s="6" t="s">
        <v>176</v>
      </c>
      <c r="J505" s="7" t="s">
        <v>426</v>
      </c>
      <c r="K505" s="8">
        <v>7.69</v>
      </c>
    </row>
    <row r="506" spans="1:11" ht="15.5">
      <c r="A506" s="9" t="s">
        <v>1091</v>
      </c>
      <c r="B506" s="7" t="s">
        <v>1127</v>
      </c>
      <c r="C506" s="7" t="s">
        <v>13</v>
      </c>
      <c r="D506" s="7">
        <v>2023</v>
      </c>
      <c r="E506" s="7">
        <v>73.67</v>
      </c>
      <c r="F506" s="7">
        <v>258</v>
      </c>
      <c r="G506" s="7">
        <v>5</v>
      </c>
      <c r="H506" s="7">
        <v>39122.949999999997</v>
      </c>
      <c r="I506" s="6" t="s">
        <v>1128</v>
      </c>
      <c r="J506" s="7" t="s">
        <v>709</v>
      </c>
      <c r="K506" s="8">
        <v>9.1999999999999993</v>
      </c>
    </row>
    <row r="507" spans="1:11" ht="15.5">
      <c r="A507" s="9" t="s">
        <v>1091</v>
      </c>
      <c r="B507" s="7" t="s">
        <v>1129</v>
      </c>
      <c r="C507" s="7" t="s">
        <v>13</v>
      </c>
      <c r="D507" s="7">
        <v>2023</v>
      </c>
      <c r="E507" s="7">
        <v>61.2</v>
      </c>
      <c r="F507" s="7">
        <v>344</v>
      </c>
      <c r="G507" s="7">
        <v>4</v>
      </c>
      <c r="H507" s="7">
        <v>10228.82</v>
      </c>
      <c r="I507" s="6" t="s">
        <v>1130</v>
      </c>
      <c r="J507" s="7" t="s">
        <v>1131</v>
      </c>
      <c r="K507" s="8">
        <v>10.95</v>
      </c>
    </row>
    <row r="508" spans="1:11" ht="15.5">
      <c r="A508" s="9" t="s">
        <v>1091</v>
      </c>
      <c r="B508" s="7" t="s">
        <v>1132</v>
      </c>
      <c r="C508" s="7" t="s">
        <v>62</v>
      </c>
      <c r="D508" s="7">
        <v>2023</v>
      </c>
      <c r="E508" s="7">
        <v>79.849999999999994</v>
      </c>
      <c r="F508" s="7">
        <v>67</v>
      </c>
      <c r="G508" s="7">
        <v>6</v>
      </c>
      <c r="H508" s="7">
        <v>34841</v>
      </c>
      <c r="I508" s="6">
        <v>100</v>
      </c>
      <c r="J508" s="7" t="s">
        <v>20</v>
      </c>
      <c r="K508" s="8">
        <v>7.32</v>
      </c>
    </row>
    <row r="509" spans="1:11" ht="15.5">
      <c r="A509" s="9" t="s">
        <v>1091</v>
      </c>
      <c r="B509" s="7" t="s">
        <v>1133</v>
      </c>
      <c r="C509" s="7" t="s">
        <v>62</v>
      </c>
      <c r="D509" s="7">
        <v>2023</v>
      </c>
      <c r="E509" s="7">
        <v>70.83</v>
      </c>
      <c r="F509" s="7">
        <v>89</v>
      </c>
      <c r="G509" s="7">
        <v>6</v>
      </c>
      <c r="H509" s="7">
        <v>1149047</v>
      </c>
      <c r="I509" s="6" t="s">
        <v>38</v>
      </c>
      <c r="J509" s="7" t="s">
        <v>599</v>
      </c>
      <c r="K509" s="8">
        <v>7.56</v>
      </c>
    </row>
    <row r="510" spans="1:11" ht="15.5">
      <c r="A510" s="9" t="s">
        <v>1091</v>
      </c>
      <c r="B510" s="7" t="s">
        <v>1134</v>
      </c>
      <c r="C510" s="7" t="s">
        <v>62</v>
      </c>
      <c r="D510" s="7">
        <v>2023</v>
      </c>
      <c r="E510" s="7">
        <v>87.19</v>
      </c>
      <c r="F510" s="7">
        <v>33</v>
      </c>
      <c r="G510" s="7">
        <v>6</v>
      </c>
      <c r="H510" s="7">
        <v>231046</v>
      </c>
      <c r="I510" s="6">
        <v>100</v>
      </c>
      <c r="J510" s="7" t="s">
        <v>68</v>
      </c>
      <c r="K510" s="8">
        <v>9.09</v>
      </c>
    </row>
    <row r="511" spans="1:11" ht="15.5">
      <c r="A511" s="9" t="s">
        <v>1091</v>
      </c>
      <c r="B511" s="7" t="s">
        <v>1135</v>
      </c>
      <c r="C511" s="7" t="s">
        <v>62</v>
      </c>
      <c r="D511" s="7">
        <v>2023</v>
      </c>
      <c r="E511" s="7">
        <v>75.819999999999993</v>
      </c>
      <c r="F511" s="7">
        <v>81</v>
      </c>
      <c r="G511" s="7">
        <v>6</v>
      </c>
      <c r="H511" s="7">
        <v>585491</v>
      </c>
      <c r="I511" s="6" t="s">
        <v>134</v>
      </c>
      <c r="J511" s="7" t="s">
        <v>47</v>
      </c>
      <c r="K511" s="8">
        <v>9.7799999999999994</v>
      </c>
    </row>
    <row r="512" spans="1:11" ht="15.5">
      <c r="A512" s="9" t="s">
        <v>1091</v>
      </c>
      <c r="B512" s="7" t="s">
        <v>1136</v>
      </c>
      <c r="C512" s="7" t="s">
        <v>62</v>
      </c>
      <c r="D512" s="7">
        <v>2023</v>
      </c>
      <c r="E512" s="7">
        <v>87.8</v>
      </c>
      <c r="F512" s="7">
        <v>28</v>
      </c>
      <c r="G512" s="7">
        <v>6</v>
      </c>
      <c r="H512" s="7">
        <v>634259</v>
      </c>
      <c r="I512" s="6" t="s">
        <v>38</v>
      </c>
      <c r="J512" s="7" t="s">
        <v>149</v>
      </c>
      <c r="K512" s="8">
        <v>7.3</v>
      </c>
    </row>
    <row r="513" spans="1:11" ht="15.5">
      <c r="A513" s="9" t="s">
        <v>1091</v>
      </c>
      <c r="B513" s="7" t="s">
        <v>1137</v>
      </c>
      <c r="C513" s="7" t="s">
        <v>62</v>
      </c>
      <c r="D513" s="7">
        <v>2023</v>
      </c>
      <c r="E513" s="7">
        <v>87.25</v>
      </c>
      <c r="F513" s="7">
        <v>32</v>
      </c>
      <c r="G513" s="7">
        <v>6</v>
      </c>
      <c r="H513" s="7">
        <v>17769.03</v>
      </c>
      <c r="I513" s="6">
        <v>100</v>
      </c>
      <c r="J513" s="7" t="s">
        <v>899</v>
      </c>
      <c r="K513" s="8">
        <v>11.5</v>
      </c>
    </row>
    <row r="514" spans="1:11" ht="15.5">
      <c r="A514" s="9" t="s">
        <v>1091</v>
      </c>
      <c r="B514" s="7" t="s">
        <v>1138</v>
      </c>
      <c r="C514" s="7" t="s">
        <v>62</v>
      </c>
      <c r="D514" s="7">
        <v>2023</v>
      </c>
      <c r="E514" s="7">
        <v>69.900000000000006</v>
      </c>
      <c r="F514" s="7">
        <v>90</v>
      </c>
      <c r="G514" s="7">
        <v>5</v>
      </c>
      <c r="H514" s="7">
        <v>9647.98</v>
      </c>
      <c r="I514" s="6" t="s">
        <v>250</v>
      </c>
      <c r="J514" s="7" t="s">
        <v>151</v>
      </c>
      <c r="K514" s="8">
        <v>7.45</v>
      </c>
    </row>
    <row r="515" spans="1:11" ht="15.5">
      <c r="A515" s="12" t="s">
        <v>1091</v>
      </c>
      <c r="B515" s="13" t="s">
        <v>1139</v>
      </c>
      <c r="C515" s="13" t="s">
        <v>62</v>
      </c>
      <c r="D515" s="13">
        <v>2023</v>
      </c>
      <c r="E515" s="13">
        <v>65.13</v>
      </c>
      <c r="F515" s="13">
        <v>95</v>
      </c>
      <c r="G515" s="13">
        <v>5</v>
      </c>
      <c r="H515" s="13"/>
      <c r="I515" s="16" t="s">
        <v>702</v>
      </c>
      <c r="J515" s="13" t="s">
        <v>132</v>
      </c>
      <c r="K515" s="14">
        <v>9.66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Nabila Tangke</cp:lastModifiedBy>
  <dcterms:modified xsi:type="dcterms:W3CDTF">2025-05-13T04:32:04Z</dcterms:modified>
</cp:coreProperties>
</file>