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omments1.xml" ContentType="application/vnd.openxmlformats-officedocument.spreadsheetml.comments+xml"/>
  <Override PartName="/xl/connections.xml" ContentType="application/vnd.openxmlformats-officedocument.spreadsheetml.connections+xml"/>
  <Override PartName="/xl/queryTables/queryTable1.xml" ContentType="application/vnd.openxmlformats-officedocument.spreadsheetml.query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7655" firstSheet="2" activeTab="3"/>
  </bookViews>
  <sheets>
    <sheet name="cfg_AnimaUnit_单位帧动画配置" sheetId="4" r:id="rId1"/>
    <sheet name="cfg_AnimaBuild_建筑动画" sheetId="5" r:id="rId2"/>
    <sheet name="cfg_AnimaTower_炮塔动画" sheetId="3" r:id="rId3"/>
    <sheet name="cfg_AnimaWeapon_武器动画" sheetId="8" r:id="rId4"/>
    <sheet name="cfg_AnimaWorker_无人机动画" sheetId="11" r:id="rId5"/>
    <sheet name="cfg_AnimaExplode_爆炸动画" sheetId="10" r:id="rId6"/>
    <sheet name="数据类型" sheetId="2" r:id="rId7"/>
  </sheets>
  <definedNames>
    <definedName name="ExternalData_1" localSheetId="6">数据类型!#REF!</definedName>
    <definedName name="数据类型_Sheet1" localSheetId="6">数据类型!#REF!</definedName>
    <definedName name="连接" localSheetId="6">数据类型!$A$1:$E$38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7" name="ID_DE7940C7BC2D4D46915E35BA3143081A" descr="小型作战单元标准六型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7337405" y="4601210"/>
          <a:ext cx="758190" cy="448310"/>
        </a:xfrm>
        <a:prstGeom prst="rect">
          <a:avLst/>
        </a:prstGeom>
      </xdr:spPr>
    </xdr:pic>
  </etc:cellImage>
  <etc:cellImage>
    <xdr:pic>
      <xdr:nvPicPr>
        <xdr:cNvPr id="4" name="ID_B1E5BBB75DF144E6BCE87AD7FFB08D41" descr="射线炮塔 (2)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6925925" y="2046605"/>
          <a:ext cx="479425" cy="1184275"/>
        </a:xfrm>
        <a:prstGeom prst="rect">
          <a:avLst/>
        </a:prstGeom>
      </xdr:spPr>
    </xdr:pic>
  </etc:cellImage>
  <etc:cellImage>
    <xdr:pic>
      <xdr:nvPicPr>
        <xdr:cNvPr id="5" name="ID_B967F5BF18684EFFA6C6E0F02372A10A" descr="小型作战单元标准一型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7632045" y="4000500"/>
          <a:ext cx="2358390" cy="590550"/>
        </a:xfrm>
        <a:prstGeom prst="rect">
          <a:avLst/>
        </a:prstGeom>
      </xdr:spPr>
    </xdr:pic>
  </etc:cellImage>
  <etc:cellImage>
    <xdr:pic>
      <xdr:nvPicPr>
        <xdr:cNvPr id="3" name="ID_34DE48E543EE4C9AA1105D48FE110B1C" descr="射击塔-闲置12帧116x36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7629505" y="2334260"/>
          <a:ext cx="4119245" cy="1115695"/>
        </a:xfrm>
        <a:prstGeom prst="rect">
          <a:avLst/>
        </a:prstGeom>
      </xdr:spPr>
    </xdr:pic>
  </etc:cellImage>
  <etc:cellImage>
    <xdr:pic>
      <xdr:nvPicPr>
        <xdr:cNvPr id="9" name="ID_EAA8DB7BB74F428C8066EAFDD8962BEC" descr="射击塔-攻击12帧116x36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17786350" y="2940685"/>
          <a:ext cx="4119880" cy="1124585"/>
        </a:xfrm>
        <a:prstGeom prst="rect">
          <a:avLst/>
        </a:prstGeom>
      </xdr:spPr>
    </xdr:pic>
  </etc:cellImage>
  <etc:cellImage>
    <xdr:pic>
      <xdr:nvPicPr>
        <xdr:cNvPr id="10" name="ID_180A1A64A691431C977DEE2E74F5A8A7" descr="射击塔-换弹12帧116x69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17595850" y="3388995"/>
          <a:ext cx="7902575" cy="1129030"/>
        </a:xfrm>
        <a:prstGeom prst="rect">
          <a:avLst/>
        </a:prstGeom>
      </xdr:spPr>
    </xdr:pic>
  </etc:cellImage>
  <etc:cellImage>
    <xdr:pic>
      <xdr:nvPicPr>
        <xdr:cNvPr id="6" name="ID_DD4362E8D64A4DA7A3DEFAC97AAEDF1A" descr="挖掘钻机站60帧-140x140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19942175" y="2556510"/>
          <a:ext cx="10058400" cy="6035040"/>
        </a:xfrm>
        <a:prstGeom prst="rect">
          <a:avLst/>
        </a:prstGeom>
      </xdr:spPr>
    </xdr:pic>
  </etc:cellImage>
  <etc:cellImage>
    <xdr:pic>
      <xdr:nvPicPr>
        <xdr:cNvPr id="11" name="ID_D876E00311FB4AB89E35CCDEDDE7B4E6" descr="挖掘钻机站1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19761200" y="2803525"/>
          <a:ext cx="1333500" cy="1341120"/>
        </a:xfrm>
        <a:prstGeom prst="rect">
          <a:avLst/>
        </a:prstGeom>
      </xdr:spPr>
    </xdr:pic>
  </etc:cellImage>
  <etc:cellImage>
    <xdr:pic>
      <xdr:nvPicPr>
        <xdr:cNvPr id="15" name="ID_9124E4D0DF134B80B13362422C801492" descr="冶火炮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21400770" y="3167380"/>
          <a:ext cx="878205" cy="1406525"/>
        </a:xfrm>
        <a:prstGeom prst="rect">
          <a:avLst/>
        </a:prstGeom>
      </xdr:spPr>
    </xdr:pic>
  </etc:cellImage>
  <etc:cellImage>
    <xdr:pic>
      <xdr:nvPicPr>
        <xdr:cNvPr id="13" name="ID_40EFAF88A7A0411C84CA9DE5A75272EA" descr="挖掘钻机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19942175" y="4848225"/>
          <a:ext cx="758825" cy="762000"/>
        </a:xfrm>
        <a:prstGeom prst="rect">
          <a:avLst/>
        </a:prstGeom>
      </xdr:spPr>
    </xdr:pic>
  </etc:cellImage>
  <etc:cellImage>
    <xdr:pic>
      <xdr:nvPicPr>
        <xdr:cNvPr id="16" name="ID_953093CE5DC64DF682773D1A7A51B5F2" descr="防御墙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19934555" y="5554345"/>
          <a:ext cx="383540" cy="387985"/>
        </a:xfrm>
        <a:prstGeom prst="rect">
          <a:avLst/>
        </a:prstGeom>
      </xdr:spPr>
    </xdr:pic>
  </etc:cellImage>
  <etc:cellImage>
    <xdr:pic>
      <xdr:nvPicPr>
        <xdr:cNvPr id="17" name="ID_C2923B1264F94CAFB84089AA2A4ED65B" descr="斗争者机炮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20645120" y="7429500"/>
          <a:ext cx="174625" cy="585470"/>
        </a:xfrm>
        <a:prstGeom prst="rect">
          <a:avLst/>
        </a:prstGeom>
      </xdr:spPr>
    </xdr:pic>
  </etc:cellImage>
  <etc:cellImage>
    <xdr:pic>
      <xdr:nvPicPr>
        <xdr:cNvPr id="14" name="ID_B21D2B2A481B469FBBECF51109241B0A" descr="小型炮塔99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18931890" y="6413500"/>
          <a:ext cx="762000" cy="762000"/>
        </a:xfrm>
        <a:prstGeom prst="rect">
          <a:avLst/>
        </a:prstGeom>
      </xdr:spPr>
    </xdr:pic>
  </etc:cellImage>
  <etc:cellImage>
    <xdr:pic>
      <xdr:nvPicPr>
        <xdr:cNvPr id="19" name="ID_0F4174FFEF3E4C7BAFE8AB4778111C89" descr="小型炮塔地基3"/>
        <xdr:cNvPicPr>
          <a:picLocks noChangeAspect="1"/>
        </xdr:cNvPicPr>
      </xdr:nvPicPr>
      <xdr:blipFill>
        <a:blip r:embed="rId14"/>
        <a:stretch>
          <a:fillRect/>
        </a:stretch>
      </xdr:blipFill>
      <xdr:spPr>
        <a:xfrm>
          <a:off x="19171920" y="6852285"/>
          <a:ext cx="633095" cy="623570"/>
        </a:xfrm>
        <a:prstGeom prst="rect">
          <a:avLst/>
        </a:prstGeom>
      </xdr:spPr>
    </xdr:pic>
  </etc:cellImage>
  <etc:cellImage>
    <xdr:pic>
      <xdr:nvPicPr>
        <xdr:cNvPr id="20" name="ID_427E7661D0EA4E048599710A386D6E9D" descr="小型炮塔地基2"/>
        <xdr:cNvPicPr>
          <a:picLocks noChangeAspect="1"/>
        </xdr:cNvPicPr>
      </xdr:nvPicPr>
      <xdr:blipFill>
        <a:blip r:embed="rId15"/>
        <a:stretch>
          <a:fillRect/>
        </a:stretch>
      </xdr:blipFill>
      <xdr:spPr>
        <a:xfrm>
          <a:off x="19159855" y="6381750"/>
          <a:ext cx="633095" cy="623570"/>
        </a:xfrm>
        <a:prstGeom prst="rect">
          <a:avLst/>
        </a:prstGeom>
      </xdr:spPr>
    </xdr:pic>
  </etc:cellImage>
  <etc:cellImage>
    <xdr:pic>
      <xdr:nvPicPr>
        <xdr:cNvPr id="21" name="ID_02B46886133B4720AC873E7ED4924F3B" descr="小型炮塔地基"/>
        <xdr:cNvPicPr>
          <a:picLocks noChangeAspect="1"/>
        </xdr:cNvPicPr>
      </xdr:nvPicPr>
      <xdr:blipFill>
        <a:blip r:embed="rId16"/>
        <a:stretch>
          <a:fillRect/>
        </a:stretch>
      </xdr:blipFill>
      <xdr:spPr>
        <a:xfrm>
          <a:off x="19152870" y="5954395"/>
          <a:ext cx="633095" cy="623570"/>
        </a:xfrm>
        <a:prstGeom prst="rect">
          <a:avLst/>
        </a:prstGeom>
      </xdr:spPr>
    </xdr:pic>
  </etc:cellImage>
  <etc:cellImage>
    <xdr:pic>
      <xdr:nvPicPr>
        <xdr:cNvPr id="22" name="ID_5EEEB453049940DEBE73420F1EF0A8EC" descr="小型炮塔101"/>
        <xdr:cNvPicPr>
          <a:picLocks noChangeAspect="1"/>
        </xdr:cNvPicPr>
      </xdr:nvPicPr>
      <xdr:blipFill>
        <a:blip r:embed="rId17"/>
        <a:stretch>
          <a:fillRect/>
        </a:stretch>
      </xdr:blipFill>
      <xdr:spPr>
        <a:xfrm>
          <a:off x="19010630" y="9054465"/>
          <a:ext cx="762000" cy="762000"/>
        </a:xfrm>
        <a:prstGeom prst="rect">
          <a:avLst/>
        </a:prstGeom>
      </xdr:spPr>
    </xdr:pic>
  </etc:cellImage>
  <etc:cellImage>
    <xdr:pic>
      <xdr:nvPicPr>
        <xdr:cNvPr id="23" name="ID_FA2D31673C634BB78E48C3E3B4AC0738" descr="小型炮塔100"/>
        <xdr:cNvPicPr>
          <a:picLocks noChangeAspect="1"/>
        </xdr:cNvPicPr>
      </xdr:nvPicPr>
      <xdr:blipFill>
        <a:blip r:embed="rId18"/>
        <a:stretch>
          <a:fillRect/>
        </a:stretch>
      </xdr:blipFill>
      <xdr:spPr>
        <a:xfrm>
          <a:off x="19006185" y="7387590"/>
          <a:ext cx="762000" cy="762000"/>
        </a:xfrm>
        <a:prstGeom prst="rect">
          <a:avLst/>
        </a:prstGeom>
      </xdr:spPr>
    </xdr:pic>
  </etc:cellImage>
  <etc:cellImage>
    <xdr:pic>
      <xdr:nvPicPr>
        <xdr:cNvPr id="24" name="ID_3E72E9DFEEA14803B8AED009C53CB2A5" descr="中型炮塔地基"/>
        <xdr:cNvPicPr>
          <a:picLocks noChangeAspect="1"/>
        </xdr:cNvPicPr>
      </xdr:nvPicPr>
      <xdr:blipFill>
        <a:blip r:embed="rId19"/>
        <a:stretch>
          <a:fillRect/>
        </a:stretch>
      </xdr:blipFill>
      <xdr:spPr>
        <a:xfrm>
          <a:off x="19328130" y="10162540"/>
          <a:ext cx="1143000" cy="1143000"/>
        </a:xfrm>
        <a:prstGeom prst="rect">
          <a:avLst/>
        </a:prstGeom>
      </xdr:spPr>
    </xdr:pic>
  </etc:cellImage>
  <etc:cellImage>
    <xdr:pic>
      <xdr:nvPicPr>
        <xdr:cNvPr id="25" name="ID_1650E3A3D5A54E14A24702D844F4E9B6" descr="中型炮塔地基3"/>
        <xdr:cNvPicPr>
          <a:picLocks noChangeAspect="1"/>
        </xdr:cNvPicPr>
      </xdr:nvPicPr>
      <xdr:blipFill>
        <a:blip r:embed="rId20"/>
        <a:stretch>
          <a:fillRect/>
        </a:stretch>
      </xdr:blipFill>
      <xdr:spPr>
        <a:xfrm>
          <a:off x="18909665" y="15037435"/>
          <a:ext cx="1143000" cy="1143000"/>
        </a:xfrm>
        <a:prstGeom prst="rect">
          <a:avLst/>
        </a:prstGeom>
      </xdr:spPr>
    </xdr:pic>
  </etc:cellImage>
  <etc:cellImage>
    <xdr:pic>
      <xdr:nvPicPr>
        <xdr:cNvPr id="26" name="ID_A7F743AFE2FD46EAA09FF7404F510486" descr="中型炮塔地基2"/>
        <xdr:cNvPicPr>
          <a:picLocks noChangeAspect="1"/>
        </xdr:cNvPicPr>
      </xdr:nvPicPr>
      <xdr:blipFill>
        <a:blip r:embed="rId21"/>
        <a:stretch>
          <a:fillRect/>
        </a:stretch>
      </xdr:blipFill>
      <xdr:spPr>
        <a:xfrm>
          <a:off x="19076670" y="13349605"/>
          <a:ext cx="1143000" cy="1143000"/>
        </a:xfrm>
        <a:prstGeom prst="rect">
          <a:avLst/>
        </a:prstGeom>
      </xdr:spPr>
    </xdr:pic>
  </etc:cellImage>
  <etc:cellImage>
    <xdr:pic>
      <xdr:nvPicPr>
        <xdr:cNvPr id="27" name="ID_C8F1E574379A4424AEAA3E3B19B99209" descr="大型炮塔地基3"/>
        <xdr:cNvPicPr>
          <a:picLocks noChangeAspect="1"/>
        </xdr:cNvPicPr>
      </xdr:nvPicPr>
      <xdr:blipFill>
        <a:blip r:embed="rId22"/>
        <a:stretch>
          <a:fillRect/>
        </a:stretch>
      </xdr:blipFill>
      <xdr:spPr>
        <a:xfrm>
          <a:off x="18722340" y="16757650"/>
          <a:ext cx="1524000" cy="1524000"/>
        </a:xfrm>
        <a:prstGeom prst="rect">
          <a:avLst/>
        </a:prstGeom>
      </xdr:spPr>
    </xdr:pic>
  </etc:cellImage>
  <etc:cellImage>
    <xdr:pic>
      <xdr:nvPicPr>
        <xdr:cNvPr id="28" name="ID_C22345BBE7494B58836CA07CC6F588D1" descr="大型炮塔地基2"/>
        <xdr:cNvPicPr>
          <a:picLocks noChangeAspect="1"/>
        </xdr:cNvPicPr>
      </xdr:nvPicPr>
      <xdr:blipFill>
        <a:blip r:embed="rId23"/>
        <a:stretch>
          <a:fillRect/>
        </a:stretch>
      </xdr:blipFill>
      <xdr:spPr>
        <a:xfrm>
          <a:off x="19223355" y="16000095"/>
          <a:ext cx="1524000" cy="1524000"/>
        </a:xfrm>
        <a:prstGeom prst="rect">
          <a:avLst/>
        </a:prstGeom>
      </xdr:spPr>
    </xdr:pic>
  </etc:cellImage>
  <etc:cellImage>
    <xdr:pic>
      <xdr:nvPicPr>
        <xdr:cNvPr id="29" name="ID_5EBA871BBDB145CCB718AFBCD11E29DD" descr="大型炮塔地基1"/>
        <xdr:cNvPicPr>
          <a:picLocks noChangeAspect="1"/>
        </xdr:cNvPicPr>
      </xdr:nvPicPr>
      <xdr:blipFill>
        <a:blip r:embed="rId24"/>
        <a:stretch>
          <a:fillRect/>
        </a:stretch>
      </xdr:blipFill>
      <xdr:spPr>
        <a:xfrm>
          <a:off x="19631025" y="15769590"/>
          <a:ext cx="1524000" cy="1524000"/>
        </a:xfrm>
        <a:prstGeom prst="rect">
          <a:avLst/>
        </a:prstGeom>
      </xdr:spPr>
    </xdr:pic>
  </etc:cellImage>
  <etc:cellImage>
    <xdr:pic>
      <xdr:nvPicPr>
        <xdr:cNvPr id="30" name="ID_117E4FFD1E004BD08DBB6DF4DC2B8780" descr="大型炮塔地基"/>
        <xdr:cNvPicPr>
          <a:picLocks noChangeAspect="1"/>
        </xdr:cNvPicPr>
      </xdr:nvPicPr>
      <xdr:blipFill>
        <a:blip r:embed="rId25"/>
        <a:stretch>
          <a:fillRect/>
        </a:stretch>
      </xdr:blipFill>
      <xdr:spPr>
        <a:xfrm>
          <a:off x="19533235" y="15182215"/>
          <a:ext cx="1524000" cy="1524000"/>
        </a:xfrm>
        <a:prstGeom prst="rect">
          <a:avLst/>
        </a:prstGeom>
      </xdr:spPr>
    </xdr:pic>
  </etc:cellImage>
  <etc:cellImage>
    <xdr:pic>
      <xdr:nvPicPr>
        <xdr:cNvPr id="31" name="ID_313259228B634A45A49E32D36E6E3980" descr="中型炮塔地基1"/>
        <xdr:cNvPicPr>
          <a:picLocks noChangeAspect="1"/>
        </xdr:cNvPicPr>
      </xdr:nvPicPr>
      <xdr:blipFill>
        <a:blip r:embed="rId26"/>
        <a:stretch>
          <a:fillRect/>
        </a:stretch>
      </xdr:blipFill>
      <xdr:spPr>
        <a:xfrm>
          <a:off x="18694400" y="11631930"/>
          <a:ext cx="1143000" cy="1143000"/>
        </a:xfrm>
        <a:prstGeom prst="rect">
          <a:avLst/>
        </a:prstGeom>
      </xdr:spPr>
    </xdr:pic>
  </etc:cellImage>
  <etc:cellImage>
    <xdr:pic>
      <xdr:nvPicPr>
        <xdr:cNvPr id="32" name="ID_A4461C8310624320BF13983C26F8BCE0" descr="工程塔基座"/>
        <xdr:cNvPicPr>
          <a:picLocks noChangeAspect="1"/>
        </xdr:cNvPicPr>
      </xdr:nvPicPr>
      <xdr:blipFill>
        <a:blip r:embed="rId27"/>
        <a:stretch>
          <a:fillRect/>
        </a:stretch>
      </xdr:blipFill>
      <xdr:spPr>
        <a:xfrm>
          <a:off x="19124930" y="26963370"/>
          <a:ext cx="758825" cy="751205"/>
        </a:xfrm>
        <a:prstGeom prst="rect">
          <a:avLst/>
        </a:prstGeom>
      </xdr:spPr>
    </xdr:pic>
  </etc:cellImage>
  <etc:cellImage>
    <xdr:pic>
      <xdr:nvPicPr>
        <xdr:cNvPr id="35" name="ID_6C2097A45521413CB51F95EC7E7B3CD9" descr="布局节点L2"/>
        <xdr:cNvPicPr>
          <a:picLocks noChangeAspect="1"/>
        </xdr:cNvPicPr>
      </xdr:nvPicPr>
      <xdr:blipFill>
        <a:blip r:embed="rId28"/>
        <a:stretch>
          <a:fillRect/>
        </a:stretch>
      </xdr:blipFill>
      <xdr:spPr>
        <a:xfrm>
          <a:off x="19570700" y="11305540"/>
          <a:ext cx="762000" cy="762000"/>
        </a:xfrm>
        <a:prstGeom prst="rect">
          <a:avLst/>
        </a:prstGeom>
      </xdr:spPr>
    </xdr:pic>
  </etc:cellImage>
  <etc:cellImage>
    <xdr:pic>
      <xdr:nvPicPr>
        <xdr:cNvPr id="36" name="ID_677BB320586148EAA2DA35F198112AF0" descr="布局节点L1"/>
        <xdr:cNvPicPr>
          <a:picLocks noChangeAspect="1"/>
        </xdr:cNvPicPr>
      </xdr:nvPicPr>
      <xdr:blipFill>
        <a:blip r:embed="rId29"/>
        <a:stretch>
          <a:fillRect/>
        </a:stretch>
      </xdr:blipFill>
      <xdr:spPr>
        <a:xfrm>
          <a:off x="19742150" y="11105515"/>
          <a:ext cx="762000" cy="762000"/>
        </a:xfrm>
        <a:prstGeom prst="rect">
          <a:avLst/>
        </a:prstGeom>
      </xdr:spPr>
    </xdr:pic>
  </etc:cellImage>
  <etc:cellImage>
    <xdr:pic>
      <xdr:nvPicPr>
        <xdr:cNvPr id="37" name="ID_5DF70216C8614965A4BCFC81B781581B" descr="布局节点L3"/>
        <xdr:cNvPicPr>
          <a:picLocks noChangeAspect="1"/>
        </xdr:cNvPicPr>
      </xdr:nvPicPr>
      <xdr:blipFill>
        <a:blip r:embed="rId30"/>
        <a:stretch>
          <a:fillRect/>
        </a:stretch>
      </xdr:blipFill>
      <xdr:spPr>
        <a:xfrm>
          <a:off x="19504025" y="11562715"/>
          <a:ext cx="762000" cy="762000"/>
        </a:xfrm>
        <a:prstGeom prst="rect">
          <a:avLst/>
        </a:prstGeom>
      </xdr:spPr>
    </xdr:pic>
  </etc:cellImage>
  <etc:cellImage>
    <xdr:pic>
      <xdr:nvPicPr>
        <xdr:cNvPr id="38" name="ID_A6CDDEADAA6348298428BCFD3255F3A6" descr="挖掘钻机3"/>
        <xdr:cNvPicPr>
          <a:picLocks noChangeAspect="1"/>
        </xdr:cNvPicPr>
      </xdr:nvPicPr>
      <xdr:blipFill>
        <a:blip r:embed="rId31"/>
        <a:stretch>
          <a:fillRect/>
        </a:stretch>
      </xdr:blipFill>
      <xdr:spPr>
        <a:xfrm>
          <a:off x="19932650" y="9619615"/>
          <a:ext cx="762000" cy="762000"/>
        </a:xfrm>
        <a:prstGeom prst="rect">
          <a:avLst/>
        </a:prstGeom>
      </xdr:spPr>
    </xdr:pic>
  </etc:cellImage>
  <etc:cellImage>
    <xdr:pic>
      <xdr:nvPicPr>
        <xdr:cNvPr id="39" name="ID_A831598AEE024989AFC91622758D1395" descr="挖掘钻机2"/>
        <xdr:cNvPicPr>
          <a:picLocks noChangeAspect="1"/>
        </xdr:cNvPicPr>
      </xdr:nvPicPr>
      <xdr:blipFill>
        <a:blip r:embed="rId32"/>
        <a:stretch>
          <a:fillRect/>
        </a:stretch>
      </xdr:blipFill>
      <xdr:spPr>
        <a:xfrm>
          <a:off x="20189825" y="9410065"/>
          <a:ext cx="762000" cy="762000"/>
        </a:xfrm>
        <a:prstGeom prst="rect">
          <a:avLst/>
        </a:prstGeom>
      </xdr:spPr>
    </xdr:pic>
  </etc:cellImage>
  <etc:cellImage>
    <xdr:pic>
      <xdr:nvPicPr>
        <xdr:cNvPr id="40" name="ID_7E6EB6B24E8D4D7D8A7BAE19C8A3F778" descr="挖掘钻机4"/>
        <xdr:cNvPicPr>
          <a:picLocks noChangeAspect="1"/>
        </xdr:cNvPicPr>
      </xdr:nvPicPr>
      <xdr:blipFill>
        <a:blip r:embed="rId33"/>
        <a:stretch>
          <a:fillRect/>
        </a:stretch>
      </xdr:blipFill>
      <xdr:spPr>
        <a:xfrm>
          <a:off x="19608800" y="9819640"/>
          <a:ext cx="762000" cy="762000"/>
        </a:xfrm>
        <a:prstGeom prst="rect">
          <a:avLst/>
        </a:prstGeom>
      </xdr:spPr>
    </xdr:pic>
  </etc:cellImage>
  <etc:cellImage>
    <xdr:pic>
      <xdr:nvPicPr>
        <xdr:cNvPr id="43" name="ID_05FBD9B3867B4F6699B1995FF1D36E0C" descr="射空塔"/>
        <xdr:cNvPicPr>
          <a:picLocks noChangeAspect="1"/>
        </xdr:cNvPicPr>
      </xdr:nvPicPr>
      <xdr:blipFill>
        <a:blip r:embed="rId34"/>
        <a:stretch>
          <a:fillRect/>
        </a:stretch>
      </xdr:blipFill>
      <xdr:spPr>
        <a:xfrm>
          <a:off x="18554700" y="9408795"/>
          <a:ext cx="551180" cy="812800"/>
        </a:xfrm>
        <a:prstGeom prst="rect">
          <a:avLst/>
        </a:prstGeom>
      </xdr:spPr>
    </xdr:pic>
  </etc:cellImage>
  <etc:cellImage>
    <xdr:pic>
      <xdr:nvPicPr>
        <xdr:cNvPr id="48" name="ID_5700143AD5AB49B58DFC7EE8DDA80D8A" descr="射手人形"/>
        <xdr:cNvPicPr>
          <a:picLocks noChangeAspect="1"/>
        </xdr:cNvPicPr>
      </xdr:nvPicPr>
      <xdr:blipFill>
        <a:blip r:embed="rId35"/>
        <a:stretch>
          <a:fillRect/>
        </a:stretch>
      </xdr:blipFill>
      <xdr:spPr>
        <a:xfrm>
          <a:off x="20255865" y="5537200"/>
          <a:ext cx="230505" cy="311785"/>
        </a:xfrm>
        <a:prstGeom prst="rect">
          <a:avLst/>
        </a:prstGeom>
      </xdr:spPr>
    </xdr:pic>
  </etc:cellImage>
  <etc:cellImage>
    <xdr:pic>
      <xdr:nvPicPr>
        <xdr:cNvPr id="52" name="ID_12BB2E94123C4C889F55194AEAB0BE41" descr="人形-走路"/>
        <xdr:cNvPicPr>
          <a:picLocks noChangeAspect="1"/>
        </xdr:cNvPicPr>
      </xdr:nvPicPr>
      <xdr:blipFill>
        <a:blip r:embed="rId36"/>
        <a:stretch>
          <a:fillRect/>
        </a:stretch>
      </xdr:blipFill>
      <xdr:spPr>
        <a:xfrm>
          <a:off x="20003135" y="5212080"/>
          <a:ext cx="1833245" cy="190500"/>
        </a:xfrm>
        <a:prstGeom prst="rect">
          <a:avLst/>
        </a:prstGeom>
      </xdr:spPr>
    </xdr:pic>
  </etc:cellImage>
  <etc:cellImage>
    <xdr:pic>
      <xdr:nvPicPr>
        <xdr:cNvPr id="53" name="ID_94A20FBD29F04F919BDAD705B5DDAFD9" descr="人形-停止"/>
        <xdr:cNvPicPr>
          <a:picLocks noChangeAspect="1"/>
        </xdr:cNvPicPr>
      </xdr:nvPicPr>
      <xdr:blipFill>
        <a:blip r:embed="rId37"/>
        <a:stretch>
          <a:fillRect/>
        </a:stretch>
      </xdr:blipFill>
      <xdr:spPr>
        <a:xfrm>
          <a:off x="20365085" y="6316980"/>
          <a:ext cx="228600" cy="190500"/>
        </a:xfrm>
        <a:prstGeom prst="rect">
          <a:avLst/>
        </a:prstGeom>
      </xdr:spPr>
    </xdr:pic>
  </etc:cellImage>
  <etc:cellImage>
    <xdr:pic>
      <xdr:nvPicPr>
        <xdr:cNvPr id="54" name="ID_FD802FD3568A40738F91871B69BBC1C4" descr="导弹无人机平台"/>
        <xdr:cNvPicPr>
          <a:picLocks noChangeAspect="1"/>
        </xdr:cNvPicPr>
      </xdr:nvPicPr>
      <xdr:blipFill>
        <a:blip r:embed="rId38"/>
        <a:stretch>
          <a:fillRect/>
        </a:stretch>
      </xdr:blipFill>
      <xdr:spPr>
        <a:xfrm>
          <a:off x="20433665" y="7437755"/>
          <a:ext cx="1190625" cy="930275"/>
        </a:xfrm>
        <a:prstGeom prst="rect">
          <a:avLst/>
        </a:prstGeom>
      </xdr:spPr>
    </xdr:pic>
  </etc:cellImage>
  <etc:cellImage>
    <xdr:pic>
      <xdr:nvPicPr>
        <xdr:cNvPr id="55" name="ID_C128E01EE736472E8E1BC5E23F84B7D9" descr="导弹无人机平台3"/>
        <xdr:cNvPicPr>
          <a:picLocks noChangeAspect="1"/>
        </xdr:cNvPicPr>
      </xdr:nvPicPr>
      <xdr:blipFill>
        <a:blip r:embed="rId39"/>
        <a:stretch>
          <a:fillRect/>
        </a:stretch>
      </xdr:blipFill>
      <xdr:spPr>
        <a:xfrm>
          <a:off x="21500465" y="7818755"/>
          <a:ext cx="1190625" cy="996950"/>
        </a:xfrm>
        <a:prstGeom prst="rect">
          <a:avLst/>
        </a:prstGeom>
      </xdr:spPr>
    </xdr:pic>
  </etc:cellImage>
  <etc:cellImage>
    <xdr:pic>
      <xdr:nvPicPr>
        <xdr:cNvPr id="56" name="ID_9E318BAE4A904836AFAD20CEBD6E7199" descr="导弹无人机平台2"/>
        <xdr:cNvPicPr>
          <a:picLocks noChangeAspect="1"/>
        </xdr:cNvPicPr>
      </xdr:nvPicPr>
      <xdr:blipFill>
        <a:blip r:embed="rId40"/>
        <a:stretch>
          <a:fillRect/>
        </a:stretch>
      </xdr:blipFill>
      <xdr:spPr>
        <a:xfrm>
          <a:off x="21595715" y="7590155"/>
          <a:ext cx="1190625" cy="996950"/>
        </a:xfrm>
        <a:prstGeom prst="rect">
          <a:avLst/>
        </a:prstGeom>
      </xdr:spPr>
    </xdr:pic>
  </etc:cellImage>
  <etc:cellImage>
    <xdr:pic>
      <xdr:nvPicPr>
        <xdr:cNvPr id="57" name="ID_73F4DE47EEE844179263ED728146A1C2" descr="新核心-Sheet"/>
        <xdr:cNvPicPr>
          <a:picLocks noChangeAspect="1"/>
        </xdr:cNvPicPr>
      </xdr:nvPicPr>
      <xdr:blipFill>
        <a:blip r:embed="rId41"/>
        <a:stretch>
          <a:fillRect/>
        </a:stretch>
      </xdr:blipFill>
      <xdr:spPr>
        <a:xfrm>
          <a:off x="20199350" y="19925665"/>
          <a:ext cx="10058400" cy="628650"/>
        </a:xfrm>
        <a:prstGeom prst="rect">
          <a:avLst/>
        </a:prstGeom>
      </xdr:spPr>
    </xdr:pic>
  </etc:cellImage>
  <etc:cellImage>
    <xdr:pic>
      <xdr:nvPicPr>
        <xdr:cNvPr id="2" name="ID_953FA9BA13B84807942D4B965D9F3D90" descr="熔炉平台"/>
        <xdr:cNvPicPr>
          <a:picLocks noChangeAspect="1"/>
        </xdr:cNvPicPr>
      </xdr:nvPicPr>
      <xdr:blipFill>
        <a:blip r:embed="rId42"/>
        <a:stretch>
          <a:fillRect/>
        </a:stretch>
      </xdr:blipFill>
      <xdr:spPr>
        <a:xfrm>
          <a:off x="19764375" y="19068415"/>
          <a:ext cx="9144000" cy="1143000"/>
        </a:xfrm>
        <a:prstGeom prst="rect">
          <a:avLst/>
        </a:prstGeom>
      </xdr:spPr>
    </xdr:pic>
  </etc:cellImage>
  <etc:cellImage>
    <xdr:pic>
      <xdr:nvPicPr>
        <xdr:cNvPr id="12" name="ID_D663641981D04D5D9EA8A29E0A6C862C" descr="机枪塔3"/>
        <xdr:cNvPicPr>
          <a:picLocks noChangeAspect="1"/>
        </xdr:cNvPicPr>
      </xdr:nvPicPr>
      <xdr:blipFill>
        <a:blip r:embed="rId43"/>
        <a:stretch>
          <a:fillRect/>
        </a:stretch>
      </xdr:blipFill>
      <xdr:spPr>
        <a:xfrm>
          <a:off x="18326100" y="20986115"/>
          <a:ext cx="2480310" cy="1454150"/>
        </a:xfrm>
        <a:prstGeom prst="rect">
          <a:avLst/>
        </a:prstGeom>
      </xdr:spPr>
    </xdr:pic>
  </etc:cellImage>
  <etc:cellImage>
    <xdr:pic>
      <xdr:nvPicPr>
        <xdr:cNvPr id="33" name="ID_8785E81E6BEC4177890E4C386317579E" descr="机枪塔2"/>
        <xdr:cNvPicPr>
          <a:picLocks noChangeAspect="1"/>
        </xdr:cNvPicPr>
      </xdr:nvPicPr>
      <xdr:blipFill>
        <a:blip r:embed="rId44"/>
        <a:stretch>
          <a:fillRect/>
        </a:stretch>
      </xdr:blipFill>
      <xdr:spPr>
        <a:xfrm>
          <a:off x="18416270" y="20480655"/>
          <a:ext cx="2480310" cy="1454150"/>
        </a:xfrm>
        <a:prstGeom prst="rect">
          <a:avLst/>
        </a:prstGeom>
      </xdr:spPr>
    </xdr:pic>
  </etc:cellImage>
  <etc:cellImage>
    <xdr:pic>
      <xdr:nvPicPr>
        <xdr:cNvPr id="61" name="ID_1B4056DBD8BF4B63971888AA1F449A21" descr="机枪塔1"/>
        <xdr:cNvPicPr>
          <a:picLocks noChangeAspect="1"/>
        </xdr:cNvPicPr>
      </xdr:nvPicPr>
      <xdr:blipFill>
        <a:blip r:embed="rId45"/>
        <a:stretch>
          <a:fillRect/>
        </a:stretch>
      </xdr:blipFill>
      <xdr:spPr>
        <a:xfrm>
          <a:off x="18467705" y="19956780"/>
          <a:ext cx="2480310" cy="1454150"/>
        </a:xfrm>
        <a:prstGeom prst="rect">
          <a:avLst/>
        </a:prstGeom>
      </xdr:spPr>
    </xdr:pic>
  </etc:cellImage>
  <etc:cellImage>
    <xdr:pic>
      <xdr:nvPicPr>
        <xdr:cNvPr id="45" name="ID_968254E67A7E413FA6C6392FB8D12D90" descr="推土机外壳"/>
        <xdr:cNvPicPr>
          <a:picLocks noChangeAspect="1"/>
        </xdr:cNvPicPr>
      </xdr:nvPicPr>
      <xdr:blipFill>
        <a:blip r:embed="rId46"/>
        <a:stretch>
          <a:fillRect/>
        </a:stretch>
      </xdr:blipFill>
      <xdr:spPr>
        <a:xfrm>
          <a:off x="16219170" y="7769860"/>
          <a:ext cx="2743200" cy="643890"/>
        </a:xfrm>
        <a:prstGeom prst="rect">
          <a:avLst/>
        </a:prstGeom>
      </xdr:spPr>
    </xdr:pic>
  </etc:cellImage>
  <etc:cellImage>
    <xdr:pic>
      <xdr:nvPicPr>
        <xdr:cNvPr id="62" name="ID_C3370F0CE2EC4913AFD904E563492CCF" descr="钻头外壳"/>
        <xdr:cNvPicPr>
          <a:picLocks noChangeAspect="1"/>
        </xdr:cNvPicPr>
      </xdr:nvPicPr>
      <xdr:blipFill>
        <a:blip r:embed="rId47"/>
        <a:stretch>
          <a:fillRect/>
        </a:stretch>
      </xdr:blipFill>
      <xdr:spPr>
        <a:xfrm>
          <a:off x="16193135" y="7573645"/>
          <a:ext cx="2514600" cy="643890"/>
        </a:xfrm>
        <a:prstGeom prst="rect">
          <a:avLst/>
        </a:prstGeom>
      </xdr:spPr>
    </xdr:pic>
  </etc:cellImage>
  <etc:cellImage>
    <xdr:pic>
      <xdr:nvPicPr>
        <xdr:cNvPr id="63" name="ID_C8153CACC2124EE4934BD46EC8F65CBB" descr="钻头"/>
        <xdr:cNvPicPr>
          <a:picLocks noChangeAspect="1"/>
        </xdr:cNvPicPr>
      </xdr:nvPicPr>
      <xdr:blipFill>
        <a:blip r:embed="rId48"/>
        <a:stretch>
          <a:fillRect/>
        </a:stretch>
      </xdr:blipFill>
      <xdr:spPr>
        <a:xfrm>
          <a:off x="18746470" y="32513905"/>
          <a:ext cx="4114800" cy="720090"/>
        </a:xfrm>
        <a:prstGeom prst="rect">
          <a:avLst/>
        </a:prstGeom>
      </xdr:spPr>
    </xdr:pic>
  </etc:cellImage>
  <etc:cellImage>
    <xdr:pic>
      <xdr:nvPicPr>
        <xdr:cNvPr id="64" name="ID_D64A57B143D54B2199A9780E474C8FFE" descr="推土机"/>
        <xdr:cNvPicPr>
          <a:picLocks noChangeAspect="1"/>
        </xdr:cNvPicPr>
      </xdr:nvPicPr>
      <xdr:blipFill>
        <a:blip r:embed="rId49"/>
        <a:stretch>
          <a:fillRect/>
        </a:stretch>
      </xdr:blipFill>
      <xdr:spPr>
        <a:xfrm>
          <a:off x="18508345" y="32752030"/>
          <a:ext cx="6096000" cy="453390"/>
        </a:xfrm>
        <a:prstGeom prst="rect">
          <a:avLst/>
        </a:prstGeom>
      </xdr:spPr>
    </xdr:pic>
  </etc:cellImage>
  <etc:cellImage>
    <xdr:pic>
      <xdr:nvPicPr>
        <xdr:cNvPr id="65" name="ID_1EE4AFEDD42B4FCAB6039D3B7C9A6586" descr="自爆人形"/>
        <xdr:cNvPicPr>
          <a:picLocks noChangeAspect="1"/>
        </xdr:cNvPicPr>
      </xdr:nvPicPr>
      <xdr:blipFill>
        <a:blip r:embed="rId50"/>
        <a:stretch>
          <a:fillRect/>
        </a:stretch>
      </xdr:blipFill>
      <xdr:spPr>
        <a:xfrm>
          <a:off x="20184745" y="31104205"/>
          <a:ext cx="209550" cy="219075"/>
        </a:xfrm>
        <a:prstGeom prst="rect">
          <a:avLst/>
        </a:prstGeom>
      </xdr:spPr>
    </xdr:pic>
  </etc:cellImage>
  <etc:cellImage>
    <xdr:pic>
      <xdr:nvPicPr>
        <xdr:cNvPr id="66" name="ID_805A7ED34A3246F3B9AC29123D5AA490" descr="作战人形"/>
        <xdr:cNvPicPr>
          <a:picLocks noChangeAspect="1"/>
        </xdr:cNvPicPr>
      </xdr:nvPicPr>
      <xdr:blipFill>
        <a:blip r:embed="rId51"/>
        <a:stretch>
          <a:fillRect/>
        </a:stretch>
      </xdr:blipFill>
      <xdr:spPr>
        <a:xfrm>
          <a:off x="20041870" y="27815540"/>
          <a:ext cx="219075" cy="264160"/>
        </a:xfrm>
        <a:prstGeom prst="rect">
          <a:avLst/>
        </a:prstGeom>
      </xdr:spPr>
    </xdr:pic>
  </etc:cellImage>
  <etc:cellImage>
    <xdr:pic>
      <xdr:nvPicPr>
        <xdr:cNvPr id="67" name="ID_BAC5617E697146C89739856C7EA2DE9C" descr="小型炮塔1004"/>
        <xdr:cNvPicPr>
          <a:picLocks noChangeAspect="1"/>
        </xdr:cNvPicPr>
      </xdr:nvPicPr>
      <xdr:blipFill>
        <a:blip r:embed="rId52"/>
        <a:stretch>
          <a:fillRect/>
        </a:stretch>
      </xdr:blipFill>
      <xdr:spPr>
        <a:xfrm>
          <a:off x="18764250" y="3770630"/>
          <a:ext cx="762000" cy="762000"/>
        </a:xfrm>
        <a:prstGeom prst="rect">
          <a:avLst/>
        </a:prstGeom>
      </xdr:spPr>
    </xdr:pic>
  </etc:cellImage>
  <etc:cellImage>
    <xdr:pic>
      <xdr:nvPicPr>
        <xdr:cNvPr id="68" name="ID_9076BCFFE8B743E291388702EBA3E965" descr="小型炮塔1003"/>
        <xdr:cNvPicPr>
          <a:picLocks noChangeAspect="1"/>
        </xdr:cNvPicPr>
      </xdr:nvPicPr>
      <xdr:blipFill>
        <a:blip r:embed="rId53"/>
        <a:stretch>
          <a:fillRect/>
        </a:stretch>
      </xdr:blipFill>
      <xdr:spPr>
        <a:xfrm>
          <a:off x="18830925" y="2980055"/>
          <a:ext cx="762000" cy="762000"/>
        </a:xfrm>
        <a:prstGeom prst="rect">
          <a:avLst/>
        </a:prstGeom>
      </xdr:spPr>
    </xdr:pic>
  </etc:cellImage>
  <etc:cellImage>
    <xdr:pic>
      <xdr:nvPicPr>
        <xdr:cNvPr id="69" name="ID_28E1E9AB59E24BEEBD82B4C905FAA529" descr="小型炮塔1002"/>
        <xdr:cNvPicPr>
          <a:picLocks noChangeAspect="1"/>
        </xdr:cNvPicPr>
      </xdr:nvPicPr>
      <xdr:blipFill>
        <a:blip r:embed="rId54"/>
        <a:stretch>
          <a:fillRect/>
        </a:stretch>
      </xdr:blipFill>
      <xdr:spPr>
        <a:xfrm>
          <a:off x="18764250" y="2143125"/>
          <a:ext cx="762000" cy="762000"/>
        </a:xfrm>
        <a:prstGeom prst="rect">
          <a:avLst/>
        </a:prstGeom>
      </xdr:spPr>
    </xdr:pic>
  </etc:cellImage>
  <etc:cellImage>
    <xdr:pic>
      <xdr:nvPicPr>
        <xdr:cNvPr id="70" name="ID_23762A84435E47B49DCBCBEDF0F495B1" descr="大型炮塔3"/>
        <xdr:cNvPicPr>
          <a:picLocks noChangeAspect="1"/>
        </xdr:cNvPicPr>
      </xdr:nvPicPr>
      <xdr:blipFill>
        <a:blip r:embed="rId55"/>
        <a:stretch>
          <a:fillRect/>
        </a:stretch>
      </xdr:blipFill>
      <xdr:spPr>
        <a:xfrm>
          <a:off x="18735675" y="33792160"/>
          <a:ext cx="1143000" cy="1147445"/>
        </a:xfrm>
        <a:prstGeom prst="rect">
          <a:avLst/>
        </a:prstGeom>
      </xdr:spPr>
    </xdr:pic>
  </etc:cellImage>
  <etc:cellImage>
    <xdr:pic>
      <xdr:nvPicPr>
        <xdr:cNvPr id="71" name="ID_CF7A9D4164564103916D72E245DF4AC9" descr="大型炮塔2"/>
        <xdr:cNvPicPr>
          <a:picLocks noChangeAspect="1"/>
        </xdr:cNvPicPr>
      </xdr:nvPicPr>
      <xdr:blipFill>
        <a:blip r:embed="rId56"/>
        <a:stretch>
          <a:fillRect/>
        </a:stretch>
      </xdr:blipFill>
      <xdr:spPr>
        <a:xfrm>
          <a:off x="18821400" y="32163385"/>
          <a:ext cx="1143000" cy="1147445"/>
        </a:xfrm>
        <a:prstGeom prst="rect">
          <a:avLst/>
        </a:prstGeom>
      </xdr:spPr>
    </xdr:pic>
  </etc:cellImage>
  <etc:cellImage>
    <xdr:pic>
      <xdr:nvPicPr>
        <xdr:cNvPr id="72" name="ID_D4201C2CC2824EDF9EEBDADAA8AEA548" descr="大型炮塔1"/>
        <xdr:cNvPicPr>
          <a:picLocks noChangeAspect="1"/>
        </xdr:cNvPicPr>
      </xdr:nvPicPr>
      <xdr:blipFill>
        <a:blip r:embed="rId57"/>
        <a:stretch>
          <a:fillRect/>
        </a:stretch>
      </xdr:blipFill>
      <xdr:spPr>
        <a:xfrm>
          <a:off x="18764250" y="30677485"/>
          <a:ext cx="1143000" cy="1147445"/>
        </a:xfrm>
        <a:prstGeom prst="rect">
          <a:avLst/>
        </a:prstGeom>
      </xdr:spPr>
    </xdr:pic>
  </etc:cellImage>
  <etc:cellImage>
    <xdr:pic>
      <xdr:nvPicPr>
        <xdr:cNvPr id="47" name="ID_187D0648DE3146AEA9BDD2D4A0199FC3" descr="散弹塔3"/>
        <xdr:cNvPicPr>
          <a:picLocks noChangeAspect="1"/>
        </xdr:cNvPicPr>
      </xdr:nvPicPr>
      <xdr:blipFill>
        <a:blip r:embed="rId58"/>
        <a:stretch>
          <a:fillRect/>
        </a:stretch>
      </xdr:blipFill>
      <xdr:spPr>
        <a:xfrm>
          <a:off x="19784695" y="32665670"/>
          <a:ext cx="2286000" cy="819150"/>
        </a:xfrm>
        <a:prstGeom prst="rect">
          <a:avLst/>
        </a:prstGeom>
      </xdr:spPr>
    </xdr:pic>
  </etc:cellImage>
  <etc:cellImage>
    <xdr:pic>
      <xdr:nvPicPr>
        <xdr:cNvPr id="49" name="ID_B0A278889C3047E2B81791E30692AE6F" descr="散弹塔2"/>
        <xdr:cNvPicPr>
          <a:picLocks noChangeAspect="1"/>
        </xdr:cNvPicPr>
      </xdr:nvPicPr>
      <xdr:blipFill>
        <a:blip r:embed="rId59"/>
        <a:stretch>
          <a:fillRect/>
        </a:stretch>
      </xdr:blipFill>
      <xdr:spPr>
        <a:xfrm>
          <a:off x="19737070" y="32456120"/>
          <a:ext cx="2286000" cy="809625"/>
        </a:xfrm>
        <a:prstGeom prst="rect">
          <a:avLst/>
        </a:prstGeom>
      </xdr:spPr>
    </xdr:pic>
  </etc:cellImage>
  <etc:cellImage>
    <xdr:pic>
      <xdr:nvPicPr>
        <xdr:cNvPr id="50" name="ID_A89624B41F4545678FD158C123AD62FB" descr="散弹塔1"/>
        <xdr:cNvPicPr>
          <a:picLocks noChangeAspect="1"/>
        </xdr:cNvPicPr>
      </xdr:nvPicPr>
      <xdr:blipFill>
        <a:blip r:embed="rId60"/>
        <a:stretch>
          <a:fillRect/>
        </a:stretch>
      </xdr:blipFill>
      <xdr:spPr>
        <a:xfrm>
          <a:off x="19737070" y="32265620"/>
          <a:ext cx="2286000" cy="809625"/>
        </a:xfrm>
        <a:prstGeom prst="rect">
          <a:avLst/>
        </a:prstGeom>
      </xdr:spPr>
    </xdr:pic>
  </etc:cellImage>
  <etc:cellImage>
    <xdr:pic>
      <xdr:nvPicPr>
        <xdr:cNvPr id="78" name="ID_1DB669043698407792A4A3D4C75E15AD" descr="狙击塔2-Sheet"/>
        <xdr:cNvPicPr>
          <a:picLocks noChangeAspect="1"/>
        </xdr:cNvPicPr>
      </xdr:nvPicPr>
      <xdr:blipFill>
        <a:blip r:embed="rId61"/>
        <a:stretch>
          <a:fillRect/>
        </a:stretch>
      </xdr:blipFill>
      <xdr:spPr>
        <a:xfrm>
          <a:off x="18911570" y="41064815"/>
          <a:ext cx="5715000" cy="1541145"/>
        </a:xfrm>
        <a:prstGeom prst="rect">
          <a:avLst/>
        </a:prstGeom>
      </xdr:spPr>
    </xdr:pic>
  </etc:cellImage>
  <etc:cellImage>
    <xdr:pic>
      <xdr:nvPicPr>
        <xdr:cNvPr id="79" name="ID_D8812854D47A440699342E06DB0D89B1" descr="狙击塔-Sheet"/>
        <xdr:cNvPicPr>
          <a:picLocks noChangeAspect="1"/>
        </xdr:cNvPicPr>
      </xdr:nvPicPr>
      <xdr:blipFill>
        <a:blip r:embed="rId62"/>
        <a:stretch>
          <a:fillRect/>
        </a:stretch>
      </xdr:blipFill>
      <xdr:spPr>
        <a:xfrm>
          <a:off x="18749645" y="39104570"/>
          <a:ext cx="5715000" cy="1541145"/>
        </a:xfrm>
        <a:prstGeom prst="rect">
          <a:avLst/>
        </a:prstGeom>
      </xdr:spPr>
    </xdr:pic>
  </etc:cellImage>
  <etc:cellImage>
    <xdr:pic>
      <xdr:nvPicPr>
        <xdr:cNvPr id="80" name="ID_244E1F4DEE12430F9B35F45CCAD4172D" descr="狙击塔3-Sheet"/>
        <xdr:cNvPicPr>
          <a:picLocks noChangeAspect="1"/>
        </xdr:cNvPicPr>
      </xdr:nvPicPr>
      <xdr:blipFill>
        <a:blip r:embed="rId63"/>
        <a:stretch>
          <a:fillRect/>
        </a:stretch>
      </xdr:blipFill>
      <xdr:spPr>
        <a:xfrm>
          <a:off x="19044920" y="43139360"/>
          <a:ext cx="5715000" cy="1541145"/>
        </a:xfrm>
        <a:prstGeom prst="rect">
          <a:avLst/>
        </a:prstGeom>
      </xdr:spPr>
    </xdr:pic>
  </etc:cellImage>
  <etc:cellImage>
    <xdr:pic>
      <xdr:nvPicPr>
        <xdr:cNvPr id="81" name="ID_EB846EFA8E744BBC97477EC45F4D23C9" descr="狙击塔-Sheet"/>
        <xdr:cNvPicPr>
          <a:picLocks noChangeAspect="1"/>
        </xdr:cNvPicPr>
      </xdr:nvPicPr>
      <xdr:blipFill>
        <a:blip r:embed="rId62"/>
        <a:stretch>
          <a:fillRect/>
        </a:stretch>
      </xdr:blipFill>
      <xdr:spPr>
        <a:xfrm>
          <a:off x="18708370" y="38002210"/>
          <a:ext cx="5715000" cy="1541145"/>
        </a:xfrm>
        <a:prstGeom prst="rect">
          <a:avLst/>
        </a:prstGeom>
      </xdr:spPr>
    </xdr:pic>
  </etc:cellImage>
  <etc:cellImage>
    <xdr:pic>
      <xdr:nvPicPr>
        <xdr:cNvPr id="82" name="ID_5979A741E6774852B3BB05EEFBD6AB5A" descr="狙击塔3-Sheet"/>
        <xdr:cNvPicPr>
          <a:picLocks noChangeAspect="1"/>
        </xdr:cNvPicPr>
      </xdr:nvPicPr>
      <xdr:blipFill>
        <a:blip r:embed="rId63"/>
        <a:stretch>
          <a:fillRect/>
        </a:stretch>
      </xdr:blipFill>
      <xdr:spPr>
        <a:xfrm>
          <a:off x="18736945" y="42275125"/>
          <a:ext cx="5715000" cy="1541145"/>
        </a:xfrm>
        <a:prstGeom prst="rect">
          <a:avLst/>
        </a:prstGeom>
      </xdr:spPr>
    </xdr:pic>
  </etc:cellImage>
  <etc:cellImage>
    <xdr:pic>
      <xdr:nvPicPr>
        <xdr:cNvPr id="83" name="ID_F3070FA5144F446AA445C5927180C077" descr="狙击塔2-Sheet"/>
        <xdr:cNvPicPr>
          <a:picLocks noChangeAspect="1"/>
        </xdr:cNvPicPr>
      </xdr:nvPicPr>
      <xdr:blipFill>
        <a:blip r:embed="rId61"/>
        <a:stretch>
          <a:fillRect/>
        </a:stretch>
      </xdr:blipFill>
      <xdr:spPr>
        <a:xfrm>
          <a:off x="18841720" y="40257730"/>
          <a:ext cx="5715000" cy="1541145"/>
        </a:xfrm>
        <a:prstGeom prst="rect">
          <a:avLst/>
        </a:prstGeom>
      </xdr:spPr>
    </xdr:pic>
  </etc:cellImage>
  <etc:cellImage>
    <xdr:pic>
      <xdr:nvPicPr>
        <xdr:cNvPr id="84" name="ID_E399A260CCDA449AAC9C83C36A60B6DB" descr="新核心2"/>
        <xdr:cNvPicPr>
          <a:picLocks noChangeAspect="1"/>
        </xdr:cNvPicPr>
      </xdr:nvPicPr>
      <xdr:blipFill>
        <a:blip r:embed="rId64"/>
        <a:stretch>
          <a:fillRect/>
        </a:stretch>
      </xdr:blipFill>
      <xdr:spPr>
        <a:xfrm>
          <a:off x="19428460" y="17265015"/>
          <a:ext cx="10038080" cy="625475"/>
        </a:xfrm>
        <a:prstGeom prst="rect">
          <a:avLst/>
        </a:prstGeom>
      </xdr:spPr>
    </xdr:pic>
  </etc:cellImage>
  <etc:cellImage>
    <xdr:pic>
      <xdr:nvPicPr>
        <xdr:cNvPr id="46" name="ID_99A4837A63BC4BEDBAE06AB5D33A1739" descr="喷火塔宝石修改版11-Sheet"/>
        <xdr:cNvPicPr>
          <a:picLocks noChangeAspect="1"/>
        </xdr:cNvPicPr>
      </xdr:nvPicPr>
      <xdr:blipFill>
        <a:blip r:embed="rId65"/>
        <a:stretch>
          <a:fillRect/>
        </a:stretch>
      </xdr:blipFill>
      <xdr:spPr>
        <a:xfrm>
          <a:off x="19416395" y="39611300"/>
          <a:ext cx="7315200" cy="746125"/>
        </a:xfrm>
        <a:prstGeom prst="rect">
          <a:avLst/>
        </a:prstGeom>
      </xdr:spPr>
    </xdr:pic>
  </etc:cellImage>
  <etc:cellImage>
    <xdr:pic>
      <xdr:nvPicPr>
        <xdr:cNvPr id="87" name="ID_5C5BB59DB0734471AAD8128682813C4F" descr="喷火塔宝石修改版3-Sheet"/>
        <xdr:cNvPicPr>
          <a:picLocks noChangeAspect="1"/>
        </xdr:cNvPicPr>
      </xdr:nvPicPr>
      <xdr:blipFill>
        <a:blip r:embed="rId66"/>
        <a:stretch>
          <a:fillRect/>
        </a:stretch>
      </xdr:blipFill>
      <xdr:spPr>
        <a:xfrm>
          <a:off x="19349720" y="42976800"/>
          <a:ext cx="7086600" cy="958850"/>
        </a:xfrm>
        <a:prstGeom prst="rect">
          <a:avLst/>
        </a:prstGeom>
      </xdr:spPr>
    </xdr:pic>
  </etc:cellImage>
  <etc:cellImage>
    <xdr:pic>
      <xdr:nvPicPr>
        <xdr:cNvPr id="88" name="ID_8121D34713B54E02804F6E9EC4BF7539" descr="喷火塔宝石修改版-Sheet"/>
        <xdr:cNvPicPr>
          <a:picLocks noChangeAspect="1"/>
        </xdr:cNvPicPr>
      </xdr:nvPicPr>
      <xdr:blipFill>
        <a:blip r:embed="rId67"/>
        <a:stretch>
          <a:fillRect/>
        </a:stretch>
      </xdr:blipFill>
      <xdr:spPr>
        <a:xfrm>
          <a:off x="19825970" y="41303575"/>
          <a:ext cx="7086600" cy="958850"/>
        </a:xfrm>
        <a:prstGeom prst="rect">
          <a:avLst/>
        </a:prstGeom>
      </xdr:spPr>
    </xdr:pic>
  </etc:cellImage>
  <etc:cellImage>
    <xdr:pic>
      <xdr:nvPicPr>
        <xdr:cNvPr id="89" name="ID_02BBAB7B64FF4DD4ADB18AD618827F48" descr="喷火塔宝石修改版11-Sheet"/>
        <xdr:cNvPicPr>
          <a:picLocks noChangeAspect="1"/>
        </xdr:cNvPicPr>
      </xdr:nvPicPr>
      <xdr:blipFill>
        <a:blip r:embed="rId65"/>
        <a:stretch>
          <a:fillRect/>
        </a:stretch>
      </xdr:blipFill>
      <xdr:spPr>
        <a:xfrm>
          <a:off x="18917920" y="40392350"/>
          <a:ext cx="7315200" cy="746125"/>
        </a:xfrm>
        <a:prstGeom prst="rect">
          <a:avLst/>
        </a:prstGeom>
      </xdr:spPr>
    </xdr:pic>
  </etc:cellImage>
  <etc:cellImage>
    <xdr:pic>
      <xdr:nvPicPr>
        <xdr:cNvPr id="90" name="ID_10F2BDC9ABB241A3A35FE902EEF515B1" descr="喷火塔宝石修改版3-Sheet"/>
        <xdr:cNvPicPr>
          <a:picLocks noChangeAspect="1"/>
        </xdr:cNvPicPr>
      </xdr:nvPicPr>
      <xdr:blipFill>
        <a:blip r:embed="rId66"/>
        <a:stretch>
          <a:fillRect/>
        </a:stretch>
      </xdr:blipFill>
      <xdr:spPr>
        <a:xfrm>
          <a:off x="18851245" y="43757850"/>
          <a:ext cx="7086600" cy="958850"/>
        </a:xfrm>
        <a:prstGeom prst="rect">
          <a:avLst/>
        </a:prstGeom>
      </xdr:spPr>
    </xdr:pic>
  </etc:cellImage>
  <etc:cellImage>
    <xdr:pic>
      <xdr:nvPicPr>
        <xdr:cNvPr id="91" name="ID_28B7062ED11D480BA855AE7F6C0108BA" descr="喷火塔宝石修改版-Sheet"/>
        <xdr:cNvPicPr>
          <a:picLocks noChangeAspect="1"/>
        </xdr:cNvPicPr>
      </xdr:nvPicPr>
      <xdr:blipFill>
        <a:blip r:embed="rId67"/>
        <a:stretch>
          <a:fillRect/>
        </a:stretch>
      </xdr:blipFill>
      <xdr:spPr>
        <a:xfrm>
          <a:off x="19327495" y="42084625"/>
          <a:ext cx="7086600" cy="958850"/>
        </a:xfrm>
        <a:prstGeom prst="rect">
          <a:avLst/>
        </a:prstGeom>
      </xdr:spPr>
    </xdr:pic>
  </etc:cellImage>
  <etc:cellImage>
    <xdr:pic>
      <xdr:nvPicPr>
        <xdr:cNvPr id="74" name="ID_28FC262D04334CCB8F6C707E7EECD7EF" descr="激光钻头2"/>
        <xdr:cNvPicPr>
          <a:picLocks noChangeAspect="1"/>
        </xdr:cNvPicPr>
      </xdr:nvPicPr>
      <xdr:blipFill>
        <a:blip r:embed="rId68"/>
        <a:stretch>
          <a:fillRect/>
        </a:stretch>
      </xdr:blipFill>
      <xdr:spPr>
        <a:xfrm>
          <a:off x="18931890" y="18249265"/>
          <a:ext cx="1906270" cy="945515"/>
        </a:xfrm>
        <a:prstGeom prst="rect">
          <a:avLst/>
        </a:prstGeom>
      </xdr:spPr>
    </xdr:pic>
  </etc:cellImage>
  <etc:cellImage>
    <xdr:pic>
      <xdr:nvPicPr>
        <xdr:cNvPr id="76" name="ID_63750D3C29DD4D8DBB807115CE41D97B" descr="激光钻头"/>
        <xdr:cNvPicPr>
          <a:picLocks noChangeAspect="1"/>
        </xdr:cNvPicPr>
      </xdr:nvPicPr>
      <xdr:blipFill>
        <a:blip r:embed="rId69"/>
        <a:stretch>
          <a:fillRect/>
        </a:stretch>
      </xdr:blipFill>
      <xdr:spPr>
        <a:xfrm>
          <a:off x="19337020" y="17915255"/>
          <a:ext cx="1906270" cy="953770"/>
        </a:xfrm>
        <a:prstGeom prst="rect">
          <a:avLst/>
        </a:prstGeom>
      </xdr:spPr>
    </xdr:pic>
  </etc:cellImage>
  <etc:cellImage>
    <xdr:pic>
      <xdr:nvPicPr>
        <xdr:cNvPr id="100" name="ID_A6348C79F2B4424382DC8D2BF6803C1B" descr="翻越者底盘"/>
        <xdr:cNvPicPr>
          <a:picLocks noChangeAspect="1"/>
        </xdr:cNvPicPr>
      </xdr:nvPicPr>
      <xdr:blipFill>
        <a:blip r:embed="rId70"/>
        <a:stretch>
          <a:fillRect/>
        </a:stretch>
      </xdr:blipFill>
      <xdr:spPr>
        <a:xfrm>
          <a:off x="16154400" y="11091545"/>
          <a:ext cx="1368425" cy="307340"/>
        </a:xfrm>
        <a:prstGeom prst="rect">
          <a:avLst/>
        </a:prstGeom>
      </xdr:spPr>
    </xdr:pic>
  </etc:cellImage>
  <etc:cellImage>
    <xdr:pic>
      <xdr:nvPicPr>
        <xdr:cNvPr id="105" name="ID_DE9815A1C4734E4AA7CA1F770C587D86" descr="翻越者炮塔"/>
        <xdr:cNvPicPr>
          <a:picLocks noChangeAspect="1"/>
        </xdr:cNvPicPr>
      </xdr:nvPicPr>
      <xdr:blipFill>
        <a:blip r:embed="rId71"/>
        <a:stretch>
          <a:fillRect/>
        </a:stretch>
      </xdr:blipFill>
      <xdr:spPr>
        <a:xfrm>
          <a:off x="19603720" y="47047150"/>
          <a:ext cx="1447800" cy="517525"/>
        </a:xfrm>
        <a:prstGeom prst="rect">
          <a:avLst/>
        </a:prstGeom>
      </xdr:spPr>
    </xdr:pic>
  </etc:cellImage>
  <etc:cellImage>
    <xdr:pic>
      <xdr:nvPicPr>
        <xdr:cNvPr id="106" name="ID_7C5F954DB51949379CF840915963D7E8" descr="枪手-Sheet"/>
        <xdr:cNvPicPr>
          <a:picLocks noChangeAspect="1"/>
        </xdr:cNvPicPr>
      </xdr:nvPicPr>
      <xdr:blipFill>
        <a:blip r:embed="rId72"/>
        <a:stretch>
          <a:fillRect/>
        </a:stretch>
      </xdr:blipFill>
      <xdr:spPr>
        <a:xfrm>
          <a:off x="18202275" y="49904650"/>
          <a:ext cx="4725670" cy="679450"/>
        </a:xfrm>
        <a:prstGeom prst="rect">
          <a:avLst/>
        </a:prstGeom>
      </xdr:spPr>
    </xdr:pic>
  </etc:cellImage>
  <etc:cellImage>
    <xdr:pic>
      <xdr:nvPicPr>
        <xdr:cNvPr id="107" name="ID_F3456C1989534985BEF7CB73B71FAA61" descr="枪手-Sheet"/>
        <xdr:cNvPicPr>
          <a:picLocks noChangeAspect="1"/>
        </xdr:cNvPicPr>
      </xdr:nvPicPr>
      <xdr:blipFill>
        <a:blip r:embed="rId72"/>
        <a:stretch>
          <a:fillRect/>
        </a:stretch>
      </xdr:blipFill>
      <xdr:spPr>
        <a:xfrm>
          <a:off x="18202275" y="50717450"/>
          <a:ext cx="4725670" cy="679450"/>
        </a:xfrm>
        <a:prstGeom prst="rect">
          <a:avLst/>
        </a:prstGeom>
      </xdr:spPr>
    </xdr:pic>
  </etc:cellImage>
  <etc:cellImage>
    <xdr:pic>
      <xdr:nvPicPr>
        <xdr:cNvPr id="111" name="ID_30C6E71D5F8A4B8CBCAEC4B3A03CCB35" descr="中型单位履带"/>
        <xdr:cNvPicPr>
          <a:picLocks noChangeAspect="1"/>
        </xdr:cNvPicPr>
      </xdr:nvPicPr>
      <xdr:blipFill>
        <a:blip r:embed="rId73"/>
        <a:stretch>
          <a:fillRect/>
        </a:stretch>
      </xdr:blipFill>
      <xdr:spPr>
        <a:xfrm>
          <a:off x="16394430" y="7374890"/>
          <a:ext cx="2513330" cy="572135"/>
        </a:xfrm>
        <a:prstGeom prst="rect">
          <a:avLst/>
        </a:prstGeom>
      </xdr:spPr>
    </xdr:pic>
  </etc:cellImage>
  <etc:cellImage>
    <xdr:pic>
      <xdr:nvPicPr>
        <xdr:cNvPr id="112" name="ID_657EF6A0BE6B4434A154097422C48E12" descr="好战者电锯"/>
        <xdr:cNvPicPr>
          <a:picLocks noChangeAspect="1"/>
        </xdr:cNvPicPr>
      </xdr:nvPicPr>
      <xdr:blipFill>
        <a:blip r:embed="rId74"/>
        <a:stretch>
          <a:fillRect/>
        </a:stretch>
      </xdr:blipFill>
      <xdr:spPr>
        <a:xfrm>
          <a:off x="19996150" y="47973615"/>
          <a:ext cx="794385" cy="1477645"/>
        </a:xfrm>
        <a:prstGeom prst="rect">
          <a:avLst/>
        </a:prstGeom>
      </xdr:spPr>
    </xdr:pic>
  </etc:cellImage>
  <etc:cellImage>
    <xdr:pic>
      <xdr:nvPicPr>
        <xdr:cNvPr id="113" name="ID_EA798F6B55A240ECA9EBACA1BB98CDB1" descr="好战者电锯"/>
        <xdr:cNvPicPr>
          <a:picLocks noChangeAspect="1"/>
        </xdr:cNvPicPr>
      </xdr:nvPicPr>
      <xdr:blipFill>
        <a:blip r:embed="rId74"/>
        <a:stretch>
          <a:fillRect/>
        </a:stretch>
      </xdr:blipFill>
      <xdr:spPr>
        <a:xfrm>
          <a:off x="20018375" y="47003335"/>
          <a:ext cx="794385" cy="1478280"/>
        </a:xfrm>
        <a:prstGeom prst="rect">
          <a:avLst/>
        </a:prstGeom>
      </xdr:spPr>
    </xdr:pic>
  </etc:cellImage>
  <etc:cellImage>
    <xdr:pic>
      <xdr:nvPicPr>
        <xdr:cNvPr id="101" name="ID_F85E9283C1004E089C775E0CC260AD93" descr="战术地刺3"/>
        <xdr:cNvPicPr>
          <a:picLocks noChangeAspect="1"/>
        </xdr:cNvPicPr>
      </xdr:nvPicPr>
      <xdr:blipFill>
        <a:blip r:embed="rId75"/>
        <a:stretch>
          <a:fillRect/>
        </a:stretch>
      </xdr:blipFill>
      <xdr:spPr>
        <a:xfrm>
          <a:off x="18343245" y="51142265"/>
          <a:ext cx="1908810" cy="381000"/>
        </a:xfrm>
        <a:prstGeom prst="rect">
          <a:avLst/>
        </a:prstGeom>
      </xdr:spPr>
    </xdr:pic>
  </etc:cellImage>
  <etc:cellImage>
    <xdr:pic>
      <xdr:nvPicPr>
        <xdr:cNvPr id="102" name="ID_4850B5F71105430AB39F7EA988F0983C" descr="战术地刺2"/>
        <xdr:cNvPicPr>
          <a:picLocks noChangeAspect="1"/>
        </xdr:cNvPicPr>
      </xdr:nvPicPr>
      <xdr:blipFill>
        <a:blip r:embed="rId76"/>
        <a:stretch>
          <a:fillRect/>
        </a:stretch>
      </xdr:blipFill>
      <xdr:spPr>
        <a:xfrm>
          <a:off x="18354040" y="50825400"/>
          <a:ext cx="1908810" cy="381000"/>
        </a:xfrm>
        <a:prstGeom prst="rect">
          <a:avLst/>
        </a:prstGeom>
      </xdr:spPr>
    </xdr:pic>
  </etc:cellImage>
  <etc:cellImage>
    <xdr:pic>
      <xdr:nvPicPr>
        <xdr:cNvPr id="114" name="ID_982778376AB4490B87694418098DBDE2" descr="战术地刺1"/>
        <xdr:cNvPicPr>
          <a:picLocks noChangeAspect="1"/>
        </xdr:cNvPicPr>
      </xdr:nvPicPr>
      <xdr:blipFill>
        <a:blip r:embed="rId77"/>
        <a:stretch>
          <a:fillRect/>
        </a:stretch>
      </xdr:blipFill>
      <xdr:spPr>
        <a:xfrm>
          <a:off x="18341975" y="50488850"/>
          <a:ext cx="1908810" cy="381000"/>
        </a:xfrm>
        <a:prstGeom prst="rect">
          <a:avLst/>
        </a:prstGeom>
      </xdr:spPr>
    </xdr:pic>
  </etc:cellImage>
  <etc:cellImage>
    <xdr:pic>
      <xdr:nvPicPr>
        <xdr:cNvPr id="115" name="ID_D11D2B3044C94281AB9999F805AB95C8" descr="战术地刺1"/>
        <xdr:cNvPicPr>
          <a:picLocks noChangeAspect="1"/>
        </xdr:cNvPicPr>
      </xdr:nvPicPr>
      <xdr:blipFill>
        <a:blip r:embed="rId77"/>
        <a:stretch>
          <a:fillRect/>
        </a:stretch>
      </xdr:blipFill>
      <xdr:spPr>
        <a:xfrm>
          <a:off x="18339435" y="50297715"/>
          <a:ext cx="1908810" cy="381000"/>
        </a:xfrm>
        <a:prstGeom prst="rect">
          <a:avLst/>
        </a:prstGeom>
      </xdr:spPr>
    </xdr:pic>
  </etc:cellImage>
  <etc:cellImage>
    <xdr:pic>
      <xdr:nvPicPr>
        <xdr:cNvPr id="116" name="ID_406DCE8A3A9041E582B331C4E8C3C4E5" descr="战术地刺3"/>
        <xdr:cNvPicPr>
          <a:picLocks noChangeAspect="1"/>
        </xdr:cNvPicPr>
      </xdr:nvPicPr>
      <xdr:blipFill>
        <a:blip r:embed="rId75"/>
        <a:stretch>
          <a:fillRect/>
        </a:stretch>
      </xdr:blipFill>
      <xdr:spPr>
        <a:xfrm>
          <a:off x="18247995" y="51335940"/>
          <a:ext cx="1908810" cy="381000"/>
        </a:xfrm>
        <a:prstGeom prst="rect">
          <a:avLst/>
        </a:prstGeom>
      </xdr:spPr>
    </xdr:pic>
  </etc:cellImage>
  <etc:cellImage>
    <xdr:pic>
      <xdr:nvPicPr>
        <xdr:cNvPr id="117" name="ID_B7C3E42B95B142C1B360C73D5910D5F2" descr="战术地刺2"/>
        <xdr:cNvPicPr>
          <a:picLocks noChangeAspect="1"/>
        </xdr:cNvPicPr>
      </xdr:nvPicPr>
      <xdr:blipFill>
        <a:blip r:embed="rId76"/>
        <a:stretch>
          <a:fillRect/>
        </a:stretch>
      </xdr:blipFill>
      <xdr:spPr>
        <a:xfrm>
          <a:off x="18402935" y="50648235"/>
          <a:ext cx="1908810" cy="381000"/>
        </a:xfrm>
        <a:prstGeom prst="rect">
          <a:avLst/>
        </a:prstGeom>
      </xdr:spPr>
    </xdr:pic>
  </etc:cellImage>
  <etc:cellImage>
    <xdr:pic>
      <xdr:nvPicPr>
        <xdr:cNvPr id="118" name="ID_FF7E28104CED49C5B8A6A806119BEA02" descr="小透明"/>
        <xdr:cNvPicPr>
          <a:picLocks noChangeAspect="1"/>
        </xdr:cNvPicPr>
      </xdr:nvPicPr>
      <xdr:blipFill>
        <a:blip r:embed="rId78"/>
        <a:stretch>
          <a:fillRect/>
        </a:stretch>
      </xdr:blipFill>
      <xdr:spPr>
        <a:xfrm>
          <a:off x="18478500" y="5247640"/>
          <a:ext cx="9525" cy="10160"/>
        </a:xfrm>
        <a:prstGeom prst="rect">
          <a:avLst/>
        </a:prstGeom>
      </xdr:spPr>
    </xdr:pic>
  </etc:cellImage>
  <etc:cellImage>
    <xdr:pic>
      <xdr:nvPicPr>
        <xdr:cNvPr id="121" name="ID_68ACDB4BE86A41398BAC6CC0CF9FE8D3" descr="速射战车"/>
        <xdr:cNvPicPr>
          <a:picLocks noChangeAspect="1"/>
        </xdr:cNvPicPr>
      </xdr:nvPicPr>
      <xdr:blipFill>
        <a:blip r:embed="rId79"/>
        <a:stretch>
          <a:fillRect/>
        </a:stretch>
      </xdr:blipFill>
      <xdr:spPr>
        <a:xfrm>
          <a:off x="16468725" y="12609830"/>
          <a:ext cx="1901190" cy="565785"/>
        </a:xfrm>
        <a:prstGeom prst="rect">
          <a:avLst/>
        </a:prstGeom>
      </xdr:spPr>
    </xdr:pic>
  </etc:cellImage>
  <etc:cellImage>
    <xdr:pic>
      <xdr:nvPicPr>
        <xdr:cNvPr id="122" name="ID_FB903126289E4CBF83E29EC6AD06E18A" descr="臼炮战车_底盘"/>
        <xdr:cNvPicPr>
          <a:picLocks noChangeAspect="1"/>
        </xdr:cNvPicPr>
      </xdr:nvPicPr>
      <xdr:blipFill>
        <a:blip r:embed="rId80"/>
        <a:stretch>
          <a:fillRect/>
        </a:stretch>
      </xdr:blipFill>
      <xdr:spPr>
        <a:xfrm>
          <a:off x="16551910" y="13268960"/>
          <a:ext cx="1901190" cy="565785"/>
        </a:xfrm>
        <a:prstGeom prst="rect">
          <a:avLst/>
        </a:prstGeom>
      </xdr:spPr>
    </xdr:pic>
  </etc:cellImage>
  <etc:cellImage>
    <xdr:pic>
      <xdr:nvPicPr>
        <xdr:cNvPr id="123" name="ID_9C0FB1F7CE7E400E8C3C5ED904F68E1C" descr="速射战车_速射炮"/>
        <xdr:cNvPicPr>
          <a:picLocks noChangeAspect="1"/>
        </xdr:cNvPicPr>
      </xdr:nvPicPr>
      <xdr:blipFill>
        <a:blip r:embed="rId81"/>
        <a:stretch>
          <a:fillRect/>
        </a:stretch>
      </xdr:blipFill>
      <xdr:spPr>
        <a:xfrm>
          <a:off x="19144615" y="43786425"/>
          <a:ext cx="186055" cy="520065"/>
        </a:xfrm>
        <a:prstGeom prst="rect">
          <a:avLst/>
        </a:prstGeom>
      </xdr:spPr>
    </xdr:pic>
  </etc:cellImage>
  <etc:cellImage>
    <xdr:pic>
      <xdr:nvPicPr>
        <xdr:cNvPr id="124" name="ID_3F3232838AB64434B782B9D68491E7AF" descr="臼炮战车_臼炮"/>
        <xdr:cNvPicPr>
          <a:picLocks noChangeAspect="1"/>
        </xdr:cNvPicPr>
      </xdr:nvPicPr>
      <xdr:blipFill>
        <a:blip r:embed="rId82"/>
        <a:stretch>
          <a:fillRect/>
        </a:stretch>
      </xdr:blipFill>
      <xdr:spPr>
        <a:xfrm>
          <a:off x="19827875" y="44587795"/>
          <a:ext cx="1333500" cy="481330"/>
        </a:xfrm>
        <a:prstGeom prst="rect">
          <a:avLst/>
        </a:prstGeom>
      </xdr:spPr>
    </xdr:pic>
  </etc:cellImage>
  <etc:cellImage>
    <xdr:pic>
      <xdr:nvPicPr>
        <xdr:cNvPr id="130" name="ID_A44DC50217734F32BA0CD854B536E439" descr="水晶研究站-Sheet4"/>
        <xdr:cNvPicPr>
          <a:picLocks noChangeAspect="1"/>
        </xdr:cNvPicPr>
      </xdr:nvPicPr>
      <xdr:blipFill>
        <a:blip r:embed="rId83"/>
        <a:stretch>
          <a:fillRect/>
        </a:stretch>
      </xdr:blipFill>
      <xdr:spPr>
        <a:xfrm>
          <a:off x="19373850" y="16411575"/>
          <a:ext cx="10058400" cy="1688465"/>
        </a:xfrm>
        <a:prstGeom prst="rect">
          <a:avLst/>
        </a:prstGeom>
      </xdr:spPr>
    </xdr:pic>
  </etc:cellImage>
  <etc:cellImage>
    <xdr:pic>
      <xdr:nvPicPr>
        <xdr:cNvPr id="129" name="ID_5516335BEE6943AC9778CF849C2F5547" descr="等离子"/>
        <xdr:cNvPicPr>
          <a:picLocks noChangeAspect="1"/>
        </xdr:cNvPicPr>
      </xdr:nvPicPr>
      <xdr:blipFill>
        <a:blip r:embed="rId84"/>
        <a:stretch>
          <a:fillRect/>
        </a:stretch>
      </xdr:blipFill>
      <xdr:spPr>
        <a:xfrm>
          <a:off x="19989800" y="53321585"/>
          <a:ext cx="1522730" cy="650875"/>
        </a:xfrm>
        <a:prstGeom prst="rect">
          <a:avLst/>
        </a:prstGeom>
      </xdr:spPr>
    </xdr:pic>
  </etc:cellImage>
  <etc:cellImage>
    <xdr:pic>
      <xdr:nvPicPr>
        <xdr:cNvPr id="131" name="ID_416436A9E9D1400DA488D779429654F6" descr="等离子_攻击"/>
        <xdr:cNvPicPr>
          <a:picLocks noChangeAspect="1"/>
        </xdr:cNvPicPr>
      </xdr:nvPicPr>
      <xdr:blipFill>
        <a:blip r:embed="rId85"/>
        <a:stretch>
          <a:fillRect/>
        </a:stretch>
      </xdr:blipFill>
      <xdr:spPr>
        <a:xfrm>
          <a:off x="20471765" y="53783865"/>
          <a:ext cx="3046730" cy="650875"/>
        </a:xfrm>
        <a:prstGeom prst="rect">
          <a:avLst/>
        </a:prstGeom>
      </xdr:spPr>
    </xdr:pic>
  </etc:cellImage>
  <etc:cellImage>
    <xdr:pic>
      <xdr:nvPicPr>
        <xdr:cNvPr id="132" name="ID_76A39E4F9414468A94C167647D626DE5" descr="挖掘钻机23"/>
        <xdr:cNvPicPr>
          <a:picLocks noChangeAspect="1"/>
        </xdr:cNvPicPr>
      </xdr:nvPicPr>
      <xdr:blipFill>
        <a:blip r:embed="rId86"/>
        <a:stretch>
          <a:fillRect/>
        </a:stretch>
      </xdr:blipFill>
      <xdr:spPr>
        <a:xfrm>
          <a:off x="18971260" y="5763895"/>
          <a:ext cx="10058400" cy="509905"/>
        </a:xfrm>
        <a:prstGeom prst="rect">
          <a:avLst/>
        </a:prstGeom>
      </xdr:spPr>
    </xdr:pic>
  </etc:cellImage>
  <etc:cellImage>
    <xdr:pic>
      <xdr:nvPicPr>
        <xdr:cNvPr id="133" name="ID_2849E231CEDE4C92A242D6FFD5BA405F" descr="挖掘钻机22"/>
        <xdr:cNvPicPr>
          <a:picLocks noChangeAspect="1"/>
        </xdr:cNvPicPr>
      </xdr:nvPicPr>
      <xdr:blipFill>
        <a:blip r:embed="rId87"/>
        <a:stretch>
          <a:fillRect/>
        </a:stretch>
      </xdr:blipFill>
      <xdr:spPr>
        <a:xfrm>
          <a:off x="19112230" y="5638165"/>
          <a:ext cx="10058400" cy="509905"/>
        </a:xfrm>
        <a:prstGeom prst="rect">
          <a:avLst/>
        </a:prstGeom>
      </xdr:spPr>
    </xdr:pic>
  </etc:cellImage>
  <etc:cellImage>
    <xdr:pic>
      <xdr:nvPicPr>
        <xdr:cNvPr id="134" name="ID_AB9D4DC96CE742E1A0A50D45A2AA6766" descr="挖掘钻机12"/>
        <xdr:cNvPicPr>
          <a:picLocks noChangeAspect="1"/>
        </xdr:cNvPicPr>
      </xdr:nvPicPr>
      <xdr:blipFill>
        <a:blip r:embed="rId88"/>
        <a:stretch>
          <a:fillRect/>
        </a:stretch>
      </xdr:blipFill>
      <xdr:spPr>
        <a:xfrm>
          <a:off x="19004280" y="5407660"/>
          <a:ext cx="10058400" cy="509905"/>
        </a:xfrm>
        <a:prstGeom prst="rect">
          <a:avLst/>
        </a:prstGeom>
      </xdr:spPr>
    </xdr:pic>
  </etc:cellImage>
  <etc:cellImage>
    <xdr:pic>
      <xdr:nvPicPr>
        <xdr:cNvPr id="8" name="ID_FDE6F32F5254403EBD755CC4E90555B0" descr="长矛2"/>
        <xdr:cNvPicPr>
          <a:picLocks noChangeAspect="1"/>
        </xdr:cNvPicPr>
      </xdr:nvPicPr>
      <xdr:blipFill>
        <a:blip r:embed="rId89"/>
        <a:stretch>
          <a:fillRect/>
        </a:stretch>
      </xdr:blipFill>
      <xdr:spPr>
        <a:xfrm>
          <a:off x="18616930" y="48505110"/>
          <a:ext cx="2758440" cy="1916430"/>
        </a:xfrm>
        <a:prstGeom prst="rect">
          <a:avLst/>
        </a:prstGeom>
      </xdr:spPr>
    </xdr:pic>
  </etc:cellImage>
  <etc:cellImage>
    <xdr:pic>
      <xdr:nvPicPr>
        <xdr:cNvPr id="75" name="ID_D8DFF925EEBC4E2C8E10FDC93251A357" descr="小胶囊"/>
        <xdr:cNvPicPr>
          <a:picLocks noChangeAspect="1"/>
        </xdr:cNvPicPr>
      </xdr:nvPicPr>
      <xdr:blipFill>
        <a:blip r:embed="rId90"/>
        <a:stretch>
          <a:fillRect/>
        </a:stretch>
      </xdr:blipFill>
      <xdr:spPr>
        <a:xfrm>
          <a:off x="16360775" y="12364720"/>
          <a:ext cx="1750060" cy="533400"/>
        </a:xfrm>
        <a:prstGeom prst="rect">
          <a:avLst/>
        </a:prstGeom>
      </xdr:spPr>
    </xdr:pic>
  </etc:cellImage>
  <etc:cellImage>
    <xdr:pic>
      <xdr:nvPicPr>
        <xdr:cNvPr id="77" name="ID_986EA4D9337041F3AC381BD1EFB532C8" descr="小透明"/>
        <xdr:cNvPicPr>
          <a:picLocks noChangeAspect="1"/>
        </xdr:cNvPicPr>
      </xdr:nvPicPr>
      <xdr:blipFill>
        <a:blip r:embed="rId78"/>
        <a:stretch>
          <a:fillRect/>
        </a:stretch>
      </xdr:blipFill>
      <xdr:spPr>
        <a:xfrm>
          <a:off x="19241770" y="50307875"/>
          <a:ext cx="9525" cy="9525"/>
        </a:xfrm>
        <a:prstGeom prst="rect">
          <a:avLst/>
        </a:prstGeom>
      </xdr:spPr>
    </xdr:pic>
  </etc:cellImage>
  <etc:cellImage>
    <xdr:pic>
      <xdr:nvPicPr>
        <xdr:cNvPr id="103" name="ID_B5AFA920A30E479E99069395816C06CC" descr="收解台1-1"/>
        <xdr:cNvPicPr>
          <a:picLocks noChangeAspect="1"/>
        </xdr:cNvPicPr>
      </xdr:nvPicPr>
      <xdr:blipFill>
        <a:blip r:embed="rId91"/>
        <a:stretch>
          <a:fillRect/>
        </a:stretch>
      </xdr:blipFill>
      <xdr:spPr>
        <a:xfrm>
          <a:off x="18587085" y="24770715"/>
          <a:ext cx="9144000" cy="1151890"/>
        </a:xfrm>
        <a:prstGeom prst="rect">
          <a:avLst/>
        </a:prstGeom>
      </xdr:spPr>
    </xdr:pic>
  </etc:cellImage>
  <etc:cellImage>
    <xdr:pic>
      <xdr:nvPicPr>
        <xdr:cNvPr id="104" name="ID_F09BB24B5AA043D6A684061B2FDC4FC7" descr="收解台1-2"/>
        <xdr:cNvPicPr>
          <a:picLocks noChangeAspect="1"/>
        </xdr:cNvPicPr>
      </xdr:nvPicPr>
      <xdr:blipFill>
        <a:blip r:embed="rId92"/>
        <a:stretch>
          <a:fillRect/>
        </a:stretch>
      </xdr:blipFill>
      <xdr:spPr>
        <a:xfrm>
          <a:off x="18649950" y="24988520"/>
          <a:ext cx="9144000" cy="1151890"/>
        </a:xfrm>
        <a:prstGeom prst="rect">
          <a:avLst/>
        </a:prstGeom>
      </xdr:spPr>
    </xdr:pic>
  </etc:cellImage>
  <etc:cellImage>
    <xdr:pic>
      <xdr:nvPicPr>
        <xdr:cNvPr id="108" name="ID_42EE0AF93B8E4A5B93C133F036C2EDF3" descr="收解台1-3"/>
        <xdr:cNvPicPr>
          <a:picLocks noChangeAspect="1"/>
        </xdr:cNvPicPr>
      </xdr:nvPicPr>
      <xdr:blipFill>
        <a:blip r:embed="rId93"/>
        <a:stretch>
          <a:fillRect/>
        </a:stretch>
      </xdr:blipFill>
      <xdr:spPr>
        <a:xfrm>
          <a:off x="18429605" y="25264110"/>
          <a:ext cx="9144000" cy="1151890"/>
        </a:xfrm>
        <a:prstGeom prst="rect">
          <a:avLst/>
        </a:prstGeom>
      </xdr:spPr>
    </xdr:pic>
  </etc:cellImage>
  <etc:cellImage>
    <xdr:pic>
      <xdr:nvPicPr>
        <xdr:cNvPr id="109" name="ID_125D9C4D11DF445E9DCC7B8900E74EF8" descr="收解台激光发射口1"/>
        <xdr:cNvPicPr>
          <a:picLocks noChangeAspect="1"/>
        </xdr:cNvPicPr>
      </xdr:nvPicPr>
      <xdr:blipFill>
        <a:blip r:embed="rId94"/>
        <a:stretch>
          <a:fillRect/>
        </a:stretch>
      </xdr:blipFill>
      <xdr:spPr>
        <a:xfrm>
          <a:off x="20365720" y="38077775"/>
          <a:ext cx="762000" cy="765175"/>
        </a:xfrm>
        <a:prstGeom prst="rect">
          <a:avLst/>
        </a:prstGeom>
      </xdr:spPr>
    </xdr:pic>
  </etc:cellImage>
  <etc:cellImage>
    <xdr:pic>
      <xdr:nvPicPr>
        <xdr:cNvPr id="18" name="ID_9F6109CD60FB4EEBBBF797739AFE2B17" descr="大型次元传送基站4"/>
        <xdr:cNvPicPr>
          <a:picLocks noChangeAspect="1"/>
        </xdr:cNvPicPr>
      </xdr:nvPicPr>
      <xdr:blipFill>
        <a:blip r:embed="rId95"/>
        <a:stretch>
          <a:fillRect/>
        </a:stretch>
      </xdr:blipFill>
      <xdr:spPr>
        <a:xfrm>
          <a:off x="19040475" y="23144480"/>
          <a:ext cx="2286000" cy="2299970"/>
        </a:xfrm>
        <a:prstGeom prst="rect">
          <a:avLst/>
        </a:prstGeom>
      </xdr:spPr>
    </xdr:pic>
  </etc:cellImage>
  <etc:cellImage>
    <xdr:pic>
      <xdr:nvPicPr>
        <xdr:cNvPr id="34" name="ID_A3659953D7F14B24A7B55E072305A070" descr="大型次元传送基站2"/>
        <xdr:cNvPicPr>
          <a:picLocks noChangeAspect="1"/>
        </xdr:cNvPicPr>
      </xdr:nvPicPr>
      <xdr:blipFill>
        <a:blip r:embed="rId96"/>
        <a:stretch>
          <a:fillRect/>
        </a:stretch>
      </xdr:blipFill>
      <xdr:spPr>
        <a:xfrm>
          <a:off x="18840450" y="20199350"/>
          <a:ext cx="2286000" cy="2299970"/>
        </a:xfrm>
        <a:prstGeom prst="rect">
          <a:avLst/>
        </a:prstGeom>
      </xdr:spPr>
    </xdr:pic>
  </etc:cellImage>
  <etc:cellImage>
    <xdr:pic>
      <xdr:nvPicPr>
        <xdr:cNvPr id="60" name="ID_1F14837EC72B4A5781B452E975BE387C" descr="大型次元传送基站3"/>
        <xdr:cNvPicPr>
          <a:picLocks noChangeAspect="1"/>
        </xdr:cNvPicPr>
      </xdr:nvPicPr>
      <xdr:blipFill>
        <a:blip r:embed="rId97"/>
        <a:stretch>
          <a:fillRect/>
        </a:stretch>
      </xdr:blipFill>
      <xdr:spPr>
        <a:xfrm>
          <a:off x="19030950" y="21738590"/>
          <a:ext cx="2286000" cy="2299970"/>
        </a:xfrm>
        <a:prstGeom prst="rect">
          <a:avLst/>
        </a:prstGeom>
      </xdr:spPr>
    </xdr:pic>
  </etc:cellImage>
  <etc:cellImage>
    <xdr:pic>
      <xdr:nvPicPr>
        <xdr:cNvPr id="110" name="ID_E10F63FF1C3A40278EBDC94FE1B34676" descr="大型次元传送基站1"/>
        <xdr:cNvPicPr>
          <a:picLocks noChangeAspect="1"/>
        </xdr:cNvPicPr>
      </xdr:nvPicPr>
      <xdr:blipFill>
        <a:blip r:embed="rId98"/>
        <a:stretch>
          <a:fillRect/>
        </a:stretch>
      </xdr:blipFill>
      <xdr:spPr>
        <a:xfrm>
          <a:off x="19078575" y="18517235"/>
          <a:ext cx="2286000" cy="2299970"/>
        </a:xfrm>
        <a:prstGeom prst="rect">
          <a:avLst/>
        </a:prstGeom>
      </xdr:spPr>
    </xdr:pic>
  </etc:cellImage>
  <etc:cellImage>
    <xdr:pic>
      <xdr:nvPicPr>
        <xdr:cNvPr id="41" name="ID_3281FD42D1254158979FD2F1FEE8CD8C" descr="大型炮塔4"/>
        <xdr:cNvPicPr>
          <a:picLocks noChangeAspect="1"/>
        </xdr:cNvPicPr>
      </xdr:nvPicPr>
      <xdr:blipFill>
        <a:blip r:embed="rId99"/>
        <a:stretch>
          <a:fillRect/>
        </a:stretch>
      </xdr:blipFill>
      <xdr:spPr>
        <a:xfrm>
          <a:off x="18273395" y="46868080"/>
          <a:ext cx="1528445" cy="1535430"/>
        </a:xfrm>
        <a:prstGeom prst="rect">
          <a:avLst/>
        </a:prstGeom>
      </xdr:spPr>
    </xdr:pic>
  </etc:cellImage>
  <etc:cellImage>
    <xdr:pic>
      <xdr:nvPicPr>
        <xdr:cNvPr id="119" name="ID_48BCE4F1CEEC4B6BAD6459C76956F712" descr="镇压塔2-Sheet"/>
        <xdr:cNvPicPr>
          <a:picLocks noChangeAspect="1"/>
        </xdr:cNvPicPr>
      </xdr:nvPicPr>
      <xdr:blipFill>
        <a:blip r:embed="rId100"/>
        <a:stretch>
          <a:fillRect/>
        </a:stretch>
      </xdr:blipFill>
      <xdr:spPr>
        <a:xfrm>
          <a:off x="19013170" y="72790050"/>
          <a:ext cx="5944870" cy="1911350"/>
        </a:xfrm>
        <a:prstGeom prst="rect">
          <a:avLst/>
        </a:prstGeom>
      </xdr:spPr>
    </xdr:pic>
  </etc:cellImage>
  <etc:cellImage>
    <xdr:pic>
      <xdr:nvPicPr>
        <xdr:cNvPr id="120" name="ID_0D727F2ACE2A414F88871F3D1F359ADF" descr="闪耀塔"/>
        <xdr:cNvPicPr>
          <a:picLocks noChangeAspect="1"/>
        </xdr:cNvPicPr>
      </xdr:nvPicPr>
      <xdr:blipFill>
        <a:blip r:embed="rId101"/>
        <a:stretch>
          <a:fillRect/>
        </a:stretch>
      </xdr:blipFill>
      <xdr:spPr>
        <a:xfrm>
          <a:off x="19556095" y="74933175"/>
          <a:ext cx="914400" cy="2486025"/>
        </a:xfrm>
        <a:prstGeom prst="rect">
          <a:avLst/>
        </a:prstGeom>
      </xdr:spPr>
    </xdr:pic>
  </etc:cellImage>
  <etc:cellImage>
    <xdr:pic>
      <xdr:nvPicPr>
        <xdr:cNvPr id="126" name="ID_E1E4FCC7203644CEBB52CBDD055E4C93" descr="分解塔1"/>
        <xdr:cNvPicPr>
          <a:picLocks noChangeAspect="1"/>
        </xdr:cNvPicPr>
      </xdr:nvPicPr>
      <xdr:blipFill>
        <a:blip r:embed="rId102"/>
        <a:stretch>
          <a:fillRect/>
        </a:stretch>
      </xdr:blipFill>
      <xdr:spPr>
        <a:xfrm>
          <a:off x="19746595" y="74320400"/>
          <a:ext cx="10058400" cy="1260475"/>
        </a:xfrm>
        <a:prstGeom prst="rect">
          <a:avLst/>
        </a:prstGeom>
      </xdr:spPr>
    </xdr:pic>
  </etc:cellImage>
  <etc:cellImage>
    <xdr:pic>
      <xdr:nvPicPr>
        <xdr:cNvPr id="127" name="ID_59E5DA084C064CA090398D389D84894B" descr="分解塔-Sheet"/>
        <xdr:cNvPicPr>
          <a:picLocks noChangeAspect="1"/>
        </xdr:cNvPicPr>
      </xdr:nvPicPr>
      <xdr:blipFill>
        <a:blip r:embed="rId103"/>
        <a:stretch>
          <a:fillRect/>
        </a:stretch>
      </xdr:blipFill>
      <xdr:spPr>
        <a:xfrm>
          <a:off x="18898870" y="75018900"/>
          <a:ext cx="10058400" cy="5769610"/>
        </a:xfrm>
        <a:prstGeom prst="rect">
          <a:avLst/>
        </a:prstGeom>
      </xdr:spPr>
    </xdr:pic>
  </etc:cellImage>
  <etc:cellImage>
    <xdr:pic>
      <xdr:nvPicPr>
        <xdr:cNvPr id="128" name="ID_733EE97FF5E64127B78BE2EF6281AD1B" descr="炼狱炮塔闲置"/>
        <xdr:cNvPicPr>
          <a:picLocks noChangeAspect="1"/>
        </xdr:cNvPicPr>
      </xdr:nvPicPr>
      <xdr:blipFill>
        <a:blip r:embed="rId104"/>
        <a:stretch>
          <a:fillRect/>
        </a:stretch>
      </xdr:blipFill>
      <xdr:spPr>
        <a:xfrm>
          <a:off x="19908520" y="76835000"/>
          <a:ext cx="4267200" cy="1682750"/>
        </a:xfrm>
        <a:prstGeom prst="rect">
          <a:avLst/>
        </a:prstGeom>
      </xdr:spPr>
    </xdr:pic>
  </etc:cellImage>
  <etc:cellImage>
    <xdr:pic>
      <xdr:nvPicPr>
        <xdr:cNvPr id="135" name="ID_DB914DF14CA747C1B4837AEC14372FDD" descr="炼狱炮塔"/>
        <xdr:cNvPicPr>
          <a:picLocks noChangeAspect="1"/>
        </xdr:cNvPicPr>
      </xdr:nvPicPr>
      <xdr:blipFill>
        <a:blip r:embed="rId105"/>
        <a:stretch>
          <a:fillRect/>
        </a:stretch>
      </xdr:blipFill>
      <xdr:spPr>
        <a:xfrm>
          <a:off x="19575145" y="77647800"/>
          <a:ext cx="8534400" cy="1682750"/>
        </a:xfrm>
        <a:prstGeom prst="rect">
          <a:avLst/>
        </a:prstGeom>
      </xdr:spPr>
    </xdr:pic>
  </etc:cellImage>
  <etc:cellImage>
    <xdr:pic>
      <xdr:nvPicPr>
        <xdr:cNvPr id="125" name="ID_44A23E268BED40B5B1693FBC6A1BA9BF" descr="怒火级-Sheet"/>
        <xdr:cNvPicPr>
          <a:picLocks noChangeAspect="1"/>
        </xdr:cNvPicPr>
      </xdr:nvPicPr>
      <xdr:blipFill>
        <a:blip r:embed="rId106"/>
        <a:stretch>
          <a:fillRect/>
        </a:stretch>
      </xdr:blipFill>
      <xdr:spPr>
        <a:xfrm>
          <a:off x="15763875" y="17059275"/>
          <a:ext cx="1446530" cy="1322070"/>
        </a:xfrm>
        <a:prstGeom prst="rect">
          <a:avLst/>
        </a:prstGeom>
      </xdr:spPr>
    </xdr:pic>
  </etc:cellImage>
  <etc:cellImage>
    <xdr:pic>
      <xdr:nvPicPr>
        <xdr:cNvPr id="136" name="ID_3AAEA95A69F54B97865534A3BDE12DFB" descr="怒火级-Sheet"/>
        <xdr:cNvPicPr>
          <a:picLocks noChangeAspect="1"/>
        </xdr:cNvPicPr>
      </xdr:nvPicPr>
      <xdr:blipFill>
        <a:blip r:embed="rId106"/>
        <a:stretch>
          <a:fillRect/>
        </a:stretch>
      </xdr:blipFill>
      <xdr:spPr>
        <a:xfrm>
          <a:off x="16269970" y="16685895"/>
          <a:ext cx="1446530" cy="1322070"/>
        </a:xfrm>
        <a:prstGeom prst="rect">
          <a:avLst/>
        </a:prstGeom>
      </xdr:spPr>
    </xdr:pic>
  </etc:cellImage>
  <etc:cellImage>
    <xdr:pic>
      <xdr:nvPicPr>
        <xdr:cNvPr id="137" name="ID_4ED01D654D6C462396F0F4657AAC1A58" descr="标准脉冲激光炮"/>
        <xdr:cNvPicPr>
          <a:picLocks noChangeAspect="1"/>
        </xdr:cNvPicPr>
      </xdr:nvPicPr>
      <xdr:blipFill>
        <a:blip r:embed="rId107"/>
        <a:stretch>
          <a:fillRect/>
        </a:stretch>
      </xdr:blipFill>
      <xdr:spPr>
        <a:xfrm>
          <a:off x="19460845" y="59115325"/>
          <a:ext cx="152400" cy="498475"/>
        </a:xfrm>
        <a:prstGeom prst="rect">
          <a:avLst/>
        </a:prstGeom>
      </xdr:spPr>
    </xdr:pic>
  </etc:cellImage>
  <etc:cellImage>
    <xdr:pic>
      <xdr:nvPicPr>
        <xdr:cNvPr id="138" name="ID_DDF58A96E7FF4E45BA056A56C8BB49AF" descr="小型速射炮"/>
        <xdr:cNvPicPr>
          <a:picLocks noChangeAspect="1"/>
        </xdr:cNvPicPr>
      </xdr:nvPicPr>
      <xdr:blipFill>
        <a:blip r:embed="rId108"/>
        <a:stretch>
          <a:fillRect/>
        </a:stretch>
      </xdr:blipFill>
      <xdr:spPr>
        <a:xfrm>
          <a:off x="19089370" y="58369200"/>
          <a:ext cx="76200" cy="231775"/>
        </a:xfrm>
        <a:prstGeom prst="rect">
          <a:avLst/>
        </a:prstGeom>
      </xdr:spPr>
    </xdr:pic>
  </etc:cellImage>
  <etc:cellImage>
    <xdr:pic>
      <xdr:nvPicPr>
        <xdr:cNvPr id="139" name="ID_2D6012F9C8B44E328BF441D0919F0107" descr="征服级-Sheet"/>
        <xdr:cNvPicPr>
          <a:picLocks noChangeAspect="1"/>
        </xdr:cNvPicPr>
      </xdr:nvPicPr>
      <xdr:blipFill>
        <a:blip r:embed="rId109"/>
        <a:stretch>
          <a:fillRect/>
        </a:stretch>
      </xdr:blipFill>
      <xdr:spPr>
        <a:xfrm>
          <a:off x="16445230" y="18870295"/>
          <a:ext cx="3123565" cy="2814955"/>
        </a:xfrm>
        <a:prstGeom prst="rect">
          <a:avLst/>
        </a:prstGeom>
      </xdr:spPr>
    </xdr:pic>
  </etc:cellImage>
  <etc:cellImage>
    <xdr:pic>
      <xdr:nvPicPr>
        <xdr:cNvPr id="140" name="ID_07E2C5F6CA38470A86A8D2EB69806F3D" descr="复仇级-Sheet"/>
        <xdr:cNvPicPr>
          <a:picLocks noChangeAspect="1"/>
        </xdr:cNvPicPr>
      </xdr:nvPicPr>
      <xdr:blipFill>
        <a:blip r:embed="rId110"/>
        <a:stretch>
          <a:fillRect/>
        </a:stretch>
      </xdr:blipFill>
      <xdr:spPr>
        <a:xfrm>
          <a:off x="16478250" y="18494375"/>
          <a:ext cx="2209165" cy="1763395"/>
        </a:xfrm>
        <a:prstGeom prst="rect">
          <a:avLst/>
        </a:prstGeom>
      </xdr:spPr>
    </xdr:pic>
  </etc:cellImage>
  <etc:cellImage>
    <xdr:pic>
      <xdr:nvPicPr>
        <xdr:cNvPr id="142" name="ID_100B689C7DE042889E72EC757E25B5C1" descr="机体核心"/>
        <xdr:cNvPicPr>
          <a:picLocks noChangeAspect="1"/>
        </xdr:cNvPicPr>
      </xdr:nvPicPr>
      <xdr:blipFill>
        <a:blip r:embed="rId111"/>
        <a:stretch>
          <a:fillRect/>
        </a:stretch>
      </xdr:blipFill>
      <xdr:spPr>
        <a:xfrm>
          <a:off x="16395700" y="24904065"/>
          <a:ext cx="3501390" cy="1280160"/>
        </a:xfrm>
        <a:prstGeom prst="rect">
          <a:avLst/>
        </a:prstGeom>
      </xdr:spPr>
    </xdr:pic>
  </etc:cellImage>
  <etc:cellImage>
    <xdr:pic>
      <xdr:nvPicPr>
        <xdr:cNvPr id="51" name="ID_4C6AB4B4B9774A7CB76072D92F191163" descr="自毁者"/>
        <xdr:cNvPicPr>
          <a:picLocks noChangeAspect="1"/>
        </xdr:cNvPicPr>
      </xdr:nvPicPr>
      <xdr:blipFill>
        <a:blip r:embed="rId112"/>
        <a:stretch>
          <a:fillRect/>
        </a:stretch>
      </xdr:blipFill>
      <xdr:spPr>
        <a:xfrm>
          <a:off x="16388080" y="29716730"/>
          <a:ext cx="1369060" cy="811530"/>
        </a:xfrm>
        <a:prstGeom prst="rect">
          <a:avLst/>
        </a:prstGeom>
      </xdr:spPr>
    </xdr:pic>
  </etc:cellImage>
  <etc:cellImage>
    <xdr:pic>
      <xdr:nvPicPr>
        <xdr:cNvPr id="143" name="ID_4A25654618664D10BD06807F9472733F" descr="磁壳自毁者"/>
        <xdr:cNvPicPr>
          <a:picLocks noChangeAspect="1"/>
        </xdr:cNvPicPr>
      </xdr:nvPicPr>
      <xdr:blipFill>
        <a:blip r:embed="rId113"/>
        <a:stretch>
          <a:fillRect/>
        </a:stretch>
      </xdr:blipFill>
      <xdr:spPr>
        <a:xfrm>
          <a:off x="16168370" y="30860365"/>
          <a:ext cx="2517775" cy="1357630"/>
        </a:xfrm>
        <a:prstGeom prst="rect">
          <a:avLst/>
        </a:prstGeom>
      </xdr:spPr>
    </xdr:pic>
  </etc:cellImage>
  <etc:cellImage>
    <xdr:pic>
      <xdr:nvPicPr>
        <xdr:cNvPr id="144" name="ID_36440E39B0614DE79FA5795C0F411D04" descr="重投轰炸机炸弹-Sheet"/>
        <xdr:cNvPicPr>
          <a:picLocks noChangeAspect="1"/>
        </xdr:cNvPicPr>
      </xdr:nvPicPr>
      <xdr:blipFill>
        <a:blip r:embed="rId114"/>
        <a:stretch>
          <a:fillRect/>
        </a:stretch>
      </xdr:blipFill>
      <xdr:spPr>
        <a:xfrm>
          <a:off x="16490950" y="31631255"/>
          <a:ext cx="1546860" cy="1045845"/>
        </a:xfrm>
        <a:prstGeom prst="rect">
          <a:avLst/>
        </a:prstGeom>
      </xdr:spPr>
    </xdr:pic>
  </etc:cellImage>
  <etc:cellImage>
    <xdr:pic>
      <xdr:nvPicPr>
        <xdr:cNvPr id="146" name="ID_F2AE200851974CBC851F0643935CCBB8" descr="中型运输机"/>
        <xdr:cNvPicPr>
          <a:picLocks noChangeAspect="1"/>
        </xdr:cNvPicPr>
      </xdr:nvPicPr>
      <xdr:blipFill>
        <a:blip r:embed="rId115"/>
        <a:stretch>
          <a:fillRect/>
        </a:stretch>
      </xdr:blipFill>
      <xdr:spPr>
        <a:xfrm>
          <a:off x="16402685" y="34886900"/>
          <a:ext cx="1264285" cy="929640"/>
        </a:xfrm>
        <a:prstGeom prst="rect">
          <a:avLst/>
        </a:prstGeom>
      </xdr:spPr>
    </xdr:pic>
  </etc:cellImage>
  <etc:cellImage>
    <xdr:pic>
      <xdr:nvPicPr>
        <xdr:cNvPr id="150" name="ID_F0F43FCD85ED46CAA38E5A0345C25A8B" descr="导弹攻坚者"/>
        <xdr:cNvPicPr>
          <a:picLocks noChangeAspect="1"/>
        </xdr:cNvPicPr>
      </xdr:nvPicPr>
      <xdr:blipFill>
        <a:blip r:embed="rId116"/>
        <a:stretch>
          <a:fillRect/>
        </a:stretch>
      </xdr:blipFill>
      <xdr:spPr>
        <a:xfrm>
          <a:off x="16483330" y="28540075"/>
          <a:ext cx="702945" cy="548640"/>
        </a:xfrm>
        <a:prstGeom prst="rect">
          <a:avLst/>
        </a:prstGeom>
      </xdr:spPr>
    </xdr:pic>
  </etc:cellImage>
  <etc:cellImage>
    <xdr:pic>
      <xdr:nvPicPr>
        <xdr:cNvPr id="151" name="ID_709B3715FC41481D9D5869DC7AD296C9" descr="大型导弹攻坚者"/>
        <xdr:cNvPicPr>
          <a:picLocks noChangeAspect="1"/>
        </xdr:cNvPicPr>
      </xdr:nvPicPr>
      <xdr:blipFill>
        <a:blip r:embed="rId117"/>
        <a:stretch>
          <a:fillRect/>
        </a:stretch>
      </xdr:blipFill>
      <xdr:spPr>
        <a:xfrm>
          <a:off x="17164685" y="28740100"/>
          <a:ext cx="1184910" cy="688975"/>
        </a:xfrm>
        <a:prstGeom prst="rect">
          <a:avLst/>
        </a:prstGeom>
      </xdr:spPr>
    </xdr:pic>
  </etc:cellImage>
  <etc:cellImage>
    <xdr:pic>
      <xdr:nvPicPr>
        <xdr:cNvPr id="152" name="ID_70B248415E8A4D9D8CF3D8B9319B4DEF" descr="干扰体"/>
        <xdr:cNvPicPr>
          <a:picLocks noChangeAspect="1"/>
        </xdr:cNvPicPr>
      </xdr:nvPicPr>
      <xdr:blipFill>
        <a:blip r:embed="rId118"/>
        <a:stretch>
          <a:fillRect/>
        </a:stretch>
      </xdr:blipFill>
      <xdr:spPr>
        <a:xfrm>
          <a:off x="16410305" y="27675205"/>
          <a:ext cx="381000" cy="183515"/>
        </a:xfrm>
        <a:prstGeom prst="rect">
          <a:avLst/>
        </a:prstGeom>
      </xdr:spPr>
    </xdr:pic>
  </etc:cellImage>
  <etc:cellImage>
    <xdr:pic>
      <xdr:nvPicPr>
        <xdr:cNvPr id="153" name="ID_3DAF265EE80C4DE0AD15C01FF54DC844" descr="干扰侦测者"/>
        <xdr:cNvPicPr>
          <a:picLocks noChangeAspect="1"/>
        </xdr:cNvPicPr>
      </xdr:nvPicPr>
      <xdr:blipFill>
        <a:blip r:embed="rId119"/>
        <a:stretch>
          <a:fillRect/>
        </a:stretch>
      </xdr:blipFill>
      <xdr:spPr>
        <a:xfrm>
          <a:off x="16666210" y="29126815"/>
          <a:ext cx="1102995" cy="518160"/>
        </a:xfrm>
        <a:prstGeom prst="rect">
          <a:avLst/>
        </a:prstGeom>
      </xdr:spPr>
    </xdr:pic>
  </etc:cellImage>
  <etc:cellImage>
    <xdr:pic>
      <xdr:nvPicPr>
        <xdr:cNvPr id="154" name="ID_729848AF6F6B47F19B3200189BA2DED4" descr="加固侦测者"/>
        <xdr:cNvPicPr>
          <a:picLocks noChangeAspect="1"/>
        </xdr:cNvPicPr>
      </xdr:nvPicPr>
      <xdr:blipFill>
        <a:blip r:embed="rId120"/>
        <a:stretch>
          <a:fillRect/>
        </a:stretch>
      </xdr:blipFill>
      <xdr:spPr>
        <a:xfrm>
          <a:off x="16746855" y="28962985"/>
          <a:ext cx="893445" cy="535305"/>
        </a:xfrm>
        <a:prstGeom prst="rect">
          <a:avLst/>
        </a:prstGeom>
      </xdr:spPr>
    </xdr:pic>
  </etc:cellImage>
  <etc:cellImage>
    <xdr:pic>
      <xdr:nvPicPr>
        <xdr:cNvPr id="155" name="ID_CFD970384FFF4D458D85657325FF4835" descr="侦测者"/>
        <xdr:cNvPicPr>
          <a:picLocks noChangeAspect="1"/>
        </xdr:cNvPicPr>
      </xdr:nvPicPr>
      <xdr:blipFill>
        <a:blip r:embed="rId121"/>
        <a:stretch>
          <a:fillRect/>
        </a:stretch>
      </xdr:blipFill>
      <xdr:spPr>
        <a:xfrm>
          <a:off x="16607790" y="28820745"/>
          <a:ext cx="816610" cy="361950"/>
        </a:xfrm>
        <a:prstGeom prst="rect">
          <a:avLst/>
        </a:prstGeom>
      </xdr:spPr>
    </xdr:pic>
  </etc:cellImage>
  <etc:cellImage>
    <xdr:pic>
      <xdr:nvPicPr>
        <xdr:cNvPr id="156" name="ID_B2B9C1B958044851A8E08D7A6D8CC4B4" descr="大型炮艇-Sheet"/>
        <xdr:cNvPicPr>
          <a:picLocks noChangeAspect="1"/>
        </xdr:cNvPicPr>
      </xdr:nvPicPr>
      <xdr:blipFill>
        <a:blip r:embed="rId122"/>
        <a:stretch>
          <a:fillRect/>
        </a:stretch>
      </xdr:blipFill>
      <xdr:spPr>
        <a:xfrm>
          <a:off x="17111345" y="32579945"/>
          <a:ext cx="2826385" cy="836930"/>
        </a:xfrm>
        <a:prstGeom prst="rect">
          <a:avLst/>
        </a:prstGeom>
      </xdr:spPr>
    </xdr:pic>
  </etc:cellImage>
  <etc:cellImage>
    <xdr:pic>
      <xdr:nvPicPr>
        <xdr:cNvPr id="157" name="ID_D03E6783FB3944E9B105EC64703CC381" descr="小型炮艇-Sheet"/>
        <xdr:cNvPicPr>
          <a:picLocks noChangeAspect="1"/>
        </xdr:cNvPicPr>
      </xdr:nvPicPr>
      <xdr:blipFill>
        <a:blip r:embed="rId123"/>
        <a:stretch>
          <a:fillRect/>
        </a:stretch>
      </xdr:blipFill>
      <xdr:spPr>
        <a:xfrm>
          <a:off x="17349470" y="30896560"/>
          <a:ext cx="1909445" cy="533400"/>
        </a:xfrm>
        <a:prstGeom prst="rect">
          <a:avLst/>
        </a:prstGeom>
      </xdr:spPr>
    </xdr:pic>
  </etc:cellImage>
  <etc:cellImage>
    <xdr:pic>
      <xdr:nvPicPr>
        <xdr:cNvPr id="158" name="ID_C6D9DFD2F03A4E8C902AC663BF9FE591" descr="旋翼2-Sheet"/>
        <xdr:cNvPicPr>
          <a:picLocks noChangeAspect="1"/>
        </xdr:cNvPicPr>
      </xdr:nvPicPr>
      <xdr:blipFill>
        <a:blip r:embed="rId124"/>
        <a:stretch>
          <a:fillRect/>
        </a:stretch>
      </xdr:blipFill>
      <xdr:spPr>
        <a:xfrm>
          <a:off x="17368520" y="32023050"/>
          <a:ext cx="1909445" cy="584835"/>
        </a:xfrm>
        <a:prstGeom prst="rect">
          <a:avLst/>
        </a:prstGeom>
      </xdr:spPr>
    </xdr:pic>
  </etc:cellImage>
  <etc:cellImage>
    <xdr:pic>
      <xdr:nvPicPr>
        <xdr:cNvPr id="159" name="ID_AF0FFADC40AB4555835690EE2771055D" descr="大型旋翼2-Sheet"/>
        <xdr:cNvPicPr>
          <a:picLocks noChangeAspect="1"/>
        </xdr:cNvPicPr>
      </xdr:nvPicPr>
      <xdr:blipFill>
        <a:blip r:embed="rId125"/>
        <a:stretch>
          <a:fillRect/>
        </a:stretch>
      </xdr:blipFill>
      <xdr:spPr>
        <a:xfrm>
          <a:off x="17492345" y="32874585"/>
          <a:ext cx="2826385" cy="824865"/>
        </a:xfrm>
        <a:prstGeom prst="rect">
          <a:avLst/>
        </a:prstGeom>
      </xdr:spPr>
    </xdr:pic>
  </etc:cellImage>
  <etc:cellImage>
    <xdr:pic>
      <xdr:nvPicPr>
        <xdr:cNvPr id="160" name="ID_BA7B1FC6F2DC484F9C26EA1EEACD3B47" descr="小型炮艇炮管"/>
        <xdr:cNvPicPr>
          <a:picLocks noChangeAspect="1"/>
        </xdr:cNvPicPr>
      </xdr:nvPicPr>
      <xdr:blipFill>
        <a:blip r:embed="rId126"/>
        <a:stretch>
          <a:fillRect/>
        </a:stretch>
      </xdr:blipFill>
      <xdr:spPr>
        <a:xfrm>
          <a:off x="20537170" y="84869655"/>
          <a:ext cx="304800" cy="257175"/>
        </a:xfrm>
        <a:prstGeom prst="rect">
          <a:avLst/>
        </a:prstGeom>
      </xdr:spPr>
    </xdr:pic>
  </etc:cellImage>
  <etc:cellImage>
    <xdr:pic>
      <xdr:nvPicPr>
        <xdr:cNvPr id="161" name="ID_C8C4AE36C7EC492E9840AA2C9D45A9DD" descr="大型炮艇炮管-Sheet"/>
        <xdr:cNvPicPr>
          <a:picLocks noChangeAspect="1"/>
        </xdr:cNvPicPr>
      </xdr:nvPicPr>
      <xdr:blipFill>
        <a:blip r:embed="rId127"/>
        <a:stretch>
          <a:fillRect/>
        </a:stretch>
      </xdr:blipFill>
      <xdr:spPr>
        <a:xfrm>
          <a:off x="20318095" y="85472905"/>
          <a:ext cx="533400" cy="641350"/>
        </a:xfrm>
        <a:prstGeom prst="rect">
          <a:avLst/>
        </a:prstGeom>
      </xdr:spPr>
    </xdr:pic>
  </etc:cellImage>
  <etc:cellImage>
    <xdr:pic>
      <xdr:nvPicPr>
        <xdr:cNvPr id="162" name="ID_6F5473426F094FBBBFFAC8B7BC181E54" descr="旋翼导弹发射器"/>
        <xdr:cNvPicPr>
          <a:picLocks noChangeAspect="1"/>
        </xdr:cNvPicPr>
      </xdr:nvPicPr>
      <xdr:blipFill>
        <a:blip r:embed="rId128"/>
        <a:stretch>
          <a:fillRect/>
        </a:stretch>
      </xdr:blipFill>
      <xdr:spPr>
        <a:xfrm>
          <a:off x="20518120" y="87174705"/>
          <a:ext cx="85725" cy="304800"/>
        </a:xfrm>
        <a:prstGeom prst="rect">
          <a:avLst/>
        </a:prstGeom>
      </xdr:spPr>
    </xdr:pic>
  </etc:cellImage>
  <etc:cellImage>
    <xdr:pic>
      <xdr:nvPicPr>
        <xdr:cNvPr id="163" name="ID_7F24943C83E0466E908E885DEEF60793" descr="旋翼导弹发射器"/>
        <xdr:cNvPicPr>
          <a:picLocks noChangeAspect="1"/>
        </xdr:cNvPicPr>
      </xdr:nvPicPr>
      <xdr:blipFill>
        <a:blip r:embed="rId128"/>
        <a:stretch>
          <a:fillRect/>
        </a:stretch>
      </xdr:blipFill>
      <xdr:spPr>
        <a:xfrm>
          <a:off x="20660995" y="86279355"/>
          <a:ext cx="85725" cy="304800"/>
        </a:xfrm>
        <a:prstGeom prst="rect">
          <a:avLst/>
        </a:prstGeom>
      </xdr:spPr>
    </xdr:pic>
  </etc:cellImage>
  <etc:cellImage>
    <xdr:pic>
      <xdr:nvPicPr>
        <xdr:cNvPr id="141" name="ID_85DE07BD81904288B523C77AE82BBC77" descr="装甲人形"/>
        <xdr:cNvPicPr>
          <a:picLocks noChangeAspect="1"/>
        </xdr:cNvPicPr>
      </xdr:nvPicPr>
      <xdr:blipFill>
        <a:blip r:embed="rId129"/>
        <a:stretch>
          <a:fillRect/>
        </a:stretch>
      </xdr:blipFill>
      <xdr:spPr>
        <a:xfrm>
          <a:off x="21061045" y="40506650"/>
          <a:ext cx="209550" cy="219075"/>
        </a:xfrm>
        <a:prstGeom prst="rect">
          <a:avLst/>
        </a:prstGeom>
      </xdr:spPr>
    </xdr:pic>
  </etc:cellImage>
  <etc:cellImage>
    <xdr:pic>
      <xdr:nvPicPr>
        <xdr:cNvPr id="164" name="ID_ACAF165E9347462EB5AEBA0544D6447E" descr="新-射击塔-攻击"/>
        <xdr:cNvPicPr>
          <a:picLocks noChangeAspect="1"/>
        </xdr:cNvPicPr>
      </xdr:nvPicPr>
      <xdr:blipFill>
        <a:blip r:embed="rId130"/>
        <a:stretch>
          <a:fillRect/>
        </a:stretch>
      </xdr:blipFill>
      <xdr:spPr>
        <a:xfrm>
          <a:off x="22461220" y="13684250"/>
          <a:ext cx="1905000" cy="1377950"/>
        </a:xfrm>
        <a:prstGeom prst="rect">
          <a:avLst/>
        </a:prstGeom>
      </xdr:spPr>
    </xdr:pic>
  </etc:cellImage>
  <etc:cellImage>
    <xdr:pic>
      <xdr:nvPicPr>
        <xdr:cNvPr id="165" name="ID_0778B5095A9B4AEC92440D235C3285F5" descr="新-射击塔-闲置"/>
        <xdr:cNvPicPr>
          <a:picLocks noChangeAspect="1"/>
        </xdr:cNvPicPr>
      </xdr:nvPicPr>
      <xdr:blipFill>
        <a:blip r:embed="rId131"/>
        <a:stretch>
          <a:fillRect/>
        </a:stretch>
      </xdr:blipFill>
      <xdr:spPr>
        <a:xfrm>
          <a:off x="21518245" y="12747625"/>
          <a:ext cx="3333750" cy="1377950"/>
        </a:xfrm>
        <a:prstGeom prst="rect">
          <a:avLst/>
        </a:prstGeom>
      </xdr:spPr>
    </xdr:pic>
  </etc:cellImage>
  <etc:cellImage>
    <xdr:pic>
      <xdr:nvPicPr>
        <xdr:cNvPr id="166" name="ID_0D0D22BEEBA5453F8DE081F3002AC8AB" descr="新-射击塔3级-散热"/>
        <xdr:cNvPicPr>
          <a:picLocks noChangeAspect="1"/>
        </xdr:cNvPicPr>
      </xdr:nvPicPr>
      <xdr:blipFill>
        <a:blip r:embed="rId132"/>
        <a:stretch>
          <a:fillRect/>
        </a:stretch>
      </xdr:blipFill>
      <xdr:spPr>
        <a:xfrm>
          <a:off x="21289645" y="19411950"/>
          <a:ext cx="2381250" cy="1377950"/>
        </a:xfrm>
        <a:prstGeom prst="rect">
          <a:avLst/>
        </a:prstGeom>
      </xdr:spPr>
    </xdr:pic>
  </etc:cellImage>
  <etc:cellImage>
    <xdr:pic>
      <xdr:nvPicPr>
        <xdr:cNvPr id="167" name="ID_805390B2ED864926BDA3274760F6369F" descr="新-射击塔3级-攻击"/>
        <xdr:cNvPicPr>
          <a:picLocks noChangeAspect="1"/>
        </xdr:cNvPicPr>
      </xdr:nvPicPr>
      <xdr:blipFill>
        <a:blip r:embed="rId133"/>
        <a:stretch>
          <a:fillRect/>
        </a:stretch>
      </xdr:blipFill>
      <xdr:spPr>
        <a:xfrm>
          <a:off x="21946870" y="18551525"/>
          <a:ext cx="1905000" cy="1377950"/>
        </a:xfrm>
        <a:prstGeom prst="rect">
          <a:avLst/>
        </a:prstGeom>
      </xdr:spPr>
    </xdr:pic>
  </etc:cellImage>
  <etc:cellImage>
    <xdr:pic>
      <xdr:nvPicPr>
        <xdr:cNvPr id="168" name="ID_DB9AC5581E754A14BA78FB04780FA177" descr="新-射击塔2级-散热"/>
        <xdr:cNvPicPr>
          <a:picLocks noChangeAspect="1"/>
        </xdr:cNvPicPr>
      </xdr:nvPicPr>
      <xdr:blipFill>
        <a:blip r:embed="rId134"/>
        <a:stretch>
          <a:fillRect/>
        </a:stretch>
      </xdr:blipFill>
      <xdr:spPr>
        <a:xfrm>
          <a:off x="21280120" y="16859250"/>
          <a:ext cx="2381250" cy="1377950"/>
        </a:xfrm>
        <a:prstGeom prst="rect">
          <a:avLst/>
        </a:prstGeom>
      </xdr:spPr>
    </xdr:pic>
  </etc:cellImage>
  <etc:cellImage>
    <xdr:pic>
      <xdr:nvPicPr>
        <xdr:cNvPr id="169" name="ID_67D121678C744D1692F0E92B79BA455D" descr="新-射击塔2级-攻击"/>
        <xdr:cNvPicPr>
          <a:picLocks noChangeAspect="1"/>
        </xdr:cNvPicPr>
      </xdr:nvPicPr>
      <xdr:blipFill>
        <a:blip r:embed="rId135"/>
        <a:stretch>
          <a:fillRect/>
        </a:stretch>
      </xdr:blipFill>
      <xdr:spPr>
        <a:xfrm>
          <a:off x="21842095" y="16122650"/>
          <a:ext cx="1905000" cy="1377950"/>
        </a:xfrm>
        <a:prstGeom prst="rect">
          <a:avLst/>
        </a:prstGeom>
      </xdr:spPr>
    </xdr:pic>
  </etc:cellImage>
  <etc:cellImage>
    <xdr:pic>
      <xdr:nvPicPr>
        <xdr:cNvPr id="170" name="ID_8C671F7DAB724A26BD4E97B9B1ED943B" descr="新-射击塔3级-闲置"/>
        <xdr:cNvPicPr>
          <a:picLocks noChangeAspect="1"/>
        </xdr:cNvPicPr>
      </xdr:nvPicPr>
      <xdr:blipFill>
        <a:blip r:embed="rId136"/>
        <a:stretch>
          <a:fillRect/>
        </a:stretch>
      </xdr:blipFill>
      <xdr:spPr>
        <a:xfrm>
          <a:off x="21775420" y="17653000"/>
          <a:ext cx="3333750" cy="1377950"/>
        </a:xfrm>
        <a:prstGeom prst="rect">
          <a:avLst/>
        </a:prstGeom>
      </xdr:spPr>
    </xdr:pic>
  </etc:cellImage>
  <etc:cellImage>
    <xdr:pic>
      <xdr:nvPicPr>
        <xdr:cNvPr id="171" name="ID_DE3BD47F9C644E9481F9AAF9B01F52E4" descr="新-射击塔2级-闲置"/>
        <xdr:cNvPicPr>
          <a:picLocks noChangeAspect="1"/>
        </xdr:cNvPicPr>
      </xdr:nvPicPr>
      <xdr:blipFill>
        <a:blip r:embed="rId137"/>
        <a:stretch>
          <a:fillRect/>
        </a:stretch>
      </xdr:blipFill>
      <xdr:spPr>
        <a:xfrm>
          <a:off x="21642070" y="15214600"/>
          <a:ext cx="3333750" cy="1377950"/>
        </a:xfrm>
        <a:prstGeom prst="rect">
          <a:avLst/>
        </a:prstGeom>
      </xdr:spPr>
    </xdr:pic>
  </etc:cellImage>
  <etc:cellImage>
    <xdr:pic>
      <xdr:nvPicPr>
        <xdr:cNvPr id="42" name="ID_8DE8AC0E6D7A4E2F9BAC05C75906F5C2" descr="光子塔3级-冷却"/>
        <xdr:cNvPicPr>
          <a:picLocks noChangeAspect="1"/>
        </xdr:cNvPicPr>
      </xdr:nvPicPr>
      <xdr:blipFill>
        <a:blip r:embed="rId138"/>
        <a:stretch>
          <a:fillRect/>
        </a:stretch>
      </xdr:blipFill>
      <xdr:spPr>
        <a:xfrm>
          <a:off x="20489545" y="32397700"/>
          <a:ext cx="3810000" cy="1416050"/>
        </a:xfrm>
        <a:prstGeom prst="rect">
          <a:avLst/>
        </a:prstGeom>
      </xdr:spPr>
    </xdr:pic>
  </etc:cellImage>
  <etc:cellImage>
    <xdr:pic>
      <xdr:nvPicPr>
        <xdr:cNvPr id="58" name="ID_AA46E7BD8B0E4F309B3C026C17F43C88" descr="光子塔3级-攻击"/>
        <xdr:cNvPicPr>
          <a:picLocks noChangeAspect="1"/>
        </xdr:cNvPicPr>
      </xdr:nvPicPr>
      <xdr:blipFill>
        <a:blip r:embed="rId139"/>
        <a:stretch>
          <a:fillRect/>
        </a:stretch>
      </xdr:blipFill>
      <xdr:spPr>
        <a:xfrm>
          <a:off x="20680045" y="31680150"/>
          <a:ext cx="1905000" cy="1416050"/>
        </a:xfrm>
        <a:prstGeom prst="rect">
          <a:avLst/>
        </a:prstGeom>
      </xdr:spPr>
    </xdr:pic>
  </etc:cellImage>
  <etc:cellImage>
    <xdr:pic>
      <xdr:nvPicPr>
        <xdr:cNvPr id="59" name="ID_A1F85F8AB3604553A634A75CE46D7B2A" descr="光子塔2级-冷却"/>
        <xdr:cNvPicPr>
          <a:picLocks noChangeAspect="1"/>
        </xdr:cNvPicPr>
      </xdr:nvPicPr>
      <xdr:blipFill>
        <a:blip r:embed="rId140"/>
        <a:stretch>
          <a:fillRect/>
        </a:stretch>
      </xdr:blipFill>
      <xdr:spPr>
        <a:xfrm>
          <a:off x="20527645" y="30130750"/>
          <a:ext cx="3810000" cy="1416050"/>
        </a:xfrm>
        <a:prstGeom prst="rect">
          <a:avLst/>
        </a:prstGeom>
      </xdr:spPr>
    </xdr:pic>
  </etc:cellImage>
  <etc:cellImage>
    <xdr:pic>
      <xdr:nvPicPr>
        <xdr:cNvPr id="97" name="ID_AA59FBD3ED7B4DE48ABAE0F1D75F1841" descr="光子塔2级-攻击"/>
        <xdr:cNvPicPr>
          <a:picLocks noChangeAspect="1"/>
        </xdr:cNvPicPr>
      </xdr:nvPicPr>
      <xdr:blipFill>
        <a:blip r:embed="rId141"/>
        <a:stretch>
          <a:fillRect/>
        </a:stretch>
      </xdr:blipFill>
      <xdr:spPr>
        <a:xfrm>
          <a:off x="21327745" y="29308425"/>
          <a:ext cx="1905000" cy="1416050"/>
        </a:xfrm>
        <a:prstGeom prst="rect">
          <a:avLst/>
        </a:prstGeom>
      </xdr:spPr>
    </xdr:pic>
  </etc:cellImage>
  <etc:cellImage>
    <xdr:pic>
      <xdr:nvPicPr>
        <xdr:cNvPr id="98" name="ID_31B2A0BF0169429B8CBE24A951D275FD" descr="光子塔1级-冷却"/>
        <xdr:cNvPicPr>
          <a:picLocks noChangeAspect="1"/>
        </xdr:cNvPicPr>
      </xdr:nvPicPr>
      <xdr:blipFill>
        <a:blip r:embed="rId142"/>
        <a:stretch>
          <a:fillRect/>
        </a:stretch>
      </xdr:blipFill>
      <xdr:spPr>
        <a:xfrm>
          <a:off x="20899120" y="27682825"/>
          <a:ext cx="3810000" cy="1416050"/>
        </a:xfrm>
        <a:prstGeom prst="rect">
          <a:avLst/>
        </a:prstGeom>
      </xdr:spPr>
    </xdr:pic>
  </etc:cellImage>
  <etc:cellImage>
    <xdr:pic>
      <xdr:nvPicPr>
        <xdr:cNvPr id="99" name="ID_0041D6727C2C4803B87B172098BF0E44" descr="光子塔1级-攻击"/>
        <xdr:cNvPicPr>
          <a:picLocks noChangeAspect="1"/>
        </xdr:cNvPicPr>
      </xdr:nvPicPr>
      <xdr:blipFill>
        <a:blip r:embed="rId143"/>
        <a:stretch>
          <a:fillRect/>
        </a:stretch>
      </xdr:blipFill>
      <xdr:spPr>
        <a:xfrm>
          <a:off x="20365720" y="26917650"/>
          <a:ext cx="1905000" cy="1416050"/>
        </a:xfrm>
        <a:prstGeom prst="rect">
          <a:avLst/>
        </a:prstGeom>
      </xdr:spPr>
    </xdr:pic>
  </etc:cellImage>
  <etc:cellImage>
    <xdr:pic>
      <xdr:nvPicPr>
        <xdr:cNvPr id="145" name="ID_F6F01307F2FE47AB9E980B0177D16CB3" descr="光子塔3级-闲置"/>
        <xdr:cNvPicPr>
          <a:picLocks noChangeAspect="1"/>
        </xdr:cNvPicPr>
      </xdr:nvPicPr>
      <xdr:blipFill>
        <a:blip r:embed="rId144"/>
        <a:stretch>
          <a:fillRect/>
        </a:stretch>
      </xdr:blipFill>
      <xdr:spPr>
        <a:xfrm>
          <a:off x="20318095" y="30810200"/>
          <a:ext cx="3333750" cy="1416050"/>
        </a:xfrm>
        <a:prstGeom prst="rect">
          <a:avLst/>
        </a:prstGeom>
      </xdr:spPr>
    </xdr:pic>
  </etc:cellImage>
  <etc:cellImage>
    <xdr:pic>
      <xdr:nvPicPr>
        <xdr:cNvPr id="147" name="ID_34BC90453E17465A96D73425481B8520" descr="光子塔2级-闲置"/>
        <xdr:cNvPicPr>
          <a:picLocks noChangeAspect="1"/>
        </xdr:cNvPicPr>
      </xdr:nvPicPr>
      <xdr:blipFill>
        <a:blip r:embed="rId145"/>
        <a:stretch>
          <a:fillRect/>
        </a:stretch>
      </xdr:blipFill>
      <xdr:spPr>
        <a:xfrm>
          <a:off x="20403820" y="28314650"/>
          <a:ext cx="3333750" cy="1416050"/>
        </a:xfrm>
        <a:prstGeom prst="rect">
          <a:avLst/>
        </a:prstGeom>
      </xdr:spPr>
    </xdr:pic>
  </etc:cellImage>
  <etc:cellImage>
    <xdr:pic>
      <xdr:nvPicPr>
        <xdr:cNvPr id="148" name="ID_80B711526773425DBE9E0C8FF120D6D6" descr="光子塔1级-闲置"/>
        <xdr:cNvPicPr>
          <a:picLocks noChangeAspect="1"/>
        </xdr:cNvPicPr>
      </xdr:nvPicPr>
      <xdr:blipFill>
        <a:blip r:embed="rId146"/>
        <a:stretch>
          <a:fillRect/>
        </a:stretch>
      </xdr:blipFill>
      <xdr:spPr>
        <a:xfrm>
          <a:off x="20318095" y="25942925"/>
          <a:ext cx="3333750" cy="1416050"/>
        </a:xfrm>
        <a:prstGeom prst="rect">
          <a:avLst/>
        </a:prstGeom>
      </xdr:spPr>
    </xdr:pic>
  </etc:cellImage>
  <etc:cellImage>
    <xdr:pic>
      <xdr:nvPicPr>
        <xdr:cNvPr id="44" name="ID_D134C0EED1684D3796C76E361CDB83CC" descr="集数投射塔-攻击"/>
        <xdr:cNvPicPr>
          <a:picLocks noChangeAspect="1"/>
        </xdr:cNvPicPr>
      </xdr:nvPicPr>
      <xdr:blipFill>
        <a:blip r:embed="rId147"/>
        <a:stretch>
          <a:fillRect/>
        </a:stretch>
      </xdr:blipFill>
      <xdr:spPr>
        <a:xfrm>
          <a:off x="20441920" y="85644355"/>
          <a:ext cx="10058400" cy="1263650"/>
        </a:xfrm>
        <a:prstGeom prst="rect">
          <a:avLst/>
        </a:prstGeom>
      </xdr:spPr>
    </xdr:pic>
  </etc:cellImage>
  <etc:cellImage>
    <xdr:pic>
      <xdr:nvPicPr>
        <xdr:cNvPr id="92" name="ID_CCDAFC600A004D07982653F599D92ABF" descr="集数投射塔-闲置"/>
        <xdr:cNvPicPr>
          <a:picLocks noChangeAspect="1"/>
        </xdr:cNvPicPr>
      </xdr:nvPicPr>
      <xdr:blipFill>
        <a:blip r:embed="rId148"/>
        <a:stretch>
          <a:fillRect/>
        </a:stretch>
      </xdr:blipFill>
      <xdr:spPr>
        <a:xfrm>
          <a:off x="20365720" y="84774405"/>
          <a:ext cx="7620000" cy="1911350"/>
        </a:xfrm>
        <a:prstGeom prst="rect">
          <a:avLst/>
        </a:prstGeom>
      </xdr:spPr>
    </xdr:pic>
  </etc:cellImage>
  <etc:cellImage>
    <xdr:pic>
      <xdr:nvPicPr>
        <xdr:cNvPr id="93" name="ID_533A20A86C594DF495A948EFAC1B3CE1" descr="迫击炮塔3级-攻击"/>
        <xdr:cNvPicPr>
          <a:picLocks noChangeAspect="1"/>
        </xdr:cNvPicPr>
      </xdr:nvPicPr>
      <xdr:blipFill>
        <a:blip r:embed="rId149"/>
        <a:stretch>
          <a:fillRect/>
        </a:stretch>
      </xdr:blipFill>
      <xdr:spPr>
        <a:xfrm>
          <a:off x="21232495" y="26631900"/>
          <a:ext cx="4933950" cy="1511300"/>
        </a:xfrm>
        <a:prstGeom prst="rect">
          <a:avLst/>
        </a:prstGeom>
      </xdr:spPr>
    </xdr:pic>
  </etc:cellImage>
  <etc:cellImage>
    <xdr:pic>
      <xdr:nvPicPr>
        <xdr:cNvPr id="94" name="ID_FB52DC3E0E6E4857909630435D94D3F4" descr="迫击炮塔2级-闲置"/>
        <xdr:cNvPicPr>
          <a:picLocks noChangeAspect="1"/>
        </xdr:cNvPicPr>
      </xdr:nvPicPr>
      <xdr:blipFill>
        <a:blip r:embed="rId150"/>
        <a:stretch>
          <a:fillRect/>
        </a:stretch>
      </xdr:blipFill>
      <xdr:spPr>
        <a:xfrm>
          <a:off x="21061045" y="23418800"/>
          <a:ext cx="3524250" cy="1511300"/>
        </a:xfrm>
        <a:prstGeom prst="rect">
          <a:avLst/>
        </a:prstGeom>
      </xdr:spPr>
    </xdr:pic>
  </etc:cellImage>
  <etc:cellImage>
    <xdr:pic>
      <xdr:nvPicPr>
        <xdr:cNvPr id="95" name="ID_98BD7F045A9E4E3F8A62798C8970A2CF" descr="迫击炮塔1级-闲置"/>
        <xdr:cNvPicPr>
          <a:picLocks noChangeAspect="1"/>
        </xdr:cNvPicPr>
      </xdr:nvPicPr>
      <xdr:blipFill>
        <a:blip r:embed="rId151"/>
        <a:stretch>
          <a:fillRect/>
        </a:stretch>
      </xdr:blipFill>
      <xdr:spPr>
        <a:xfrm>
          <a:off x="20737195" y="21104225"/>
          <a:ext cx="3524250" cy="1511300"/>
        </a:xfrm>
        <a:prstGeom prst="rect">
          <a:avLst/>
        </a:prstGeom>
      </xdr:spPr>
    </xdr:pic>
  </etc:cellImage>
  <etc:cellImage>
    <xdr:pic>
      <xdr:nvPicPr>
        <xdr:cNvPr id="178" name="ID_B0E8E630100C43B08FBD3A680B712C62" descr="迫击炮塔1级-攻击"/>
        <xdr:cNvPicPr>
          <a:picLocks noChangeAspect="1"/>
        </xdr:cNvPicPr>
      </xdr:nvPicPr>
      <xdr:blipFill>
        <a:blip r:embed="rId152"/>
        <a:stretch>
          <a:fillRect/>
        </a:stretch>
      </xdr:blipFill>
      <xdr:spPr>
        <a:xfrm>
          <a:off x="20508595" y="21869400"/>
          <a:ext cx="4933950" cy="1511300"/>
        </a:xfrm>
        <a:prstGeom prst="rect">
          <a:avLst/>
        </a:prstGeom>
      </xdr:spPr>
    </xdr:pic>
  </etc:cellImage>
  <etc:cellImage>
    <xdr:pic>
      <xdr:nvPicPr>
        <xdr:cNvPr id="179" name="ID_B585E17EC4484AEF8B77FC8BB6F2D303" descr="迫击炮塔3级-闲置"/>
        <xdr:cNvPicPr>
          <a:picLocks noChangeAspect="1"/>
        </xdr:cNvPicPr>
      </xdr:nvPicPr>
      <xdr:blipFill>
        <a:blip r:embed="rId153"/>
        <a:stretch>
          <a:fillRect/>
        </a:stretch>
      </xdr:blipFill>
      <xdr:spPr>
        <a:xfrm>
          <a:off x="20432395" y="25981025"/>
          <a:ext cx="3524250" cy="1511300"/>
        </a:xfrm>
        <a:prstGeom prst="rect">
          <a:avLst/>
        </a:prstGeom>
      </xdr:spPr>
    </xdr:pic>
  </etc:cellImage>
  <etc:cellImage>
    <xdr:pic>
      <xdr:nvPicPr>
        <xdr:cNvPr id="181" name="ID_4BF5426B5AC545D483930799B8C09883" descr="迫击炮塔2级-攻击"/>
        <xdr:cNvPicPr>
          <a:picLocks noChangeAspect="1"/>
        </xdr:cNvPicPr>
      </xdr:nvPicPr>
      <xdr:blipFill>
        <a:blip r:embed="rId154"/>
        <a:stretch>
          <a:fillRect/>
        </a:stretch>
      </xdr:blipFill>
      <xdr:spPr>
        <a:xfrm>
          <a:off x="21213445" y="24069675"/>
          <a:ext cx="4933950" cy="1511300"/>
        </a:xfrm>
        <a:prstGeom prst="rect">
          <a:avLst/>
        </a:prstGeom>
      </xdr:spPr>
    </xdr:pic>
  </etc:cellImage>
  <etc:cellImage>
    <xdr:pic>
      <xdr:nvPicPr>
        <xdr:cNvPr id="73" name="ID_946E8F1F669E415C97BCD9022E834C3D" descr="迫击炮塔3级-冷却"/>
        <xdr:cNvPicPr>
          <a:picLocks noChangeAspect="1"/>
        </xdr:cNvPicPr>
      </xdr:nvPicPr>
      <xdr:blipFill>
        <a:blip r:embed="rId155"/>
        <a:stretch>
          <a:fillRect/>
        </a:stretch>
      </xdr:blipFill>
      <xdr:spPr>
        <a:xfrm>
          <a:off x="21232495" y="27368500"/>
          <a:ext cx="10058400" cy="1266190"/>
        </a:xfrm>
        <a:prstGeom prst="rect">
          <a:avLst/>
        </a:prstGeom>
      </xdr:spPr>
    </xdr:pic>
  </etc:cellImage>
  <etc:cellImage>
    <xdr:pic>
      <xdr:nvPicPr>
        <xdr:cNvPr id="85" name="ID_7645DC7A320E4DE79A86D9C264F765B9" descr="迫击炮塔2级-冷却"/>
        <xdr:cNvPicPr>
          <a:picLocks noChangeAspect="1"/>
        </xdr:cNvPicPr>
      </xdr:nvPicPr>
      <xdr:blipFill>
        <a:blip r:embed="rId156"/>
        <a:stretch>
          <a:fillRect/>
        </a:stretch>
      </xdr:blipFill>
      <xdr:spPr>
        <a:xfrm>
          <a:off x="21251545" y="25101550"/>
          <a:ext cx="10058400" cy="1269365"/>
        </a:xfrm>
        <a:prstGeom prst="rect">
          <a:avLst/>
        </a:prstGeom>
      </xdr:spPr>
    </xdr:pic>
  </etc:cellImage>
  <etc:cellImage>
    <xdr:pic>
      <xdr:nvPicPr>
        <xdr:cNvPr id="86" name="ID_3EEF57E5FC114254AA831F65524DF66D" descr="迫击炮塔1级-冷却"/>
        <xdr:cNvPicPr>
          <a:picLocks noChangeAspect="1"/>
        </xdr:cNvPicPr>
      </xdr:nvPicPr>
      <xdr:blipFill>
        <a:blip r:embed="rId157"/>
        <a:stretch>
          <a:fillRect/>
        </a:stretch>
      </xdr:blipFill>
      <xdr:spPr>
        <a:xfrm>
          <a:off x="20594320" y="22663150"/>
          <a:ext cx="10058400" cy="1269365"/>
        </a:xfrm>
        <a:prstGeom prst="rect">
          <a:avLst/>
        </a:prstGeom>
      </xdr:spPr>
    </xdr:pic>
  </etc:cellImage>
  <etc:cellImage>
    <xdr:pic>
      <xdr:nvPicPr>
        <xdr:cNvPr id="96" name="ID_036127C468B847BFAB5B3CCE1AD53047" descr="新-射击塔-散热2"/>
        <xdr:cNvPicPr>
          <a:picLocks noChangeAspect="1"/>
        </xdr:cNvPicPr>
      </xdr:nvPicPr>
      <xdr:blipFill>
        <a:blip r:embed="rId158"/>
        <a:stretch>
          <a:fillRect/>
        </a:stretch>
      </xdr:blipFill>
      <xdr:spPr>
        <a:xfrm>
          <a:off x="20737195" y="14554200"/>
          <a:ext cx="6191250" cy="1377950"/>
        </a:xfrm>
        <a:prstGeom prst="rect">
          <a:avLst/>
        </a:prstGeom>
      </xdr:spPr>
    </xdr:pic>
  </etc:cellImage>
</etc:cellImages>
</file>

<file path=xl/comments1.xml><?xml version="1.0" encoding="utf-8"?>
<comments xmlns="http://schemas.openxmlformats.org/spreadsheetml/2006/main">
  <authors>
    <author>火火兽</author>
  </authors>
  <commentList>
    <comment ref="L67" authorId="0">
      <text>
        <r>
          <rPr>
            <b/>
            <sz val="9"/>
            <rFont val="宋体"/>
            <charset val="134"/>
          </rPr>
          <t>火火兽:</t>
        </r>
        <r>
          <rPr>
            <sz val="9"/>
            <rFont val="宋体"/>
            <charset val="134"/>
          </rPr>
          <t xml:space="preserve">
通明贴图，不是没有
</t>
        </r>
      </text>
    </comment>
    <comment ref="L107" authorId="0">
      <text>
        <r>
          <rPr>
            <b/>
            <sz val="9"/>
            <rFont val="宋体"/>
            <charset val="134"/>
          </rPr>
          <t>火火兽:</t>
        </r>
        <r>
          <rPr>
            <sz val="9"/>
            <rFont val="宋体"/>
            <charset val="134"/>
          </rPr>
          <t xml:space="preserve">
通明贴图，不是没有
</t>
        </r>
      </text>
    </comment>
    <comment ref="L108" authorId="0">
      <text>
        <r>
          <rPr>
            <b/>
            <sz val="9"/>
            <rFont val="宋体"/>
            <charset val="134"/>
          </rPr>
          <t>火火兽:</t>
        </r>
        <r>
          <rPr>
            <sz val="9"/>
            <rFont val="宋体"/>
            <charset val="134"/>
          </rPr>
          <t xml:space="preserve">
通明贴图，不是没有
</t>
        </r>
      </text>
    </comment>
    <comment ref="L109" authorId="0">
      <text>
        <r>
          <rPr>
            <b/>
            <sz val="9"/>
            <rFont val="宋体"/>
            <charset val="134"/>
          </rPr>
          <t>火火兽:</t>
        </r>
        <r>
          <rPr>
            <sz val="9"/>
            <rFont val="宋体"/>
            <charset val="134"/>
          </rPr>
          <t xml:space="preserve">
通明贴图，不是没有
</t>
        </r>
      </text>
    </comment>
    <comment ref="L110" authorId="0">
      <text>
        <r>
          <rPr>
            <b/>
            <sz val="9"/>
            <rFont val="宋体"/>
            <charset val="134"/>
          </rPr>
          <t>火火兽:</t>
        </r>
        <r>
          <rPr>
            <sz val="9"/>
            <rFont val="宋体"/>
            <charset val="134"/>
          </rPr>
          <t xml:space="preserve">
通明贴图，不是没有
</t>
        </r>
      </text>
    </comment>
    <comment ref="L111" authorId="0">
      <text>
        <r>
          <rPr>
            <b/>
            <sz val="9"/>
            <rFont val="宋体"/>
            <charset val="134"/>
          </rPr>
          <t>火火兽:</t>
        </r>
        <r>
          <rPr>
            <sz val="9"/>
            <rFont val="宋体"/>
            <charset val="134"/>
          </rPr>
          <t xml:space="preserve">
通明贴图，不是没有
</t>
        </r>
      </text>
    </comment>
    <comment ref="L112" authorId="0">
      <text>
        <r>
          <rPr>
            <b/>
            <sz val="9"/>
            <rFont val="宋体"/>
            <charset val="134"/>
          </rPr>
          <t>火火兽:</t>
        </r>
        <r>
          <rPr>
            <sz val="9"/>
            <rFont val="宋体"/>
            <charset val="134"/>
          </rPr>
          <t xml:space="preserve">
通明贴图，不是没有
</t>
        </r>
      </text>
    </comment>
    <comment ref="L113" authorId="0">
      <text>
        <r>
          <rPr>
            <b/>
            <sz val="9"/>
            <rFont val="宋体"/>
            <charset val="134"/>
          </rPr>
          <t>火火兽:</t>
        </r>
        <r>
          <rPr>
            <sz val="9"/>
            <rFont val="宋体"/>
            <charset val="134"/>
          </rPr>
          <t xml:space="preserve">
通明贴图，不是没有
</t>
        </r>
      </text>
    </comment>
  </commentList>
</comments>
</file>

<file path=xl/connections.xml><?xml version="1.0" encoding="utf-8"?>
<connections xmlns="http://schemas.openxmlformats.org/spreadsheetml/2006/main">
  <connection id="1" odcFile="F:\Remnant Afterglow Project\工具\基础配置\数据类型.accdb 数据类型.odc" name="连接" type="1" refreshOnLoad="1" background="1" refreshedVersion="2" saveData="1">
    <dbPr connection="DSN=MS Access Database;DBQ=F:\REMNANT AFTERGLOW PROJECT\工具\基础配置\数据类型.accdb;DefaultDir=F:\REMNANT AFTERGLOW PROJECT\工具\基础配置;DriverId=25;FIL=MS Access;MaxBufferSize=2048;PageTimeout=5;" command="SELECT * FROM `数据类型`  ORDER BY `数据类型编号` ASC" commandType="2"/>
  </connection>
</connections>
</file>

<file path=xl/sharedStrings.xml><?xml version="1.0" encoding="utf-8"?>
<sst xmlns="http://schemas.openxmlformats.org/spreadsheetml/2006/main" count="1753" uniqueCount="456">
  <si>
    <t>该表用于配置实体的帧动画
数据不想填就写 #BASEVALUE</t>
  </si>
  <si>
    <t>实体id
单位</t>
  </si>
  <si>
    <t>帧动画类型
1 默认动画
2 移动动画
3 静止攻击动画
6 移动攻击动画
10 死亡动画
播放时发现没有该动画就播放默认动画</t>
  </si>
  <si>
    <t>帧动画描述</t>
  </si>
  <si>
    <t>帧图坐标</t>
  </si>
  <si>
    <t>单个帧图
长宽（横纵）</t>
  </si>
  <si>
    <t>帧图最大序号
第一张图是1</t>
  </si>
  <si>
    <t>帧图大小
（横,纵）</t>
  </si>
  <si>
    <t>播放时，偏移中心的值
（横,竖）</t>
  </si>
  <si>
    <t>各帧相对持续时间
各帧默认为1
持续时间为1的帧的显示长度是持续时间为2的帧的两倍
例子:(1,2)|(3,1)
表示第一帧相对持续时间为2
表示第三帧相对持续时间为1</t>
  </si>
  <si>
    <t>设置动画播放速度
5是默认值，表示一秒5帧</t>
  </si>
  <si>
    <t>帧图</t>
  </si>
  <si>
    <t>不水平翻转
不填默认为True</t>
  </si>
  <si>
    <t>不垂直翻转
不填默认为True</t>
  </si>
  <si>
    <t>字段导出设置</t>
  </si>
  <si>
    <t>字段名称</t>
  </si>
  <si>
    <t>ObjectId</t>
  </si>
  <si>
    <t>AnimaType</t>
  </si>
  <si>
    <t>FrameAnimaDes</t>
  </si>
  <si>
    <t>Coords</t>
  </si>
  <si>
    <t>LengWidth</t>
  </si>
  <si>
    <t>MaxIndex</t>
  </si>
  <si>
    <t>Size</t>
  </si>
  <si>
    <t>#Offset</t>
  </si>
  <si>
    <t>#RelativeList</t>
  </si>
  <si>
    <t>#SpeedFps</t>
  </si>
  <si>
    <t>Picture</t>
  </si>
  <si>
    <t>#FlipH</t>
  </si>
  <si>
    <t>#FlipV</t>
  </si>
  <si>
    <t>数据类型</t>
  </si>
  <si>
    <t>INT</t>
  </si>
  <si>
    <t>STR</t>
  </si>
  <si>
    <t>Vector2I</t>
  </si>
  <si>
    <t>POINT</t>
  </si>
  <si>
    <t>&lt;(FLOAT)&gt;</t>
  </si>
  <si>
    <t>PNG</t>
  </si>
  <si>
    <t>BOOL</t>
  </si>
  <si>
    <t>单位默认动画</t>
  </si>
  <si>
    <t>#BASEVALUE</t>
  </si>
  <si>
    <t>(20,48)</t>
  </si>
  <si>
    <t>（4,1）</t>
  </si>
  <si>
    <t>单位移动动画</t>
  </si>
  <si>
    <t>(62,63)</t>
  </si>
  <si>
    <t>人型</t>
  </si>
  <si>
    <t>(24,20)</t>
  </si>
  <si>
    <t>（1,1）</t>
  </si>
  <si>
    <t>（8,1）</t>
  </si>
  <si>
    <t>枪手</t>
  </si>
  <si>
    <t>(66,60)</t>
  </si>
  <si>
    <t>钻头外壳</t>
  </si>
  <si>
    <t>(66,67)</t>
  </si>
  <si>
    <t>推土机外壳</t>
  </si>
  <si>
    <t>(72,67)</t>
  </si>
  <si>
    <t>翻越者底盘</t>
  </si>
  <si>
    <t>(36,33)</t>
  </si>
  <si>
    <t>好战者机壳</t>
  </si>
  <si>
    <t>刺击者机壳</t>
  </si>
  <si>
    <t>胶囊</t>
  </si>
  <si>
    <t>（46,56）</t>
  </si>
  <si>
    <t>速射战车</t>
  </si>
  <si>
    <t>（50,60）</t>
  </si>
  <si>
    <t>臼炮战车</t>
  </si>
  <si>
    <t>8004</t>
  </si>
  <si>
    <t>等离子</t>
  </si>
  <si>
    <t>(1,1)</t>
  </si>
  <si>
    <t>1</t>
  </si>
  <si>
    <t>透明的图片，不是没有</t>
  </si>
  <si>
    <t>怒火级陆行舰</t>
  </si>
  <si>
    <t>（38,140）</t>
  </si>
  <si>
    <t>4</t>
  </si>
  <si>
    <t>复仇级陆行舰</t>
  </si>
  <si>
    <t>（58,188）</t>
  </si>
  <si>
    <t>征服级陆行舰</t>
  </si>
  <si>
    <t>（82,300）</t>
  </si>
  <si>
    <t>双联机炮机甲</t>
  </si>
  <si>
    <t>(92,136)</t>
  </si>
  <si>
    <t>导弹发射器机甲</t>
  </si>
  <si>
    <t>盾牌重炮机甲</t>
  </si>
  <si>
    <t>飞行激光机甲</t>
  </si>
  <si>
    <t>干扰体</t>
  </si>
  <si>
    <t>(40,19)</t>
  </si>
  <si>
    <t>20</t>
  </si>
  <si>
    <t>侦测者</t>
  </si>
  <si>
    <t>(86,38)</t>
  </si>
  <si>
    <t>加固侦测者</t>
  </si>
  <si>
    <t>(94,56)</t>
  </si>
  <si>
    <t>干扰侦测者</t>
  </si>
  <si>
    <t>(116,54)</t>
  </si>
  <si>
    <t>导弹攻坚者</t>
  </si>
  <si>
    <t>(74,57)</t>
  </si>
  <si>
    <t>大型导弹攻坚者</t>
  </si>
  <si>
    <t>(124,57)</t>
  </si>
  <si>
    <t>小型炮艇</t>
  </si>
  <si>
    <t>(50,56)</t>
  </si>
  <si>
    <t>大型炮艇</t>
  </si>
  <si>
    <t>(74,87)</t>
  </si>
  <si>
    <t>旋翼</t>
  </si>
  <si>
    <t>(50,61)</t>
  </si>
  <si>
    <t>大型旋翼</t>
  </si>
  <si>
    <t>(74,86)</t>
  </si>
  <si>
    <t>自毁者</t>
  </si>
  <si>
    <t>(24,84)</t>
  </si>
  <si>
    <t>6</t>
  </si>
  <si>
    <t>（6,1）</t>
  </si>
  <si>
    <t>磁壳自毁者</t>
  </si>
  <si>
    <t>(44,140)</t>
  </si>
  <si>
    <t>重投轰炸机</t>
  </si>
  <si>
    <t>(54,108)</t>
  </si>
  <si>
    <t>3</t>
  </si>
  <si>
    <t>（3,1）</t>
  </si>
  <si>
    <t>(1,2)|(2,3)|(3,3)</t>
  </si>
  <si>
    <t>运输飞艇A型</t>
  </si>
  <si>
    <t>(133,96)</t>
  </si>
  <si>
    <t>实体id
建筑</t>
  </si>
  <si>
    <t>帧动画类型
1 默认动画
5 工作动画
10 死亡动画
播放时发现没有该动画就播放默认动画</t>
  </si>
  <si>
    <t>帧图最大序号（帧）
第一张图是1</t>
  </si>
  <si>
    <t>播放时,偏移中心的值
（横,竖）</t>
  </si>
  <si>
    <t>测试</t>
  </si>
  <si>
    <t>大型挖掘钻机-闲置</t>
  </si>
  <si>
    <t>（140,140）</t>
  </si>
  <si>
    <t>大型挖掘钻机-工作</t>
  </si>
  <si>
    <t>（10,6）</t>
  </si>
  <si>
    <t>挖掘钻机-闲置</t>
  </si>
  <si>
    <t>(80,80)</t>
  </si>
  <si>
    <t>挖掘钻机1</t>
  </si>
  <si>
    <t>（20,1）</t>
  </si>
  <si>
    <t>挖掘钻机2</t>
  </si>
  <si>
    <t>挖掘钻机3</t>
  </si>
  <si>
    <t>防御墙</t>
  </si>
  <si>
    <t>(40,40)</t>
  </si>
  <si>
    <t>防御墙LV1</t>
  </si>
  <si>
    <t>防御墙LV2</t>
  </si>
  <si>
    <t>防御墙LV3</t>
  </si>
  <si>
    <t>水晶提取器LV1</t>
  </si>
  <si>
    <t>水晶提取器LV2</t>
  </si>
  <si>
    <t>水晶提取器LV3</t>
  </si>
  <si>
    <t>次元凝练器LV1</t>
  </si>
  <si>
    <t>次元凝练器LV2</t>
  </si>
  <si>
    <t>次元凝练器LV3</t>
  </si>
  <si>
    <t>布局节点LV1</t>
  </si>
  <si>
    <t>布局节点LV2</t>
  </si>
  <si>
    <t>布局节点LV3</t>
  </si>
  <si>
    <t>核心节点</t>
  </si>
  <si>
    <t>(160,160)</t>
  </si>
  <si>
    <t>（16,1）</t>
  </si>
  <si>
    <t>熔炉平台LV1</t>
  </si>
  <si>
    <t>(120,120)</t>
  </si>
  <si>
    <t>水晶研究站</t>
  </si>
  <si>
    <t>(400,400)</t>
  </si>
  <si>
    <t>大型激光钻头左</t>
  </si>
  <si>
    <t>(200,100)</t>
  </si>
  <si>
    <t>大型激光钻头右</t>
  </si>
  <si>
    <t>大型次元传送基站1</t>
  </si>
  <si>
    <t>(240,240)</t>
  </si>
  <si>
    <t>大型次元传送基站2</t>
  </si>
  <si>
    <t>大型次元传送基站3</t>
  </si>
  <si>
    <t>大型次元传送基站4</t>
  </si>
  <si>
    <t>实体id
炮塔</t>
  </si>
  <si>
    <t>帧动画类型
0 建造时动画
1 默认动画
3 攻击动画
4 装填动画
10 死亡动画
播放时发现没有该动画就播放默认动画</t>
  </si>
  <si>
    <t>单个帧图
长宽(横纵)</t>
  </si>
  <si>
    <t>帧图大小
(横,纵)</t>
  </si>
  <si>
    <t>播放时，偏移中心的值
(横,竖)</t>
  </si>
  <si>
    <t>射击塔LV1</t>
  </si>
  <si>
    <t>5</t>
  </si>
  <si>
    <t>射击塔LV2</t>
  </si>
  <si>
    <t>射击塔LV3</t>
  </si>
  <si>
    <t>小型基础炮塔基座1级</t>
  </si>
  <si>
    <t>埋地小型基础炮塔基座1级</t>
  </si>
  <si>
    <t>小型基础炮塔基座2级</t>
  </si>
  <si>
    <t>埋地小型基础炮塔基座2级</t>
  </si>
  <si>
    <t>小型基础炮塔基座3级</t>
  </si>
  <si>
    <t>埋地小型基础炮塔基座3级</t>
  </si>
  <si>
    <t>中型基础炮塔基座1级</t>
  </si>
  <si>
    <t>埋地中型基础炮塔基座1级</t>
  </si>
  <si>
    <t>中型基础炮塔基座2级</t>
  </si>
  <si>
    <t>埋地中型基础炮塔基座2级</t>
  </si>
  <si>
    <t>中型基础炮塔基座3级</t>
  </si>
  <si>
    <t>埋地中型基础炮塔基座3级</t>
  </si>
  <si>
    <t>大型基础炮塔基座1级</t>
  </si>
  <si>
    <t>埋地大型基础炮塔基座1级</t>
  </si>
  <si>
    <t>大型基础炮塔基座2级</t>
  </si>
  <si>
    <t>埋地大型基础炮塔基座2级</t>
  </si>
  <si>
    <t>大型基础炮塔基座3级</t>
  </si>
  <si>
    <t>埋地大型基础炮塔基座3级</t>
  </si>
  <si>
    <t>收解台支架1</t>
  </si>
  <si>
    <t>8</t>
  </si>
  <si>
    <t>(8,1)</t>
  </si>
  <si>
    <t>10</t>
  </si>
  <si>
    <t>收解台支架2</t>
  </si>
  <si>
    <t>收解台支架3</t>
  </si>
  <si>
    <t>治疗工程塔基座</t>
  </si>
  <si>
    <t>机枪塔LV1</t>
  </si>
  <si>
    <t>光子塔LV1</t>
  </si>
  <si>
    <t>光子塔LV2</t>
  </si>
  <si>
    <t>光子塔LV3</t>
  </si>
  <si>
    <t>射空塔LV1</t>
  </si>
  <si>
    <t>射空塔LV2</t>
  </si>
  <si>
    <t>射空塔LV3</t>
  </si>
  <si>
    <t>迫击炮塔LV1</t>
  </si>
  <si>
    <t>迫击炮塔LV2</t>
  </si>
  <si>
    <t>迫击炮塔LV3</t>
  </si>
  <si>
    <t>喷火塔LV1</t>
  </si>
  <si>
    <t>喷火塔LV2</t>
  </si>
  <si>
    <t>喷火塔LV3</t>
  </si>
  <si>
    <t>破甲塔LV1</t>
  </si>
  <si>
    <t>100102</t>
  </si>
  <si>
    <t>破甲塔LV2</t>
  </si>
  <si>
    <t>100103</t>
  </si>
  <si>
    <t>破甲塔LV3</t>
  </si>
  <si>
    <t>散弹塔LV1</t>
  </si>
  <si>
    <t>100202</t>
  </si>
  <si>
    <t>散弹塔LV2</t>
  </si>
  <si>
    <t>100203</t>
  </si>
  <si>
    <t>散弹塔LV3</t>
  </si>
  <si>
    <t>101201</t>
  </si>
  <si>
    <t>导弹无人机塔LV1</t>
  </si>
  <si>
    <t>101202</t>
  </si>
  <si>
    <t>导弹无人机塔LV2</t>
  </si>
  <si>
    <t>101203</t>
  </si>
  <si>
    <t>导弹无人机塔LV3</t>
  </si>
  <si>
    <t>100401</t>
  </si>
  <si>
    <t>镇压塔</t>
  </si>
  <si>
    <t>0</t>
  </si>
  <si>
    <t>100601</t>
  </si>
  <si>
    <t>分解塔</t>
  </si>
  <si>
    <t>闪耀塔</t>
  </si>
  <si>
    <t>100801</t>
  </si>
  <si>
    <t>炼狱炮塔</t>
  </si>
  <si>
    <t>集数投射塔</t>
  </si>
  <si>
    <t>(16,1)</t>
  </si>
  <si>
    <t>战术地刺</t>
  </si>
  <si>
    <t>(5,1)</t>
  </si>
  <si>
    <t>(2,6)|(3,3)|(4,2)</t>
  </si>
  <si>
    <t>实体id
远程武器</t>
  </si>
  <si>
    <t>帧动画类型
1 默认动画
2 移动动画
3 攻击动画
4 装填动画
10 死亡动画(跟随死亡)
播放时发现没有该动画就播放默认动画</t>
  </si>
  <si>
    <t>帧图大小
（横,竖）</t>
  </si>
  <si>
    <t xml:space="preserve">各帧相对持续时间
各帧默认为1
例子:(1,2)|(3,1)
前面数字为需要改变的对应关键帧，后面的数字为相对持续时间的倍率
计算动画总时间时，帧数改变需要将关键帧自己算上
</t>
  </si>
  <si>
    <t>动画总长，帧数</t>
  </si>
  <si>
    <t>帧动画加时间</t>
  </si>
  <si>
    <t>WeaponId</t>
  </si>
  <si>
    <t>射击炮闲置</t>
  </si>
  <si>
    <t>（36,116）</t>
  </si>
  <si>
    <t>（12,1）</t>
  </si>
  <si>
    <t>射击炮开火</t>
  </si>
  <si>
    <t>射击炮装填</t>
  </si>
  <si>
    <t>（69,116）</t>
  </si>
  <si>
    <t>冶火炮闲置</t>
  </si>
  <si>
    <t>(92,150)</t>
  </si>
  <si>
    <t>冶火炮开火</t>
  </si>
  <si>
    <t>冶火炮装填</t>
  </si>
  <si>
    <t>导弹无人机塔1级</t>
  </si>
  <si>
    <t>(125,97)</t>
  </si>
  <si>
    <t>导弹无人机塔2级</t>
  </si>
  <si>
    <t>(125,104)</t>
  </si>
  <si>
    <t>导弹无人机塔3级</t>
  </si>
  <si>
    <t>测试炮开火</t>
  </si>
  <si>
    <t>(18,62)</t>
  </si>
  <si>
    <t>射击塔1级闲置</t>
  </si>
  <si>
    <t>（50,144）</t>
  </si>
  <si>
    <t>7</t>
  </si>
  <si>
    <t>（7,1）</t>
  </si>
  <si>
    <t>射击塔1级开火</t>
  </si>
  <si>
    <t>12</t>
  </si>
  <si>
    <t>射击塔1级装填</t>
  </si>
  <si>
    <t>13</t>
  </si>
  <si>
    <t>（13,1）</t>
  </si>
  <si>
    <t>(13,5)</t>
  </si>
  <si>
    <t>射击塔2级闲置</t>
  </si>
  <si>
    <t>射击塔2级开火</t>
  </si>
  <si>
    <t>射击塔2级装填</t>
  </si>
  <si>
    <t>（5,1）</t>
  </si>
  <si>
    <t>射击塔3级闲置</t>
  </si>
  <si>
    <t>射击塔3级开火</t>
  </si>
  <si>
    <t>射击塔3级装填</t>
  </si>
  <si>
    <t>射空塔</t>
  </si>
  <si>
    <t>(58,84)</t>
  </si>
  <si>
    <t>迫击炮塔1</t>
  </si>
  <si>
    <t>(74,158)</t>
  </si>
  <si>
    <t>(7,9)</t>
  </si>
  <si>
    <t>17</t>
  </si>
  <si>
    <t>（17,1）</t>
  </si>
  <si>
    <t>（17,4）</t>
  </si>
  <si>
    <t>迫击炮塔2</t>
  </si>
  <si>
    <t>(17,4)</t>
  </si>
  <si>
    <t>迫击炮塔3</t>
  </si>
  <si>
    <t>光子塔lv1</t>
  </si>
  <si>
    <t>(50,148)</t>
  </si>
  <si>
    <t>光子塔lv2</t>
  </si>
  <si>
    <t>光子塔lv3</t>
  </si>
  <si>
    <t>机枪塔闲置LV1</t>
  </si>
  <si>
    <t>(52,154)</t>
  </si>
  <si>
    <t>机枪塔开火LV1</t>
  </si>
  <si>
    <t>30</t>
  </si>
  <si>
    <t>机枪塔换弹LV1</t>
  </si>
  <si>
    <t>机枪塔闲置LV2</t>
  </si>
  <si>
    <t>机枪塔开火LV2</t>
  </si>
  <si>
    <t>机枪塔换弹LV2</t>
  </si>
  <si>
    <t>机枪塔闲置LV3</t>
  </si>
  <si>
    <t>机枪塔开火LV3</t>
  </si>
  <si>
    <t>机枪塔换弹LV3</t>
  </si>
  <si>
    <t>收解台1</t>
  </si>
  <si>
    <t>收解台2</t>
  </si>
  <si>
    <t>收解台3</t>
  </si>
  <si>
    <t>装甲人形</t>
  </si>
  <si>
    <t>(22,23)</t>
  </si>
  <si>
    <t>自爆人形</t>
  </si>
  <si>
    <t>冲击钻头</t>
  </si>
  <si>
    <t>(54,75)</t>
  </si>
  <si>
    <t>推土机</t>
  </si>
  <si>
    <t>(80,47)</t>
  </si>
  <si>
    <t>好战者电锯</t>
  </si>
  <si>
    <t>(21,154)</t>
  </si>
  <si>
    <t>翻越者火炮</t>
  </si>
  <si>
    <t>(38,54)</t>
  </si>
  <si>
    <t>刺击者长矛</t>
  </si>
  <si>
    <t>(29,201)</t>
  </si>
  <si>
    <t>（10,1）</t>
  </si>
  <si>
    <t>胶囊武器占位符</t>
  </si>
  <si>
    <t>作战人形</t>
  </si>
  <si>
    <t>(23,27)</t>
  </si>
  <si>
    <t>射手人形</t>
  </si>
  <si>
    <t>(24,32)</t>
  </si>
  <si>
    <t>枪手脉冲激光炮</t>
  </si>
  <si>
    <t>(62,71)</t>
  </si>
  <si>
    <t>(40,68)</t>
  </si>
  <si>
    <t>等离子攻击</t>
  </si>
  <si>
    <t>(20,54)</t>
  </si>
  <si>
    <t>(20,50)</t>
  </si>
  <si>
    <t>(3,6)|(4,3)|(5,3)|(6,3)|(7,2)</t>
  </si>
  <si>
    <t>小型速射炮</t>
  </si>
  <si>
    <t>(8,24)</t>
  </si>
  <si>
    <t>标准脉冲激光炮</t>
  </si>
  <si>
    <t>(16,52)</t>
  </si>
  <si>
    <t>喷火塔1</t>
  </si>
  <si>
    <t>(64,78)</t>
  </si>
  <si>
    <t>(7,11)</t>
  </si>
  <si>
    <t>喷火塔2</t>
  </si>
  <si>
    <t>(62,100)</t>
  </si>
  <si>
    <t>喷火塔3</t>
  </si>
  <si>
    <t>(48,85)</t>
  </si>
  <si>
    <t>(48,86)</t>
  </si>
  <si>
    <t>狙击塔LV1</t>
  </si>
  <si>
    <t>(60,161)</t>
  </si>
  <si>
    <t>狙击塔LV2</t>
  </si>
  <si>
    <t>狙击塔LV3</t>
  </si>
  <si>
    <t>(104,200)</t>
  </si>
  <si>
    <t>(6,1)</t>
  </si>
  <si>
    <t>镇压塔攻击</t>
  </si>
  <si>
    <t>(182,182)</t>
  </si>
  <si>
    <t>分解塔换弹</t>
  </si>
  <si>
    <t>28</t>
  </si>
  <si>
    <t>(7,4)</t>
  </si>
  <si>
    <t>(96,260)</t>
  </si>
  <si>
    <t>（112,176）</t>
  </si>
  <si>
    <t>(4,1)</t>
  </si>
  <si>
    <t>(200,200)</t>
  </si>
  <si>
    <t>(8,27)</t>
  </si>
  <si>
    <t>(14,67)</t>
  </si>
  <si>
    <t>(9,32)</t>
  </si>
  <si>
    <t>该表用于配置无人机的帧动画
数据不想填就写 #BASEVALUE</t>
  </si>
  <si>
    <t xml:space="preserve">无人机-实体id
</t>
  </si>
  <si>
    <t xml:space="preserve">爆炸id
</t>
  </si>
  <si>
    <t>帧动画类型</t>
  </si>
  <si>
    <t>设置动画播放倍数
2表示两倍播放，0.5表示半速播放</t>
  </si>
  <si>
    <t>设置动画的播放速度
单位:</t>
  </si>
  <si>
    <t>ExplodeId</t>
  </si>
  <si>
    <t>#FrameSpeed</t>
  </si>
  <si>
    <t>PlaySpeed</t>
  </si>
  <si>
    <t>测试武器</t>
  </si>
  <si>
    <t>(50,126)</t>
  </si>
  <si>
    <t>数据类型编号</t>
  </si>
  <si>
    <t>数据类型名称</t>
  </si>
  <si>
    <t>默认值</t>
  </si>
  <si>
    <t>数据类型描述</t>
  </si>
  <si>
    <t>数据类型示例</t>
  </si>
  <si>
    <t>True</t>
  </si>
  <si>
    <t>布尔值，用于表示 是或者否，True为是，False为否</t>
  </si>
  <si>
    <t>True       False</t>
  </si>
  <si>
    <t>SHORT</t>
  </si>
  <si>
    <t>短整数类型，用于表示一些比较小的整数 -32768 到 32767，少用</t>
  </si>
  <si>
    <t>11112      -21232</t>
  </si>
  <si>
    <t>整数类型，适合在大多数时候用于保存配置id，-2147483648到2147483647</t>
  </si>
  <si>
    <t>1212312321</t>
  </si>
  <si>
    <t>LONG</t>
  </si>
  <si>
    <t>长整数类型，用于保存大的整数，-9223372036854775808到9223372036854775807</t>
  </si>
  <si>
    <t>52122122111111</t>
  </si>
  <si>
    <t>FLOAT</t>
  </si>
  <si>
    <t>单精度浮点型，整数部分范围很大，小数部分，float的精度为6~7位有效数字，绝对能保证6位小数正常</t>
  </si>
  <si>
    <t>554.1233  622125.1231</t>
  </si>
  <si>
    <t>字符串，用于保存如介绍，描述等文本，通常不必担心长度</t>
  </si>
  <si>
    <t>你好</t>
  </si>
  <si>
    <t>&lt;BOOL&gt;</t>
  </si>
  <si>
    <t>[]</t>
  </si>
  <si>
    <t>布尔值列表，用于保存一个由布尔值组成的列表</t>
  </si>
  <si>
    <t>True|True|False</t>
  </si>
  <si>
    <t>&lt;SHORT&gt;</t>
  </si>
  <si>
    <t>短整数列表，用于保存一个由短整数组成的列表</t>
  </si>
  <si>
    <t>123|121|434|-121</t>
  </si>
  <si>
    <t>&lt;INT&gt;</t>
  </si>
  <si>
    <t>整数列表，用于保存一个由整数组成的列表</t>
  </si>
  <si>
    <t>2323232|1212|2343|545</t>
  </si>
  <si>
    <t>&lt;LONG&gt;</t>
  </si>
  <si>
    <t>长整数列表，用于保存一个由长整数组成的列表</t>
  </si>
  <si>
    <t>52122122111111|1223434433</t>
  </si>
  <si>
    <t>&lt;FLOAT&gt;</t>
  </si>
  <si>
    <t>小数列表，用于保存一个由小数组成的列表</t>
  </si>
  <si>
    <t>554.1233|12.12</t>
  </si>
  <si>
    <t>&lt;STR&gt;</t>
  </si>
  <si>
    <t>字符串列表</t>
  </si>
  <si>
    <t>(BOOL)</t>
  </si>
  <si>
    <t>()</t>
  </si>
  <si>
    <t>(SHORT)</t>
  </si>
  <si>
    <t>(INT)</t>
  </si>
  <si>
    <t>(LONG)</t>
  </si>
  <si>
    <t>(FLOAT)</t>
  </si>
  <si>
    <t>(STR)</t>
  </si>
  <si>
    <t>&lt;(BOOL)&gt;</t>
  </si>
  <si>
    <t>&lt;(SHORT)&gt;</t>
  </si>
  <si>
    <t>&lt;(INT)&gt;</t>
  </si>
  <si>
    <t>&lt;(LONG)&gt;</t>
  </si>
  <si>
    <t>&lt;(STR)&gt;</t>
  </si>
  <si>
    <t>LANG</t>
  </si>
  <si>
    <t>KeyBase</t>
  </si>
  <si>
    <t>语言id 是语言配置的id</t>
  </si>
  <si>
    <t>(0,0)</t>
  </si>
  <si>
    <t>保存小数二维坐标的类型</t>
  </si>
  <si>
    <t>(1.2,3.5)</t>
  </si>
  <si>
    <t>&lt;LANG&gt;</t>
  </si>
  <si>
    <t>语言id列表</t>
  </si>
  <si>
    <t>1|2</t>
  </si>
  <si>
    <t>&lt;POINT&gt;</t>
  </si>
  <si>
    <t>坐标点列表，Vector2的列表，用于保存小数二维坐标列表的类型</t>
  </si>
  <si>
    <t>(1.2,3.5)|(1.4,3.2)</t>
  </si>
  <si>
    <t>null</t>
  </si>
  <si>
    <t>Png图片，通常用于导出散图，导出单元格图片后，放在config\images\下</t>
  </si>
  <si>
    <t>整数类型的二维坐标</t>
  </si>
  <si>
    <t>(1,2)</t>
  </si>
  <si>
    <t>ULONG</t>
  </si>
  <si>
    <t>长整数类型，用于保存大的整数，0到18,446,744,073,709,551,615（即2^64 - 1）的非负整数值</t>
  </si>
  <si>
    <t>12312312321</t>
  </si>
  <si>
    <t>RGB</t>
  </si>
  <si>
    <t>(0,0,0)</t>
  </si>
  <si>
    <t>颜色类型rgb (x,x,x) x最大255</t>
  </si>
  <si>
    <t>RGBA</t>
  </si>
  <si>
    <t>(0,0,0,0)</t>
  </si>
  <si>
    <t>颜色类型rgba (x,x,x,x) x最大255</t>
  </si>
  <si>
    <t>&lt;Vector2I&gt;</t>
  </si>
  <si>
    <t>整数类型的整数二维坐标 的列表</t>
  </si>
  <si>
    <t>SequenceMap</t>
  </si>
  <si>
    <t>序列图的json文件名称，记得把对应的图片放在Remnant Afterglow\data\sequence_map文件夹下</t>
  </si>
  <si>
    <t>序列图名称.json</t>
  </si>
  <si>
    <t>BBCode</t>
  </si>
  <si>
    <t>BBCode是一种轻量标记语言，具体填写规则https://docs.godotengine.org/en/latest/tutorials/ui/bbcode_in_richtextlabel.html</t>
  </si>
  <si>
    <t>HashSet&lt;INT&gt;</t>
  </si>
  <si>
    <t>确保唯一的Int列表，c#中的HashSet&lt;int&gt;类型</t>
  </si>
  <si>
    <t>1|2|3|4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</si>
</sst>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2"/>
      <name val="宋体"/>
      <charset val="134"/>
    </font>
    <font>
      <b/>
      <sz val="12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sz val="10"/>
      <color theme="1"/>
      <name val="黑体"/>
      <charset val="134"/>
    </font>
    <font>
      <sz val="10"/>
      <color theme="1"/>
      <name val="宋体"/>
      <charset val="134"/>
      <scheme val="minor"/>
    </font>
    <font>
      <sz val="9.75"/>
      <color theme="1"/>
      <name val="Tahoma"/>
      <charset val="134"/>
    </font>
    <font>
      <sz val="11"/>
      <color rgb="FF000000"/>
      <name val="宋体"/>
      <charset val="134"/>
      <scheme val="minor"/>
    </font>
    <font>
      <sz val="10"/>
      <color rgb="FF000000"/>
      <name val="宋体"/>
      <charset val="134"/>
      <scheme val="minor"/>
    </font>
    <font>
      <b/>
      <sz val="12"/>
      <color theme="1"/>
      <name val="宋体"/>
      <charset val="134"/>
      <scheme val="maj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8" borderId="3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9" borderId="6" applyNumberFormat="0" applyAlignment="0" applyProtection="0">
      <alignment vertical="center"/>
    </xf>
    <xf numFmtId="0" fontId="20" fillId="10" borderId="7" applyNumberFormat="0" applyAlignment="0" applyProtection="0">
      <alignment vertical="center"/>
    </xf>
    <xf numFmtId="0" fontId="21" fillId="10" borderId="6" applyNumberFormat="0" applyAlignment="0" applyProtection="0">
      <alignment vertical="center"/>
    </xf>
    <xf numFmtId="0" fontId="22" fillId="11" borderId="8" applyNumberFormat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4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</cellStyleXfs>
  <cellXfs count="83">
    <xf numFmtId="0" fontId="0" fillId="0" borderId="0" xfId="0">
      <alignment vertical="center"/>
    </xf>
    <xf numFmtId="0" fontId="1" fillId="0" borderId="0" xfId="0" applyFont="1" applyAlignment="1">
      <alignment vertical="center"/>
    </xf>
    <xf numFmtId="0" fontId="0" fillId="0" borderId="0" xfId="0" applyNumberFormat="1" applyAlignment="1">
      <alignment vertical="center"/>
    </xf>
    <xf numFmtId="49" fontId="2" fillId="2" borderId="0" xfId="0" applyNumberFormat="1" applyFont="1" applyFill="1" applyBorder="1" applyAlignment="1">
      <alignment horizontal="center" vertical="center" wrapText="1"/>
    </xf>
    <xf numFmtId="0" fontId="2" fillId="3" borderId="0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49" fontId="2" fillId="0" borderId="0" xfId="0" applyNumberFormat="1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4" fillId="4" borderId="0" xfId="0" applyFont="1" applyFill="1" applyAlignment="1">
      <alignment horizontal="center" vertical="center"/>
    </xf>
    <xf numFmtId="49" fontId="4" fillId="4" borderId="0" xfId="0" applyNumberFormat="1" applyFont="1" applyFill="1" applyAlignment="1">
      <alignment horizontal="center" vertical="center" wrapText="1"/>
    </xf>
    <xf numFmtId="0" fontId="4" fillId="4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2" fillId="2" borderId="0" xfId="0" applyFont="1" applyFill="1" applyBorder="1" applyAlignment="1">
      <alignment horizontal="left" vertical="center" wrapText="1"/>
    </xf>
    <xf numFmtId="49" fontId="3" fillId="2" borderId="0" xfId="0" applyNumberFormat="1" applyFont="1" applyFill="1" applyAlignment="1">
      <alignment horizontal="center" vertical="center" wrapText="1"/>
    </xf>
    <xf numFmtId="49" fontId="3" fillId="0" borderId="0" xfId="0" applyNumberFormat="1" applyFont="1" applyAlignment="1">
      <alignment horizontal="center" vertical="center" wrapText="1"/>
    </xf>
    <xf numFmtId="49" fontId="2" fillId="3" borderId="0" xfId="0" applyNumberFormat="1" applyFont="1" applyFill="1" applyBorder="1" applyAlignment="1">
      <alignment horizontal="center" vertical="center" wrapText="1"/>
    </xf>
    <xf numFmtId="49" fontId="2" fillId="2" borderId="0" xfId="0" applyNumberFormat="1" applyFont="1" applyFill="1" applyBorder="1" applyAlignment="1">
      <alignment horizontal="left" vertical="center" wrapText="1"/>
    </xf>
    <xf numFmtId="49" fontId="2" fillId="2" borderId="0" xfId="0" applyNumberFormat="1" applyFont="1" applyFill="1" applyBorder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49" fontId="6" fillId="0" borderId="1" xfId="0" applyNumberFormat="1" applyFont="1" applyBorder="1" applyAlignment="1">
      <alignment horizontal="center" vertical="center"/>
    </xf>
    <xf numFmtId="49" fontId="4" fillId="0" borderId="0" xfId="0" applyNumberFormat="1" applyFont="1" applyFill="1" applyAlignment="1">
      <alignment horizontal="center" vertical="center"/>
    </xf>
    <xf numFmtId="49" fontId="4" fillId="0" borderId="0" xfId="0" applyNumberFormat="1" applyFont="1" applyFill="1" applyAlignment="1">
      <alignment horizontal="center" vertical="center" wrapText="1"/>
    </xf>
    <xf numFmtId="49" fontId="3" fillId="0" borderId="0" xfId="0" applyNumberFormat="1" applyFont="1" applyFill="1" applyAlignment="1">
      <alignment horizontal="center" vertical="center" wrapText="1"/>
    </xf>
    <xf numFmtId="49" fontId="6" fillId="0" borderId="0" xfId="0" applyNumberFormat="1" applyFont="1" applyAlignment="1">
      <alignment horizontal="center" vertical="center"/>
    </xf>
    <xf numFmtId="49" fontId="7" fillId="0" borderId="0" xfId="0" applyNumberFormat="1" applyFont="1" applyAlignment="1">
      <alignment horizontal="center" vertical="center" wrapText="1"/>
    </xf>
    <xf numFmtId="49" fontId="4" fillId="0" borderId="0" xfId="0" applyNumberFormat="1" applyFont="1" applyFill="1" applyBorder="1" applyAlignment="1">
      <alignment horizontal="center" vertical="center"/>
    </xf>
    <xf numFmtId="0" fontId="7" fillId="0" borderId="0" xfId="0" applyFont="1" applyBorder="1" applyAlignment="1">
      <alignment horizontal="center" vertical="center" wrapText="1"/>
    </xf>
    <xf numFmtId="49" fontId="4" fillId="0" borderId="0" xfId="0" applyNumberFormat="1" applyFont="1" applyFill="1" applyBorder="1" applyAlignment="1">
      <alignment horizontal="center" vertical="center" wrapText="1"/>
    </xf>
    <xf numFmtId="49" fontId="0" fillId="0" borderId="0" xfId="0" applyNumberFormat="1" applyFill="1" applyAlignment="1">
      <alignment horizontal="center" vertical="center"/>
    </xf>
    <xf numFmtId="49" fontId="5" fillId="5" borderId="2" xfId="0" applyNumberFormat="1" applyFont="1" applyFill="1" applyBorder="1" applyAlignment="1">
      <alignment horizontal="center" vertical="center" wrapText="1"/>
    </xf>
    <xf numFmtId="49" fontId="0" fillId="2" borderId="0" xfId="0" applyNumberFormat="1" applyFill="1" applyBorder="1" applyAlignment="1">
      <alignment horizontal="center" vertical="center"/>
    </xf>
    <xf numFmtId="49" fontId="8" fillId="0" borderId="1" xfId="0" applyNumberFormat="1" applyFont="1" applyBorder="1" applyAlignment="1">
      <alignment horizontal="center" vertical="center" wrapText="1"/>
    </xf>
    <xf numFmtId="49" fontId="8" fillId="0" borderId="2" xfId="0" applyNumberFormat="1" applyFont="1" applyBorder="1" applyAlignment="1">
      <alignment horizontal="center" vertical="center" wrapText="1"/>
    </xf>
    <xf numFmtId="49" fontId="6" fillId="0" borderId="1" xfId="0" applyNumberFormat="1" applyFont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/>
    </xf>
    <xf numFmtId="49" fontId="1" fillId="0" borderId="0" xfId="0" applyNumberFormat="1" applyFont="1" applyBorder="1" applyAlignment="1">
      <alignment horizontal="center" vertical="center"/>
    </xf>
    <xf numFmtId="49" fontId="0" fillId="0" borderId="0" xfId="0" applyNumberFormat="1" applyBorder="1" applyAlignment="1">
      <alignment horizontal="center" vertical="center"/>
    </xf>
    <xf numFmtId="49" fontId="3" fillId="2" borderId="0" xfId="0" applyNumberFormat="1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49" fontId="3" fillId="0" borderId="0" xfId="0" applyNumberFormat="1" applyFont="1" applyBorder="1" applyAlignment="1">
      <alignment horizontal="center" vertical="center" wrapText="1"/>
    </xf>
    <xf numFmtId="0" fontId="3" fillId="0" borderId="0" xfId="0" applyFont="1" applyBorder="1" applyAlignment="1">
      <alignment horizontal="center" vertical="center" wrapText="1"/>
    </xf>
    <xf numFmtId="0" fontId="6" fillId="0" borderId="0" xfId="0" applyFont="1" applyBorder="1" applyAlignment="1">
      <alignment horizontal="center" vertical="center"/>
    </xf>
    <xf numFmtId="49" fontId="3" fillId="0" borderId="0" xfId="0" applyNumberFormat="1" applyFont="1" applyFill="1" applyBorder="1" applyAlignment="1">
      <alignment horizontal="center" vertical="center" wrapText="1"/>
    </xf>
    <xf numFmtId="0" fontId="0" fillId="0" borderId="0" xfId="0" applyNumberFormat="1" applyBorder="1" applyAlignment="1">
      <alignment horizontal="center" vertical="center"/>
    </xf>
    <xf numFmtId="0" fontId="9" fillId="0" borderId="0" xfId="0" applyFont="1" applyBorder="1" applyAlignment="1">
      <alignment horizontal="center" vertical="center"/>
    </xf>
    <xf numFmtId="49" fontId="6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/>
    </xf>
    <xf numFmtId="49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6" borderId="0" xfId="0" applyFill="1" applyBorder="1" applyAlignment="1">
      <alignment horizontal="center" vertical="center"/>
    </xf>
    <xf numFmtId="0" fontId="6" fillId="6" borderId="0" xfId="0" applyFont="1" applyFill="1" applyBorder="1" applyAlignment="1">
      <alignment horizontal="center" vertical="center"/>
    </xf>
    <xf numFmtId="0" fontId="4" fillId="6" borderId="0" xfId="0" applyFont="1" applyFill="1" applyBorder="1" applyAlignment="1">
      <alignment horizontal="center" vertical="center"/>
    </xf>
    <xf numFmtId="49" fontId="0" fillId="6" borderId="0" xfId="0" applyNumberFormat="1" applyFill="1" applyBorder="1" applyAlignment="1">
      <alignment horizontal="center" vertical="center"/>
    </xf>
    <xf numFmtId="0" fontId="0" fillId="0" borderId="0" xfId="0" applyBorder="1">
      <alignment vertical="center"/>
    </xf>
    <xf numFmtId="0" fontId="1" fillId="2" borderId="0" xfId="0" applyFont="1" applyFill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49" fontId="0" fillId="0" borderId="0" xfId="0" applyNumberFormat="1" applyBorder="1">
      <alignment vertical="center"/>
    </xf>
    <xf numFmtId="0" fontId="4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 wrapText="1"/>
    </xf>
    <xf numFmtId="0" fontId="0" fillId="0" borderId="0" xfId="0" applyFill="1" applyBorder="1">
      <alignment vertical="center"/>
    </xf>
    <xf numFmtId="49" fontId="0" fillId="0" borderId="0" xfId="0" applyNumberFormat="1" applyFill="1" applyBorder="1">
      <alignment vertical="center"/>
    </xf>
    <xf numFmtId="0" fontId="10" fillId="0" borderId="0" xfId="0" applyFont="1" applyBorder="1" applyAlignment="1">
      <alignment horizontal="center" vertical="center"/>
    </xf>
    <xf numFmtId="0" fontId="6" fillId="0" borderId="0" xfId="0" applyFont="1" applyBorder="1">
      <alignment vertical="center"/>
    </xf>
    <xf numFmtId="0" fontId="0" fillId="0" borderId="0" xfId="0" applyBorder="1" applyAlignment="1">
      <alignment vertical="center" wrapText="1"/>
    </xf>
    <xf numFmtId="0" fontId="4" fillId="0" borderId="0" xfId="0" applyFont="1" applyBorder="1" applyAlignment="1">
      <alignment horizontal="center" vertical="center"/>
    </xf>
    <xf numFmtId="0" fontId="5" fillId="7" borderId="2" xfId="0" applyFont="1" applyFill="1" applyBorder="1" applyAlignment="1">
      <alignment horizontal="center" vertical="center" wrapText="1"/>
    </xf>
    <xf numFmtId="0" fontId="6" fillId="2" borderId="1" xfId="0" applyFont="1" applyFill="1" applyBorder="1">
      <alignment vertical="center"/>
    </xf>
    <xf numFmtId="0" fontId="6" fillId="2" borderId="1" xfId="0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/>
    </xf>
    <xf numFmtId="0" fontId="0" fillId="2" borderId="0" xfId="0" applyNumberForma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9" Type="http://schemas.openxmlformats.org/officeDocument/2006/relationships/image" Target="media/image99.png"/><Relationship Id="rId98" Type="http://schemas.openxmlformats.org/officeDocument/2006/relationships/image" Target="media/image98.png"/><Relationship Id="rId97" Type="http://schemas.openxmlformats.org/officeDocument/2006/relationships/image" Target="media/image97.png"/><Relationship Id="rId96" Type="http://schemas.openxmlformats.org/officeDocument/2006/relationships/image" Target="media/image96.png"/><Relationship Id="rId95" Type="http://schemas.openxmlformats.org/officeDocument/2006/relationships/image" Target="media/image95.png"/><Relationship Id="rId94" Type="http://schemas.openxmlformats.org/officeDocument/2006/relationships/image" Target="media/image94.png"/><Relationship Id="rId93" Type="http://schemas.openxmlformats.org/officeDocument/2006/relationships/image" Target="media/image93.png"/><Relationship Id="rId92" Type="http://schemas.openxmlformats.org/officeDocument/2006/relationships/image" Target="media/image92.png"/><Relationship Id="rId91" Type="http://schemas.openxmlformats.org/officeDocument/2006/relationships/image" Target="media/image91.png"/><Relationship Id="rId90" Type="http://schemas.openxmlformats.org/officeDocument/2006/relationships/image" Target="media/image90.png"/><Relationship Id="rId9" Type="http://schemas.openxmlformats.org/officeDocument/2006/relationships/image" Target="media/image9.png"/><Relationship Id="rId89" Type="http://schemas.openxmlformats.org/officeDocument/2006/relationships/image" Target="media/image89.png"/><Relationship Id="rId88" Type="http://schemas.openxmlformats.org/officeDocument/2006/relationships/image" Target="media/image88.png"/><Relationship Id="rId87" Type="http://schemas.openxmlformats.org/officeDocument/2006/relationships/image" Target="media/image87.png"/><Relationship Id="rId86" Type="http://schemas.openxmlformats.org/officeDocument/2006/relationships/image" Target="media/image86.png"/><Relationship Id="rId85" Type="http://schemas.openxmlformats.org/officeDocument/2006/relationships/image" Target="media/image85.png"/><Relationship Id="rId84" Type="http://schemas.openxmlformats.org/officeDocument/2006/relationships/image" Target="media/image84.png"/><Relationship Id="rId83" Type="http://schemas.openxmlformats.org/officeDocument/2006/relationships/image" Target="media/image83.png"/><Relationship Id="rId82" Type="http://schemas.openxmlformats.org/officeDocument/2006/relationships/image" Target="media/image82.png"/><Relationship Id="rId81" Type="http://schemas.openxmlformats.org/officeDocument/2006/relationships/image" Target="media/image81.png"/><Relationship Id="rId80" Type="http://schemas.openxmlformats.org/officeDocument/2006/relationships/image" Target="media/image80.png"/><Relationship Id="rId8" Type="http://schemas.openxmlformats.org/officeDocument/2006/relationships/image" Target="media/image8.png"/><Relationship Id="rId79" Type="http://schemas.openxmlformats.org/officeDocument/2006/relationships/image" Target="media/image79.png"/><Relationship Id="rId78" Type="http://schemas.openxmlformats.org/officeDocument/2006/relationships/image" Target="media/image78.png"/><Relationship Id="rId77" Type="http://schemas.openxmlformats.org/officeDocument/2006/relationships/image" Target="media/image77.png"/><Relationship Id="rId76" Type="http://schemas.openxmlformats.org/officeDocument/2006/relationships/image" Target="media/image76.png"/><Relationship Id="rId75" Type="http://schemas.openxmlformats.org/officeDocument/2006/relationships/image" Target="media/image75.png"/><Relationship Id="rId74" Type="http://schemas.openxmlformats.org/officeDocument/2006/relationships/image" Target="media/image74.png"/><Relationship Id="rId73" Type="http://schemas.openxmlformats.org/officeDocument/2006/relationships/image" Target="media/image73.png"/><Relationship Id="rId72" Type="http://schemas.openxmlformats.org/officeDocument/2006/relationships/image" Target="media/image72.png"/><Relationship Id="rId71" Type="http://schemas.openxmlformats.org/officeDocument/2006/relationships/image" Target="media/image71.png"/><Relationship Id="rId70" Type="http://schemas.openxmlformats.org/officeDocument/2006/relationships/image" Target="media/image70.png"/><Relationship Id="rId7" Type="http://schemas.openxmlformats.org/officeDocument/2006/relationships/image" Target="media/image7.png"/><Relationship Id="rId69" Type="http://schemas.openxmlformats.org/officeDocument/2006/relationships/image" Target="media/image69.png"/><Relationship Id="rId68" Type="http://schemas.openxmlformats.org/officeDocument/2006/relationships/image" Target="media/image68.png"/><Relationship Id="rId67" Type="http://schemas.openxmlformats.org/officeDocument/2006/relationships/image" Target="media/image67.png"/><Relationship Id="rId66" Type="http://schemas.openxmlformats.org/officeDocument/2006/relationships/image" Target="media/image66.png"/><Relationship Id="rId65" Type="http://schemas.openxmlformats.org/officeDocument/2006/relationships/image" Target="media/image65.png"/><Relationship Id="rId64" Type="http://schemas.openxmlformats.org/officeDocument/2006/relationships/image" Target="media/image64.png"/><Relationship Id="rId63" Type="http://schemas.openxmlformats.org/officeDocument/2006/relationships/image" Target="media/image63.png"/><Relationship Id="rId62" Type="http://schemas.openxmlformats.org/officeDocument/2006/relationships/image" Target="media/image62.png"/><Relationship Id="rId61" Type="http://schemas.openxmlformats.org/officeDocument/2006/relationships/image" Target="media/image61.png"/><Relationship Id="rId60" Type="http://schemas.openxmlformats.org/officeDocument/2006/relationships/image" Target="media/image60.png"/><Relationship Id="rId6" Type="http://schemas.openxmlformats.org/officeDocument/2006/relationships/image" Target="media/image6.png"/><Relationship Id="rId59" Type="http://schemas.openxmlformats.org/officeDocument/2006/relationships/image" Target="media/image59.png"/><Relationship Id="rId58" Type="http://schemas.openxmlformats.org/officeDocument/2006/relationships/image" Target="media/image58.png"/><Relationship Id="rId57" Type="http://schemas.openxmlformats.org/officeDocument/2006/relationships/image" Target="media/image57.png"/><Relationship Id="rId56" Type="http://schemas.openxmlformats.org/officeDocument/2006/relationships/image" Target="media/image56.png"/><Relationship Id="rId55" Type="http://schemas.openxmlformats.org/officeDocument/2006/relationships/image" Target="media/image55.png"/><Relationship Id="rId54" Type="http://schemas.openxmlformats.org/officeDocument/2006/relationships/image" Target="media/image54.png"/><Relationship Id="rId53" Type="http://schemas.openxmlformats.org/officeDocument/2006/relationships/image" Target="media/image53.png"/><Relationship Id="rId52" Type="http://schemas.openxmlformats.org/officeDocument/2006/relationships/image" Target="media/image52.png"/><Relationship Id="rId51" Type="http://schemas.openxmlformats.org/officeDocument/2006/relationships/image" Target="media/image51.png"/><Relationship Id="rId50" Type="http://schemas.openxmlformats.org/officeDocument/2006/relationships/image" Target="media/image50.png"/><Relationship Id="rId5" Type="http://schemas.openxmlformats.org/officeDocument/2006/relationships/image" Target="media/image5.png"/><Relationship Id="rId49" Type="http://schemas.openxmlformats.org/officeDocument/2006/relationships/image" Target="media/image49.png"/><Relationship Id="rId48" Type="http://schemas.openxmlformats.org/officeDocument/2006/relationships/image" Target="media/image48.png"/><Relationship Id="rId47" Type="http://schemas.openxmlformats.org/officeDocument/2006/relationships/image" Target="media/image47.png"/><Relationship Id="rId46" Type="http://schemas.openxmlformats.org/officeDocument/2006/relationships/image" Target="media/image46.png"/><Relationship Id="rId45" Type="http://schemas.openxmlformats.org/officeDocument/2006/relationships/image" Target="media/image45.png"/><Relationship Id="rId44" Type="http://schemas.openxmlformats.org/officeDocument/2006/relationships/image" Target="media/image44.png"/><Relationship Id="rId43" Type="http://schemas.openxmlformats.org/officeDocument/2006/relationships/image" Target="media/image43.png"/><Relationship Id="rId42" Type="http://schemas.openxmlformats.org/officeDocument/2006/relationships/image" Target="media/image42.png"/><Relationship Id="rId41" Type="http://schemas.openxmlformats.org/officeDocument/2006/relationships/image" Target="media/image41.png"/><Relationship Id="rId40" Type="http://schemas.openxmlformats.org/officeDocument/2006/relationships/image" Target="media/image40.png"/><Relationship Id="rId4" Type="http://schemas.openxmlformats.org/officeDocument/2006/relationships/image" Target="media/image4.png"/><Relationship Id="rId39" Type="http://schemas.openxmlformats.org/officeDocument/2006/relationships/image" Target="media/image39.png"/><Relationship Id="rId38" Type="http://schemas.openxmlformats.org/officeDocument/2006/relationships/image" Target="media/image38.png"/><Relationship Id="rId37" Type="http://schemas.openxmlformats.org/officeDocument/2006/relationships/image" Target="media/image37.png"/><Relationship Id="rId36" Type="http://schemas.openxmlformats.org/officeDocument/2006/relationships/image" Target="media/image36.png"/><Relationship Id="rId35" Type="http://schemas.openxmlformats.org/officeDocument/2006/relationships/image" Target="media/image35.png"/><Relationship Id="rId34" Type="http://schemas.openxmlformats.org/officeDocument/2006/relationships/image" Target="media/image34.png"/><Relationship Id="rId33" Type="http://schemas.openxmlformats.org/officeDocument/2006/relationships/image" Target="media/image33.png"/><Relationship Id="rId32" Type="http://schemas.openxmlformats.org/officeDocument/2006/relationships/image" Target="media/image32.png"/><Relationship Id="rId31" Type="http://schemas.openxmlformats.org/officeDocument/2006/relationships/image" Target="media/image31.png"/><Relationship Id="rId30" Type="http://schemas.openxmlformats.org/officeDocument/2006/relationships/image" Target="media/image30.png"/><Relationship Id="rId3" Type="http://schemas.openxmlformats.org/officeDocument/2006/relationships/image" Target="media/image3.png"/><Relationship Id="rId29" Type="http://schemas.openxmlformats.org/officeDocument/2006/relationships/image" Target="media/image29.png"/><Relationship Id="rId28" Type="http://schemas.openxmlformats.org/officeDocument/2006/relationships/image" Target="media/image28.png"/><Relationship Id="rId27" Type="http://schemas.openxmlformats.org/officeDocument/2006/relationships/image" Target="media/image27.png"/><Relationship Id="rId26" Type="http://schemas.openxmlformats.org/officeDocument/2006/relationships/image" Target="media/image26.png"/><Relationship Id="rId25" Type="http://schemas.openxmlformats.org/officeDocument/2006/relationships/image" Target="media/image25.png"/><Relationship Id="rId24" Type="http://schemas.openxmlformats.org/officeDocument/2006/relationships/image" Target="media/image24.png"/><Relationship Id="rId23" Type="http://schemas.openxmlformats.org/officeDocument/2006/relationships/image" Target="media/image23.png"/><Relationship Id="rId22" Type="http://schemas.openxmlformats.org/officeDocument/2006/relationships/image" Target="media/image22.png"/><Relationship Id="rId21" Type="http://schemas.openxmlformats.org/officeDocument/2006/relationships/image" Target="media/image21.png"/><Relationship Id="rId20" Type="http://schemas.openxmlformats.org/officeDocument/2006/relationships/image" Target="media/image20.png"/><Relationship Id="rId2" Type="http://schemas.openxmlformats.org/officeDocument/2006/relationships/image" Target="media/image2.png"/><Relationship Id="rId19" Type="http://schemas.openxmlformats.org/officeDocument/2006/relationships/image" Target="media/image19.png"/><Relationship Id="rId18" Type="http://schemas.openxmlformats.org/officeDocument/2006/relationships/image" Target="media/image18.png"/><Relationship Id="rId17" Type="http://schemas.openxmlformats.org/officeDocument/2006/relationships/image" Target="media/image17.png"/><Relationship Id="rId16" Type="http://schemas.openxmlformats.org/officeDocument/2006/relationships/image" Target="media/image16.png"/><Relationship Id="rId158" Type="http://schemas.openxmlformats.org/officeDocument/2006/relationships/image" Target="media/image158.png"/><Relationship Id="rId157" Type="http://schemas.openxmlformats.org/officeDocument/2006/relationships/image" Target="media/image157.png"/><Relationship Id="rId156" Type="http://schemas.openxmlformats.org/officeDocument/2006/relationships/image" Target="media/image156.png"/><Relationship Id="rId155" Type="http://schemas.openxmlformats.org/officeDocument/2006/relationships/image" Target="media/image155.png"/><Relationship Id="rId154" Type="http://schemas.openxmlformats.org/officeDocument/2006/relationships/image" Target="media/image154.png"/><Relationship Id="rId153" Type="http://schemas.openxmlformats.org/officeDocument/2006/relationships/image" Target="media/image153.png"/><Relationship Id="rId152" Type="http://schemas.openxmlformats.org/officeDocument/2006/relationships/image" Target="media/image152.png"/><Relationship Id="rId151" Type="http://schemas.openxmlformats.org/officeDocument/2006/relationships/image" Target="media/image151.png"/><Relationship Id="rId150" Type="http://schemas.openxmlformats.org/officeDocument/2006/relationships/image" Target="media/image150.png"/><Relationship Id="rId15" Type="http://schemas.openxmlformats.org/officeDocument/2006/relationships/image" Target="media/image15.png"/><Relationship Id="rId149" Type="http://schemas.openxmlformats.org/officeDocument/2006/relationships/image" Target="media/image149.png"/><Relationship Id="rId148" Type="http://schemas.openxmlformats.org/officeDocument/2006/relationships/image" Target="media/image148.png"/><Relationship Id="rId147" Type="http://schemas.openxmlformats.org/officeDocument/2006/relationships/image" Target="media/image147.png"/><Relationship Id="rId146" Type="http://schemas.openxmlformats.org/officeDocument/2006/relationships/image" Target="media/image146.png"/><Relationship Id="rId145" Type="http://schemas.openxmlformats.org/officeDocument/2006/relationships/image" Target="media/image145.png"/><Relationship Id="rId144" Type="http://schemas.openxmlformats.org/officeDocument/2006/relationships/image" Target="media/image144.png"/><Relationship Id="rId143" Type="http://schemas.openxmlformats.org/officeDocument/2006/relationships/image" Target="media/image143.png"/><Relationship Id="rId142" Type="http://schemas.openxmlformats.org/officeDocument/2006/relationships/image" Target="media/image142.png"/><Relationship Id="rId141" Type="http://schemas.openxmlformats.org/officeDocument/2006/relationships/image" Target="media/image141.png"/><Relationship Id="rId140" Type="http://schemas.openxmlformats.org/officeDocument/2006/relationships/image" Target="media/image140.png"/><Relationship Id="rId14" Type="http://schemas.openxmlformats.org/officeDocument/2006/relationships/image" Target="media/image14.png"/><Relationship Id="rId139" Type="http://schemas.openxmlformats.org/officeDocument/2006/relationships/image" Target="media/image139.png"/><Relationship Id="rId138" Type="http://schemas.openxmlformats.org/officeDocument/2006/relationships/image" Target="media/image138.png"/><Relationship Id="rId137" Type="http://schemas.openxmlformats.org/officeDocument/2006/relationships/image" Target="media/image137.png"/><Relationship Id="rId136" Type="http://schemas.openxmlformats.org/officeDocument/2006/relationships/image" Target="media/image136.png"/><Relationship Id="rId135" Type="http://schemas.openxmlformats.org/officeDocument/2006/relationships/image" Target="media/image135.png"/><Relationship Id="rId134" Type="http://schemas.openxmlformats.org/officeDocument/2006/relationships/image" Target="media/image134.png"/><Relationship Id="rId133" Type="http://schemas.openxmlformats.org/officeDocument/2006/relationships/image" Target="media/image133.png"/><Relationship Id="rId132" Type="http://schemas.openxmlformats.org/officeDocument/2006/relationships/image" Target="media/image132.png"/><Relationship Id="rId131" Type="http://schemas.openxmlformats.org/officeDocument/2006/relationships/image" Target="media/image131.png"/><Relationship Id="rId130" Type="http://schemas.openxmlformats.org/officeDocument/2006/relationships/image" Target="media/image130.png"/><Relationship Id="rId13" Type="http://schemas.openxmlformats.org/officeDocument/2006/relationships/image" Target="media/image13.png"/><Relationship Id="rId129" Type="http://schemas.openxmlformats.org/officeDocument/2006/relationships/image" Target="media/image129.png"/><Relationship Id="rId128" Type="http://schemas.openxmlformats.org/officeDocument/2006/relationships/image" Target="media/image128.png"/><Relationship Id="rId127" Type="http://schemas.openxmlformats.org/officeDocument/2006/relationships/image" Target="media/image127.png"/><Relationship Id="rId126" Type="http://schemas.openxmlformats.org/officeDocument/2006/relationships/image" Target="media/image126.png"/><Relationship Id="rId125" Type="http://schemas.openxmlformats.org/officeDocument/2006/relationships/image" Target="media/image125.png"/><Relationship Id="rId124" Type="http://schemas.openxmlformats.org/officeDocument/2006/relationships/image" Target="media/image124.png"/><Relationship Id="rId123" Type="http://schemas.openxmlformats.org/officeDocument/2006/relationships/image" Target="media/image123.png"/><Relationship Id="rId122" Type="http://schemas.openxmlformats.org/officeDocument/2006/relationships/image" Target="media/image122.png"/><Relationship Id="rId121" Type="http://schemas.openxmlformats.org/officeDocument/2006/relationships/image" Target="media/image121.png"/><Relationship Id="rId120" Type="http://schemas.openxmlformats.org/officeDocument/2006/relationships/image" Target="media/image120.png"/><Relationship Id="rId12" Type="http://schemas.openxmlformats.org/officeDocument/2006/relationships/image" Target="media/image12.png"/><Relationship Id="rId119" Type="http://schemas.openxmlformats.org/officeDocument/2006/relationships/image" Target="media/image119.png"/><Relationship Id="rId118" Type="http://schemas.openxmlformats.org/officeDocument/2006/relationships/image" Target="media/image118.png"/><Relationship Id="rId117" Type="http://schemas.openxmlformats.org/officeDocument/2006/relationships/image" Target="media/image117.png"/><Relationship Id="rId116" Type="http://schemas.openxmlformats.org/officeDocument/2006/relationships/image" Target="media/image116.png"/><Relationship Id="rId115" Type="http://schemas.openxmlformats.org/officeDocument/2006/relationships/image" Target="media/image115.png"/><Relationship Id="rId114" Type="http://schemas.openxmlformats.org/officeDocument/2006/relationships/image" Target="media/image114.png"/><Relationship Id="rId113" Type="http://schemas.openxmlformats.org/officeDocument/2006/relationships/image" Target="media/image113.png"/><Relationship Id="rId112" Type="http://schemas.openxmlformats.org/officeDocument/2006/relationships/image" Target="media/image112.png"/><Relationship Id="rId111" Type="http://schemas.openxmlformats.org/officeDocument/2006/relationships/image" Target="media/image111.png"/><Relationship Id="rId110" Type="http://schemas.openxmlformats.org/officeDocument/2006/relationships/image" Target="media/image110.png"/><Relationship Id="rId11" Type="http://schemas.openxmlformats.org/officeDocument/2006/relationships/image" Target="media/image11.png"/><Relationship Id="rId109" Type="http://schemas.openxmlformats.org/officeDocument/2006/relationships/image" Target="media/image109.png"/><Relationship Id="rId108" Type="http://schemas.openxmlformats.org/officeDocument/2006/relationships/image" Target="media/image108.png"/><Relationship Id="rId107" Type="http://schemas.openxmlformats.org/officeDocument/2006/relationships/image" Target="media/image107.png"/><Relationship Id="rId106" Type="http://schemas.openxmlformats.org/officeDocument/2006/relationships/image" Target="media/image106.png"/><Relationship Id="rId105" Type="http://schemas.openxmlformats.org/officeDocument/2006/relationships/image" Target="media/image105.png"/><Relationship Id="rId104" Type="http://schemas.openxmlformats.org/officeDocument/2006/relationships/image" Target="media/image104.png"/><Relationship Id="rId103" Type="http://schemas.openxmlformats.org/officeDocument/2006/relationships/image" Target="media/image103.png"/><Relationship Id="rId102" Type="http://schemas.openxmlformats.org/officeDocument/2006/relationships/image" Target="media/image102.png"/><Relationship Id="rId101" Type="http://schemas.openxmlformats.org/officeDocument/2006/relationships/image" Target="media/image101.png"/><Relationship Id="rId100" Type="http://schemas.openxmlformats.org/officeDocument/2006/relationships/image" Target="media/image100.png"/><Relationship Id="rId10" Type="http://schemas.openxmlformats.org/officeDocument/2006/relationships/image" Target="media/image10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connections" Target="connections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www.wps.cn/officeDocument/2020/cellImage" Target="cellimag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queryTables/queryTable1.xml><?xml version="1.0" encoding="utf-8"?>
<queryTable xmlns="http://schemas.openxmlformats.org/spreadsheetml/2006/main" name="连接" growShrinkType="overwriteClear" refreshOnLoad="1" connectionId="1" autoFormatId="16" applyNumberFormats="0" applyBorderFormats="0" applyFontFormats="1" applyPatternFormats="1" applyAlignmentFormats="0" applyWidthHeightFormats="0">
  <queryTableRefresh preserveSortFilterLayout="0" nextId="6">
    <queryTableFields count="5">
      <queryTableField id="1" name="数据类型编号"/>
      <queryTableField id="2" name="数据类型名称"/>
      <queryTableField id="3" name="默认值"/>
      <queryTableField id="4" name="数据类型描述"/>
      <queryTableField id="5" name="数据类型示例"/>
    </queryTableFields>
  </queryTableRefresh>
</query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O62"/>
  <sheetViews>
    <sheetView workbookViewId="0">
      <pane ySplit="3" topLeftCell="A4" activePane="bottomLeft" state="frozen"/>
      <selection/>
      <selection pane="bottomLeft" activeCell="G12" sqref="G12"/>
    </sheetView>
  </sheetViews>
  <sheetFormatPr defaultColWidth="9" defaultRowHeight="13.5"/>
  <cols>
    <col min="1" max="1" width="43.375" style="44" customWidth="1"/>
    <col min="2" max="3" width="20.5" style="44" customWidth="1"/>
    <col min="4" max="4" width="20.5416666666667" style="44" customWidth="1"/>
    <col min="5" max="5" width="19.0083333333333" style="44" customWidth="1"/>
    <col min="6" max="6" width="11.75" style="44" customWidth="1"/>
    <col min="7" max="7" width="22" style="44" customWidth="1"/>
    <col min="8" max="8" width="13.75" style="44" customWidth="1"/>
    <col min="9" max="9" width="13" style="44" customWidth="1"/>
    <col min="10" max="10" width="22.0083333333333" style="44" customWidth="1"/>
    <col min="11" max="11" width="12.375" style="44" customWidth="1"/>
    <col min="12" max="12" width="24.5583333333333" style="44" customWidth="1"/>
    <col min="13" max="13" width="17.2833333333333" style="44" customWidth="1"/>
    <col min="14" max="14" width="14.5" style="44" customWidth="1"/>
    <col min="15" max="15" width="20.2083333333333" style="44" customWidth="1"/>
    <col min="16" max="16384" width="9" style="44"/>
  </cols>
  <sheetData>
    <row r="1" s="42" customFormat="1" ht="123" customHeight="1" spans="1:14">
      <c r="A1" s="3" t="s">
        <v>0</v>
      </c>
      <c r="B1" s="21" t="s">
        <v>1</v>
      </c>
      <c r="C1" s="3" t="s">
        <v>2</v>
      </c>
      <c r="D1" s="23" t="s">
        <v>3</v>
      </c>
      <c r="E1" s="3" t="s">
        <v>4</v>
      </c>
      <c r="F1" s="45" t="s">
        <v>5</v>
      </c>
      <c r="G1" s="45" t="s">
        <v>6</v>
      </c>
      <c r="H1" s="45" t="s">
        <v>7</v>
      </c>
      <c r="I1" s="45" t="s">
        <v>8</v>
      </c>
      <c r="J1" s="45" t="s">
        <v>9</v>
      </c>
      <c r="K1" s="45" t="s">
        <v>10</v>
      </c>
      <c r="L1" s="45" t="s">
        <v>11</v>
      </c>
      <c r="M1" s="45" t="s">
        <v>12</v>
      </c>
      <c r="N1" s="45" t="s">
        <v>13</v>
      </c>
    </row>
    <row r="2" s="43" customFormat="1" ht="14.25" spans="1:14">
      <c r="A2" s="8" t="s">
        <v>14</v>
      </c>
      <c r="B2" s="8">
        <v>1</v>
      </c>
      <c r="C2" s="8">
        <v>1</v>
      </c>
      <c r="D2" s="8">
        <v>0</v>
      </c>
      <c r="E2" s="8">
        <v>2</v>
      </c>
      <c r="F2" s="47">
        <v>2</v>
      </c>
      <c r="G2" s="47">
        <v>2</v>
      </c>
      <c r="H2" s="47">
        <v>2</v>
      </c>
      <c r="I2" s="47">
        <v>2</v>
      </c>
      <c r="J2" s="47">
        <v>2</v>
      </c>
      <c r="K2" s="47">
        <v>2</v>
      </c>
      <c r="L2" s="47">
        <v>2</v>
      </c>
      <c r="M2" s="47">
        <v>2</v>
      </c>
      <c r="N2" s="47">
        <v>3</v>
      </c>
    </row>
    <row r="3" s="43" customFormat="1" ht="14.25" spans="1:14">
      <c r="A3" s="8" t="s">
        <v>15</v>
      </c>
      <c r="B3" s="8" t="s">
        <v>16</v>
      </c>
      <c r="C3" s="8" t="s">
        <v>17</v>
      </c>
      <c r="D3" s="8" t="s">
        <v>18</v>
      </c>
      <c r="E3" s="8" t="s">
        <v>19</v>
      </c>
      <c r="F3" s="47" t="s">
        <v>20</v>
      </c>
      <c r="G3" s="47" t="s">
        <v>21</v>
      </c>
      <c r="H3" s="47" t="s">
        <v>22</v>
      </c>
      <c r="I3" s="47" t="s">
        <v>23</v>
      </c>
      <c r="J3" s="47" t="s">
        <v>24</v>
      </c>
      <c r="K3" s="47" t="s">
        <v>25</v>
      </c>
      <c r="L3" s="47" t="s">
        <v>26</v>
      </c>
      <c r="M3" s="47" t="s">
        <v>27</v>
      </c>
      <c r="N3" s="47" t="s">
        <v>28</v>
      </c>
    </row>
    <row r="4" s="44" customFormat="1" spans="1:14">
      <c r="A4" s="44" t="s">
        <v>29</v>
      </c>
      <c r="B4" s="44" t="s">
        <v>30</v>
      </c>
      <c r="C4" s="44" t="s">
        <v>30</v>
      </c>
      <c r="D4" s="44" t="s">
        <v>31</v>
      </c>
      <c r="E4" s="44" t="s">
        <v>32</v>
      </c>
      <c r="F4" s="44" t="s">
        <v>32</v>
      </c>
      <c r="G4" s="44" t="s">
        <v>30</v>
      </c>
      <c r="H4" s="44" t="s">
        <v>32</v>
      </c>
      <c r="I4" s="44" t="s">
        <v>33</v>
      </c>
      <c r="J4" s="44" t="s">
        <v>34</v>
      </c>
      <c r="K4" s="44" t="s">
        <v>30</v>
      </c>
      <c r="L4" s="44" t="s">
        <v>35</v>
      </c>
      <c r="M4" s="44" t="s">
        <v>36</v>
      </c>
      <c r="N4" s="44" t="s">
        <v>36</v>
      </c>
    </row>
    <row r="5" s="44" customFormat="1" ht="37.55" spans="1:14">
      <c r="A5" s="44">
        <v>1</v>
      </c>
      <c r="B5" s="44">
        <v>1001</v>
      </c>
      <c r="C5" s="44">
        <v>1</v>
      </c>
      <c r="D5" s="44" t="s">
        <v>37</v>
      </c>
      <c r="E5" s="56" t="s">
        <v>38</v>
      </c>
      <c r="F5" s="44" t="s">
        <v>39</v>
      </c>
      <c r="G5" s="44">
        <v>4</v>
      </c>
      <c r="H5" s="44" t="s">
        <v>40</v>
      </c>
      <c r="K5" s="44">
        <v>5</v>
      </c>
      <c r="L5" s="44" t="str">
        <f t="shared" ref="L5:L8" si="0">_xlfn.DISPIMG("ID_DE7940C7BC2D4D46915E35BA3143081A",1)</f>
        <v>=DISPIMG("ID_DE7940C7BC2D4D46915E35BA3143081A",1)</v>
      </c>
    </row>
    <row r="6" s="44" customFormat="1" ht="37.55" spans="1:14">
      <c r="A6" s="44">
        <v>1</v>
      </c>
      <c r="B6" s="44">
        <v>1001</v>
      </c>
      <c r="C6" s="44">
        <v>2</v>
      </c>
      <c r="D6" s="44" t="s">
        <v>41</v>
      </c>
      <c r="E6" s="56" t="s">
        <v>38</v>
      </c>
      <c r="F6" s="44" t="s">
        <v>39</v>
      </c>
      <c r="G6" s="44">
        <v>4</v>
      </c>
      <c r="H6" s="44" t="s">
        <v>40</v>
      </c>
      <c r="K6" s="44">
        <v>5</v>
      </c>
      <c r="L6" s="44" t="str">
        <f t="shared" si="0"/>
        <v>=DISPIMG("ID_DE7940C7BC2D4D46915E35BA3143081A",1)</v>
      </c>
    </row>
    <row r="7" s="44" customFormat="1" ht="37.55" spans="1:14">
      <c r="A7" s="44">
        <v>1</v>
      </c>
      <c r="B7" s="44">
        <v>1003</v>
      </c>
      <c r="C7" s="44">
        <v>1</v>
      </c>
      <c r="D7" s="44" t="s">
        <v>37</v>
      </c>
      <c r="E7" s="56" t="s">
        <v>38</v>
      </c>
      <c r="F7" s="44" t="s">
        <v>39</v>
      </c>
      <c r="G7" s="44">
        <v>4</v>
      </c>
      <c r="H7" s="44" t="s">
        <v>40</v>
      </c>
      <c r="K7" s="44">
        <v>5</v>
      </c>
      <c r="L7" s="44" t="str">
        <f t="shared" si="0"/>
        <v>=DISPIMG("ID_DE7940C7BC2D4D46915E35BA3143081A",1)</v>
      </c>
    </row>
    <row r="8" s="44" customFormat="1" ht="37.55" spans="1:14">
      <c r="A8" s="44">
        <v>1</v>
      </c>
      <c r="B8" s="44">
        <v>1003</v>
      </c>
      <c r="C8" s="44">
        <v>2</v>
      </c>
      <c r="D8" s="44" t="s">
        <v>37</v>
      </c>
      <c r="E8" s="56" t="s">
        <v>38</v>
      </c>
      <c r="F8" s="44" t="s">
        <v>39</v>
      </c>
      <c r="G8" s="44">
        <v>4</v>
      </c>
      <c r="H8" s="44" t="s">
        <v>40</v>
      </c>
      <c r="K8" s="44">
        <v>5</v>
      </c>
      <c r="L8" s="44" t="str">
        <f t="shared" si="0"/>
        <v>=DISPIMG("ID_DE7940C7BC2D4D46915E35BA3143081A",1)</v>
      </c>
    </row>
    <row r="9" s="44" customFormat="1" ht="38.55" spans="1:14">
      <c r="A9" s="44">
        <v>1</v>
      </c>
      <c r="B9" s="44">
        <v>1002</v>
      </c>
      <c r="C9" s="44">
        <v>1</v>
      </c>
      <c r="D9" s="44" t="s">
        <v>37</v>
      </c>
      <c r="E9" s="56" t="s">
        <v>38</v>
      </c>
      <c r="F9" s="44" t="s">
        <v>42</v>
      </c>
      <c r="G9" s="44">
        <v>4</v>
      </c>
      <c r="H9" s="44" t="s">
        <v>40</v>
      </c>
      <c r="K9" s="44">
        <v>5</v>
      </c>
      <c r="L9" s="44" t="str">
        <f>_xlfn.DISPIMG("ID_B967F5BF18684EFFA6C6E0F02372A10A",1)</f>
        <v>=DISPIMG("ID_B967F5BF18684EFFA6C6E0F02372A10A",1)</v>
      </c>
    </row>
    <row r="10" s="44" customFormat="1" ht="38.55" spans="1:14">
      <c r="A10" s="44">
        <v>1</v>
      </c>
      <c r="B10" s="44">
        <v>1002</v>
      </c>
      <c r="C10" s="44">
        <v>2</v>
      </c>
      <c r="D10" s="44" t="s">
        <v>37</v>
      </c>
      <c r="E10" s="56" t="s">
        <v>38</v>
      </c>
      <c r="F10" s="44" t="s">
        <v>42</v>
      </c>
      <c r="G10" s="44">
        <v>4</v>
      </c>
      <c r="H10" s="44" t="s">
        <v>40</v>
      </c>
      <c r="K10" s="44">
        <v>5</v>
      </c>
      <c r="L10" s="44" t="str">
        <f>_xlfn.DISPIMG("ID_B967F5BF18684EFFA6C6E0F02372A10A",1)</f>
        <v>=DISPIMG("ID_B967F5BF18684EFFA6C6E0F02372A10A",1)</v>
      </c>
    </row>
    <row r="11" s="44" customFormat="1" ht="14.25" spans="1:14">
      <c r="A11" s="44">
        <v>0</v>
      </c>
      <c r="B11" s="44" t="s">
        <v>43</v>
      </c>
      <c r="E11" s="56" t="s">
        <v>38</v>
      </c>
      <c r="K11" s="44">
        <v>5</v>
      </c>
    </row>
    <row r="12" s="44" customFormat="1" ht="17.25" spans="1:14">
      <c r="A12" s="44">
        <v>1</v>
      </c>
      <c r="B12" s="44">
        <v>7001</v>
      </c>
      <c r="C12" s="44">
        <v>1</v>
      </c>
      <c r="D12" s="44" t="s">
        <v>37</v>
      </c>
      <c r="E12" s="56" t="s">
        <v>38</v>
      </c>
      <c r="F12" s="44" t="s">
        <v>44</v>
      </c>
      <c r="G12" s="44">
        <v>1</v>
      </c>
      <c r="H12" s="44" t="s">
        <v>45</v>
      </c>
      <c r="K12" s="44">
        <v>10</v>
      </c>
      <c r="L12" s="44" t="str">
        <f>_xlfn.DISPIMG("ID_94A20FBD29F04F919BDAD705B5DDAFD9",1)</f>
        <v>=DISPIMG("ID_94A20FBD29F04F919BDAD705B5DDAFD9",1)</v>
      </c>
    </row>
    <row r="13" s="44" customFormat="1" ht="17.25" spans="1:14">
      <c r="A13" s="44">
        <v>1</v>
      </c>
      <c r="B13" s="44">
        <v>7001</v>
      </c>
      <c r="C13" s="44">
        <v>2</v>
      </c>
      <c r="D13" s="44" t="s">
        <v>37</v>
      </c>
      <c r="E13" s="56" t="s">
        <v>38</v>
      </c>
      <c r="F13" s="44" t="s">
        <v>44</v>
      </c>
      <c r="G13" s="44">
        <v>8</v>
      </c>
      <c r="H13" s="44" t="s">
        <v>46</v>
      </c>
      <c r="K13" s="44">
        <v>10</v>
      </c>
      <c r="L13" s="44" t="str">
        <f>_xlfn.DISPIMG("ID_12BB2E94123C4C889F55194AEAB0BE41",1)</f>
        <v>=DISPIMG("ID_12BB2E94123C4C889F55194AEAB0BE41",1)</v>
      </c>
    </row>
    <row r="14" s="44" customFormat="1" ht="17.25" spans="1:14">
      <c r="A14" s="44">
        <v>1</v>
      </c>
      <c r="B14" s="44">
        <v>7002</v>
      </c>
      <c r="C14" s="44">
        <v>1</v>
      </c>
      <c r="D14" s="44" t="s">
        <v>37</v>
      </c>
      <c r="E14" s="56" t="s">
        <v>38</v>
      </c>
      <c r="F14" s="44" t="s">
        <v>44</v>
      </c>
      <c r="G14" s="44">
        <v>1</v>
      </c>
      <c r="H14" s="44" t="s">
        <v>45</v>
      </c>
      <c r="K14" s="44">
        <v>10</v>
      </c>
      <c r="L14" s="44" t="str">
        <f>_xlfn.DISPIMG("ID_94A20FBD29F04F919BDAD705B5DDAFD9",1)</f>
        <v>=DISPIMG("ID_94A20FBD29F04F919BDAD705B5DDAFD9",1)</v>
      </c>
    </row>
    <row r="15" s="44" customFormat="1" ht="17.25" spans="1:14">
      <c r="A15" s="44">
        <v>1</v>
      </c>
      <c r="B15" s="44">
        <v>7002</v>
      </c>
      <c r="C15" s="44">
        <v>2</v>
      </c>
      <c r="D15" s="44" t="s">
        <v>37</v>
      </c>
      <c r="E15" s="56" t="s">
        <v>38</v>
      </c>
      <c r="F15" s="44" t="s">
        <v>44</v>
      </c>
      <c r="G15" s="44">
        <v>8</v>
      </c>
      <c r="H15" s="44" t="s">
        <v>46</v>
      </c>
      <c r="K15" s="44">
        <v>10</v>
      </c>
      <c r="L15" s="44" t="str">
        <f>_xlfn.DISPIMG("ID_12BB2E94123C4C889F55194AEAB0BE41",1)</f>
        <v>=DISPIMG("ID_12BB2E94123C4C889F55194AEAB0BE41",1)</v>
      </c>
    </row>
    <row r="16" s="44" customFormat="1" ht="17.25" spans="1:14">
      <c r="A16" s="44">
        <v>1</v>
      </c>
      <c r="B16" s="44">
        <v>8001</v>
      </c>
      <c r="C16" s="44">
        <v>1</v>
      </c>
      <c r="D16" s="44" t="s">
        <v>37</v>
      </c>
      <c r="E16" s="56" t="s">
        <v>38</v>
      </c>
      <c r="F16" s="44" t="s">
        <v>44</v>
      </c>
      <c r="G16" s="44">
        <v>1</v>
      </c>
      <c r="H16" s="44" t="s">
        <v>45</v>
      </c>
      <c r="K16" s="44">
        <v>10</v>
      </c>
      <c r="L16" s="44" t="str">
        <f>_xlfn.DISPIMG("ID_94A20FBD29F04F919BDAD705B5DDAFD9",1)</f>
        <v>=DISPIMG("ID_94A20FBD29F04F919BDAD705B5DDAFD9",1)</v>
      </c>
    </row>
    <row r="17" s="44" customFormat="1" ht="17.25" spans="1:12">
      <c r="A17" s="44">
        <v>1</v>
      </c>
      <c r="B17" s="44">
        <v>8001</v>
      </c>
      <c r="C17" s="44">
        <v>2</v>
      </c>
      <c r="D17" s="44" t="s">
        <v>37</v>
      </c>
      <c r="E17" s="56" t="s">
        <v>38</v>
      </c>
      <c r="F17" s="44" t="s">
        <v>44</v>
      </c>
      <c r="G17" s="44">
        <v>8</v>
      </c>
      <c r="H17" s="44" t="s">
        <v>46</v>
      </c>
      <c r="K17" s="44">
        <v>10</v>
      </c>
      <c r="L17" s="44" t="str">
        <f>_xlfn.DISPIMG("ID_12BB2E94123C4C889F55194AEAB0BE41",1)</f>
        <v>=DISPIMG("ID_12BB2E94123C4C889F55194AEAB0BE41",1)</v>
      </c>
    </row>
    <row r="18" s="44" customFormat="1" ht="17.25" spans="1:12">
      <c r="A18" s="44">
        <v>1</v>
      </c>
      <c r="B18" s="44">
        <v>8002</v>
      </c>
      <c r="C18" s="44">
        <v>1</v>
      </c>
      <c r="D18" s="44" t="s">
        <v>37</v>
      </c>
      <c r="E18" s="56" t="s">
        <v>38</v>
      </c>
      <c r="F18" s="44" t="s">
        <v>44</v>
      </c>
      <c r="G18" s="44">
        <v>1</v>
      </c>
      <c r="H18" s="44" t="s">
        <v>45</v>
      </c>
      <c r="K18" s="44">
        <v>10</v>
      </c>
      <c r="L18" s="44" t="str">
        <f>_xlfn.DISPIMG("ID_94A20FBD29F04F919BDAD705B5DDAFD9",1)</f>
        <v>=DISPIMG("ID_94A20FBD29F04F919BDAD705B5DDAFD9",1)</v>
      </c>
    </row>
    <row r="19" s="44" customFormat="1" ht="17.25" spans="1:12">
      <c r="A19" s="44">
        <v>1</v>
      </c>
      <c r="B19" s="44">
        <v>8002</v>
      </c>
      <c r="C19" s="44">
        <v>2</v>
      </c>
      <c r="D19" s="44" t="s">
        <v>37</v>
      </c>
      <c r="E19" s="56" t="s">
        <v>38</v>
      </c>
      <c r="F19" s="44" t="s">
        <v>44</v>
      </c>
      <c r="G19" s="44">
        <v>8</v>
      </c>
      <c r="H19" s="44" t="s">
        <v>46</v>
      </c>
      <c r="K19" s="44">
        <v>10</v>
      </c>
      <c r="L19" s="44" t="str">
        <f>_xlfn.DISPIMG("ID_12BB2E94123C4C889F55194AEAB0BE41",1)</f>
        <v>=DISPIMG("ID_12BB2E94123C4C889F55194AEAB0BE41",1)</v>
      </c>
    </row>
    <row r="20" s="44" customFormat="1" ht="35.25" spans="1:12">
      <c r="A20" s="44">
        <v>1</v>
      </c>
      <c r="B20" s="44">
        <v>8003</v>
      </c>
      <c r="C20" s="44">
        <v>1</v>
      </c>
      <c r="D20" s="44" t="s">
        <v>47</v>
      </c>
      <c r="E20" s="56" t="s">
        <v>38</v>
      </c>
      <c r="F20" s="44" t="s">
        <v>48</v>
      </c>
      <c r="G20" s="44">
        <v>1</v>
      </c>
      <c r="H20" s="44" t="s">
        <v>40</v>
      </c>
      <c r="K20" s="44">
        <v>20</v>
      </c>
      <c r="L20" s="44" t="str">
        <f>_xlfn.DISPIMG("ID_30C6E71D5F8A4B8CBCAEC4B3A03CCB35",1)</f>
        <v>=DISPIMG("ID_30C6E71D5F8A4B8CBCAEC4B3A03CCB35",1)</v>
      </c>
    </row>
    <row r="21" s="44" customFormat="1" ht="35.25" spans="1:12">
      <c r="A21" s="44">
        <v>1</v>
      </c>
      <c r="B21" s="44">
        <v>8003</v>
      </c>
      <c r="C21" s="44">
        <v>2</v>
      </c>
      <c r="D21" s="44" t="s">
        <v>47</v>
      </c>
      <c r="E21" s="56" t="s">
        <v>38</v>
      </c>
      <c r="F21" s="44" t="s">
        <v>48</v>
      </c>
      <c r="G21" s="44">
        <v>4</v>
      </c>
      <c r="H21" s="44" t="s">
        <v>40</v>
      </c>
      <c r="K21" s="44">
        <v>20</v>
      </c>
      <c r="L21" s="44" t="str">
        <f>_xlfn.DISPIMG("ID_30C6E71D5F8A4B8CBCAEC4B3A03CCB35",1)</f>
        <v>=DISPIMG("ID_30C6E71D5F8A4B8CBCAEC4B3A03CCB35",1)</v>
      </c>
    </row>
    <row r="22" s="44" customFormat="1" ht="39.4" spans="1:12">
      <c r="A22" s="44">
        <v>1</v>
      </c>
      <c r="B22" s="44">
        <v>9001</v>
      </c>
      <c r="C22" s="44">
        <v>1</v>
      </c>
      <c r="D22" s="44" t="s">
        <v>49</v>
      </c>
      <c r="E22" s="56" t="s">
        <v>38</v>
      </c>
      <c r="F22" s="44" t="s">
        <v>50</v>
      </c>
      <c r="G22" s="44">
        <v>1</v>
      </c>
      <c r="H22" s="44" t="s">
        <v>40</v>
      </c>
      <c r="K22" s="44">
        <v>20</v>
      </c>
      <c r="L22" s="44" t="str">
        <f>_xlfn.DISPIMG("ID_C3370F0CE2EC4913AFD904E563492CCF",1)</f>
        <v>=DISPIMG("ID_C3370F0CE2EC4913AFD904E563492CCF",1)</v>
      </c>
    </row>
    <row r="23" s="44" customFormat="1" ht="39.4" spans="1:12">
      <c r="A23" s="44">
        <v>1</v>
      </c>
      <c r="B23" s="44">
        <v>9001</v>
      </c>
      <c r="C23" s="44">
        <v>2</v>
      </c>
      <c r="D23" s="44" t="s">
        <v>49</v>
      </c>
      <c r="E23" s="56" t="s">
        <v>38</v>
      </c>
      <c r="F23" s="44" t="s">
        <v>50</v>
      </c>
      <c r="G23" s="44">
        <v>4</v>
      </c>
      <c r="H23" s="44" t="s">
        <v>40</v>
      </c>
      <c r="K23" s="44">
        <v>20</v>
      </c>
      <c r="L23" s="44" t="str">
        <f>_xlfn.DISPIMG("ID_C3370F0CE2EC4913AFD904E563492CCF",1)</f>
        <v>=DISPIMG("ID_C3370F0CE2EC4913AFD904E563492CCF",1)</v>
      </c>
    </row>
    <row r="24" s="44" customFormat="1" ht="36.3" spans="1:12">
      <c r="A24" s="44">
        <v>1</v>
      </c>
      <c r="B24" s="44">
        <v>9002</v>
      </c>
      <c r="C24" s="44">
        <v>1</v>
      </c>
      <c r="D24" s="44" t="s">
        <v>51</v>
      </c>
      <c r="E24" s="56" t="s">
        <v>38</v>
      </c>
      <c r="F24" s="44" t="s">
        <v>52</v>
      </c>
      <c r="G24" s="44">
        <v>1</v>
      </c>
      <c r="H24" s="44" t="s">
        <v>40</v>
      </c>
      <c r="K24" s="44">
        <v>20</v>
      </c>
      <c r="L24" s="44" t="str">
        <f>_xlfn.DISPIMG("ID_968254E67A7E413FA6C6392FB8D12D90",1)</f>
        <v>=DISPIMG("ID_968254E67A7E413FA6C6392FB8D12D90",1)</v>
      </c>
    </row>
    <row r="25" s="44" customFormat="1" ht="36.3" spans="1:12">
      <c r="A25" s="44">
        <v>1</v>
      </c>
      <c r="B25" s="44">
        <v>9002</v>
      </c>
      <c r="C25" s="44">
        <v>2</v>
      </c>
      <c r="D25" s="44" t="s">
        <v>51</v>
      </c>
      <c r="E25" s="56" t="s">
        <v>38</v>
      </c>
      <c r="F25" s="44" t="s">
        <v>52</v>
      </c>
      <c r="G25" s="44">
        <v>4</v>
      </c>
      <c r="H25" s="44" t="s">
        <v>40</v>
      </c>
      <c r="K25" s="44">
        <v>20</v>
      </c>
      <c r="L25" s="44" t="str">
        <f>_xlfn.DISPIMG("ID_968254E67A7E413FA6C6392FB8D12D90",1)</f>
        <v>=DISPIMG("ID_968254E67A7E413FA6C6392FB8D12D90",1)</v>
      </c>
    </row>
    <row r="26" s="44" customFormat="1" ht="26.45" spans="1:12">
      <c r="A26" s="44">
        <v>1</v>
      </c>
      <c r="B26" s="44">
        <v>7006</v>
      </c>
      <c r="C26" s="44">
        <v>1</v>
      </c>
      <c r="D26" s="44" t="s">
        <v>53</v>
      </c>
      <c r="E26" s="56" t="s">
        <v>38</v>
      </c>
      <c r="F26" s="44" t="s">
        <v>54</v>
      </c>
      <c r="G26" s="44">
        <v>4</v>
      </c>
      <c r="H26" s="44" t="s">
        <v>40</v>
      </c>
      <c r="K26" s="44">
        <v>20</v>
      </c>
      <c r="L26" s="44" t="str">
        <f>_xlfn.DISPIMG("ID_A6348C79F2B4424382DC8D2BF6803C1B",1)</f>
        <v>=DISPIMG("ID_A6348C79F2B4424382DC8D2BF6803C1B",1)</v>
      </c>
    </row>
    <row r="27" s="44" customFormat="1" ht="26.45" spans="1:12">
      <c r="A27" s="44">
        <v>1</v>
      </c>
      <c r="B27" s="44">
        <v>7006</v>
      </c>
      <c r="C27" s="44">
        <v>2</v>
      </c>
      <c r="D27" s="44" t="s">
        <v>53</v>
      </c>
      <c r="E27" s="56" t="s">
        <v>38</v>
      </c>
      <c r="F27" s="44" t="s">
        <v>54</v>
      </c>
      <c r="G27" s="44">
        <v>4</v>
      </c>
      <c r="H27" s="44" t="s">
        <v>40</v>
      </c>
      <c r="K27" s="44">
        <v>20</v>
      </c>
      <c r="L27" s="44" t="str">
        <f>_xlfn.DISPIMG("ID_A6348C79F2B4424382DC8D2BF6803C1B",1)</f>
        <v>=DISPIMG("ID_A6348C79F2B4424382DC8D2BF6803C1B",1)</v>
      </c>
    </row>
    <row r="28" s="44" customFormat="1" ht="35.25" spans="1:12">
      <c r="A28" s="44">
        <v>1</v>
      </c>
      <c r="B28" s="44">
        <v>7003</v>
      </c>
      <c r="C28" s="44">
        <v>1</v>
      </c>
      <c r="D28" s="44" t="s">
        <v>55</v>
      </c>
      <c r="E28" s="56" t="s">
        <v>38</v>
      </c>
      <c r="F28" s="44" t="s">
        <v>48</v>
      </c>
      <c r="G28" s="44">
        <v>1</v>
      </c>
      <c r="H28" s="44" t="s">
        <v>40</v>
      </c>
      <c r="K28" s="44">
        <v>20</v>
      </c>
      <c r="L28" s="44" t="str">
        <f t="shared" ref="L28:L31" si="1">_xlfn.DISPIMG("ID_30C6E71D5F8A4B8CBCAEC4B3A03CCB35",1)</f>
        <v>=DISPIMG("ID_30C6E71D5F8A4B8CBCAEC4B3A03CCB35",1)</v>
      </c>
    </row>
    <row r="29" s="44" customFormat="1" ht="35.25" spans="1:12">
      <c r="A29" s="44">
        <v>1</v>
      </c>
      <c r="B29" s="44">
        <v>7003</v>
      </c>
      <c r="C29" s="44">
        <v>2</v>
      </c>
      <c r="D29" s="44" t="s">
        <v>55</v>
      </c>
      <c r="E29" s="56" t="s">
        <v>38</v>
      </c>
      <c r="F29" s="44" t="s">
        <v>48</v>
      </c>
      <c r="G29" s="44">
        <v>4</v>
      </c>
      <c r="H29" s="44" t="s">
        <v>40</v>
      </c>
      <c r="K29" s="44">
        <v>20</v>
      </c>
      <c r="L29" s="44" t="str">
        <f t="shared" si="1"/>
        <v>=DISPIMG("ID_30C6E71D5F8A4B8CBCAEC4B3A03CCB35",1)</v>
      </c>
    </row>
    <row r="30" s="44" customFormat="1" ht="35.25" spans="1:12">
      <c r="A30" s="44">
        <v>1</v>
      </c>
      <c r="B30" s="44">
        <v>7009</v>
      </c>
      <c r="C30" s="44">
        <v>1</v>
      </c>
      <c r="D30" s="44" t="s">
        <v>56</v>
      </c>
      <c r="E30" s="56" t="s">
        <v>38</v>
      </c>
      <c r="F30" s="44" t="s">
        <v>48</v>
      </c>
      <c r="G30" s="44">
        <v>1</v>
      </c>
      <c r="H30" s="44" t="s">
        <v>40</v>
      </c>
      <c r="K30" s="44">
        <v>20</v>
      </c>
      <c r="L30" s="44" t="str">
        <f t="shared" si="1"/>
        <v>=DISPIMG("ID_30C6E71D5F8A4B8CBCAEC4B3A03CCB35",1)</v>
      </c>
    </row>
    <row r="31" s="44" customFormat="1" ht="35.25" spans="1:12">
      <c r="A31" s="44">
        <v>1</v>
      </c>
      <c r="B31" s="44">
        <v>7009</v>
      </c>
      <c r="C31" s="44">
        <v>2</v>
      </c>
      <c r="D31" s="44" t="s">
        <v>56</v>
      </c>
      <c r="E31" s="56" t="s">
        <v>38</v>
      </c>
      <c r="F31" s="44" t="s">
        <v>48</v>
      </c>
      <c r="G31" s="44">
        <v>4</v>
      </c>
      <c r="H31" s="44" t="s">
        <v>40</v>
      </c>
      <c r="K31" s="44">
        <v>20</v>
      </c>
      <c r="L31" s="44" t="str">
        <f t="shared" si="1"/>
        <v>=DISPIMG("ID_30C6E71D5F8A4B8CBCAEC4B3A03CCB35",1)</v>
      </c>
    </row>
    <row r="32" s="44" customFormat="1" ht="44.25" spans="1:12">
      <c r="A32" s="44">
        <v>1</v>
      </c>
      <c r="B32" s="44">
        <v>7010</v>
      </c>
      <c r="C32" s="44">
        <v>1</v>
      </c>
      <c r="D32" s="44" t="s">
        <v>57</v>
      </c>
      <c r="E32" s="56" t="s">
        <v>38</v>
      </c>
      <c r="F32" s="44" t="s">
        <v>58</v>
      </c>
      <c r="G32" s="44">
        <v>1</v>
      </c>
      <c r="H32" s="44" t="s">
        <v>40</v>
      </c>
      <c r="K32" s="44">
        <v>20</v>
      </c>
      <c r="L32" s="44" t="str">
        <f>_xlfn.DISPIMG("ID_D8DFF925EEBC4E2C8E10FDC93251A357",1)</f>
        <v>=DISPIMG("ID_D8DFF925EEBC4E2C8E10FDC93251A357",1)</v>
      </c>
    </row>
    <row r="33" s="44" customFormat="1" ht="44.25" spans="1:15">
      <c r="A33" s="44">
        <v>1</v>
      </c>
      <c r="B33" s="44">
        <v>7010</v>
      </c>
      <c r="C33" s="44">
        <v>2</v>
      </c>
      <c r="D33" s="44" t="s">
        <v>57</v>
      </c>
      <c r="E33" s="56" t="s">
        <v>38</v>
      </c>
      <c r="F33" s="44" t="s">
        <v>58</v>
      </c>
      <c r="G33" s="44">
        <v>4</v>
      </c>
      <c r="H33" s="44" t="s">
        <v>40</v>
      </c>
      <c r="K33" s="44">
        <v>20</v>
      </c>
      <c r="L33" s="44" t="str">
        <f>_xlfn.DISPIMG("ID_D8DFF925EEBC4E2C8E10FDC93251A357",1)</f>
        <v>=DISPIMG("ID_D8DFF925EEBC4E2C8E10FDC93251A357",1)</v>
      </c>
    </row>
    <row r="34" s="44" customFormat="1" ht="45.4" spans="1:15">
      <c r="A34" s="44">
        <v>1</v>
      </c>
      <c r="B34" s="44">
        <v>8005</v>
      </c>
      <c r="C34" s="44">
        <v>1</v>
      </c>
      <c r="D34" s="44" t="s">
        <v>59</v>
      </c>
      <c r="E34" s="56" t="s">
        <v>38</v>
      </c>
      <c r="F34" s="44" t="s">
        <v>60</v>
      </c>
      <c r="G34" s="44">
        <v>1</v>
      </c>
      <c r="H34" s="44" t="s">
        <v>40</v>
      </c>
      <c r="K34" s="44">
        <v>20</v>
      </c>
      <c r="L34" s="44" t="str">
        <f>_xlfn.DISPIMG("ID_68ACDB4BE86A41398BAC6CC0CF9FE8D3",1)</f>
        <v>=DISPIMG("ID_68ACDB4BE86A41398BAC6CC0CF9FE8D3",1)</v>
      </c>
    </row>
    <row r="35" s="44" customFormat="1" ht="45.4" spans="1:15">
      <c r="A35" s="44">
        <v>1</v>
      </c>
      <c r="B35" s="44">
        <v>8005</v>
      </c>
      <c r="C35" s="44">
        <v>2</v>
      </c>
      <c r="D35" s="44" t="s">
        <v>59</v>
      </c>
      <c r="E35" s="56" t="s">
        <v>38</v>
      </c>
      <c r="F35" s="44" t="s">
        <v>60</v>
      </c>
      <c r="G35" s="44">
        <v>4</v>
      </c>
      <c r="H35" s="44" t="s">
        <v>40</v>
      </c>
      <c r="K35" s="44">
        <v>20</v>
      </c>
      <c r="L35" s="44" t="str">
        <f>_xlfn.DISPIMG("ID_68ACDB4BE86A41398BAC6CC0CF9FE8D3",1)</f>
        <v>=DISPIMG("ID_68ACDB4BE86A41398BAC6CC0CF9FE8D3",1)</v>
      </c>
    </row>
    <row r="36" s="44" customFormat="1" ht="45.4" spans="1:15">
      <c r="A36" s="44">
        <v>1</v>
      </c>
      <c r="B36" s="44">
        <v>8006</v>
      </c>
      <c r="C36" s="44">
        <v>1</v>
      </c>
      <c r="D36" s="44" t="s">
        <v>61</v>
      </c>
      <c r="E36" s="56" t="s">
        <v>38</v>
      </c>
      <c r="F36" s="44" t="s">
        <v>60</v>
      </c>
      <c r="G36" s="44">
        <v>1</v>
      </c>
      <c r="H36" s="44" t="s">
        <v>40</v>
      </c>
      <c r="K36" s="44">
        <v>20</v>
      </c>
      <c r="L36" s="44" t="str">
        <f>_xlfn.DISPIMG("ID_FB903126289E4CBF83E29EC6AD06E18A",1)</f>
        <v>=DISPIMG("ID_FB903126289E4CBF83E29EC6AD06E18A",1)</v>
      </c>
    </row>
    <row r="37" s="44" customFormat="1" ht="45.4" spans="1:15">
      <c r="A37" s="44">
        <v>1</v>
      </c>
      <c r="B37" s="44">
        <v>8006</v>
      </c>
      <c r="C37" s="44">
        <v>2</v>
      </c>
      <c r="D37" s="44" t="s">
        <v>61</v>
      </c>
      <c r="E37" s="56" t="s">
        <v>38</v>
      </c>
      <c r="F37" s="44" t="s">
        <v>60</v>
      </c>
      <c r="G37" s="44">
        <v>4</v>
      </c>
      <c r="H37" s="44" t="s">
        <v>40</v>
      </c>
      <c r="K37" s="44">
        <v>20</v>
      </c>
      <c r="L37" s="44" t="str">
        <f>_xlfn.DISPIMG("ID_FB903126289E4CBF83E29EC6AD06E18A",1)</f>
        <v>=DISPIMG("ID_FB903126289E4CBF83E29EC6AD06E18A",1)</v>
      </c>
    </row>
    <row r="38" s="44" customFormat="1" ht="14.25" spans="1:15">
      <c r="A38" s="44">
        <v>1</v>
      </c>
      <c r="B38" s="44" t="s">
        <v>62</v>
      </c>
      <c r="C38" s="44">
        <v>1</v>
      </c>
      <c r="D38" s="44" t="s">
        <v>63</v>
      </c>
      <c r="E38" s="56" t="s">
        <v>38</v>
      </c>
      <c r="F38" s="44" t="s">
        <v>64</v>
      </c>
      <c r="G38" s="44">
        <v>1</v>
      </c>
      <c r="H38" s="44" t="s">
        <v>64</v>
      </c>
      <c r="K38" s="44" t="s">
        <v>65</v>
      </c>
      <c r="L38" s="44" t="str">
        <f>_xlfn.DISPIMG("ID_FF7E28104CED49C5B8A6A806119BEA02",1)</f>
        <v>=DISPIMG("ID_FF7E28104CED49C5B8A6A806119BEA02",1)</v>
      </c>
      <c r="O38" s="44" t="s">
        <v>66</v>
      </c>
    </row>
    <row r="39" s="44" customFormat="1" ht="106.35" spans="1:15">
      <c r="A39" s="75">
        <v>1</v>
      </c>
      <c r="B39" s="75">
        <v>8007</v>
      </c>
      <c r="C39" s="75">
        <v>1</v>
      </c>
      <c r="D39" s="75" t="s">
        <v>67</v>
      </c>
      <c r="E39" s="75" t="s">
        <v>38</v>
      </c>
      <c r="F39" s="75" t="s">
        <v>68</v>
      </c>
      <c r="G39" s="75" t="s">
        <v>65</v>
      </c>
      <c r="H39" s="75" t="s">
        <v>40</v>
      </c>
      <c r="I39" s="75"/>
      <c r="J39" s="75"/>
      <c r="K39" s="75">
        <v>20</v>
      </c>
      <c r="L39" s="75" t="str">
        <f>_xlfn.DISPIMG("ID_3AAEA95A69F54B97865534A3BDE12DFB",1)</f>
        <v>=DISPIMG("ID_3AAEA95A69F54B97865534A3BDE12DFB",1)</v>
      </c>
    </row>
    <row r="40" s="44" customFormat="1" ht="106.35" spans="1:15">
      <c r="A40" s="75">
        <v>1</v>
      </c>
      <c r="B40" s="75">
        <v>8007</v>
      </c>
      <c r="C40" s="75">
        <v>2</v>
      </c>
      <c r="D40" s="75" t="s">
        <v>67</v>
      </c>
      <c r="E40" s="75" t="s">
        <v>38</v>
      </c>
      <c r="F40" s="75" t="s">
        <v>68</v>
      </c>
      <c r="G40" s="75" t="s">
        <v>69</v>
      </c>
      <c r="H40" s="75" t="s">
        <v>40</v>
      </c>
      <c r="I40" s="75"/>
      <c r="J40" s="75"/>
      <c r="K40" s="75">
        <v>20</v>
      </c>
      <c r="L40" s="75" t="str">
        <f>_xlfn.DISPIMG("ID_44A23E268BED40B5B1693FBC6A1BA9BF",1)</f>
        <v>=DISPIMG("ID_44A23E268BED40B5B1693FBC6A1BA9BF",1)</v>
      </c>
    </row>
    <row r="41" ht="118.05" spans="1:15">
      <c r="A41" s="75">
        <v>1</v>
      </c>
      <c r="B41" s="75">
        <v>8008</v>
      </c>
      <c r="C41" s="75">
        <v>1</v>
      </c>
      <c r="D41" s="75" t="s">
        <v>70</v>
      </c>
      <c r="E41" s="75" t="s">
        <v>38</v>
      </c>
      <c r="F41" s="75" t="s">
        <v>71</v>
      </c>
      <c r="G41" s="75" t="s">
        <v>65</v>
      </c>
      <c r="H41" s="75" t="s">
        <v>40</v>
      </c>
      <c r="I41" s="75"/>
      <c r="J41" s="75"/>
      <c r="K41" s="75">
        <v>20</v>
      </c>
      <c r="L41" s="75" t="str">
        <f>_xlfn.DISPIMG("ID_07E2C5F6CA38470A86A8D2EB69806F3D",1)</f>
        <v>=DISPIMG("ID_07E2C5F6CA38470A86A8D2EB69806F3D",1)</v>
      </c>
    </row>
    <row r="42" ht="118.05" spans="1:15">
      <c r="A42" s="75">
        <v>1</v>
      </c>
      <c r="B42" s="75">
        <v>8008</v>
      </c>
      <c r="C42" s="75">
        <v>2</v>
      </c>
      <c r="D42" s="75" t="s">
        <v>70</v>
      </c>
      <c r="E42" s="75" t="s">
        <v>38</v>
      </c>
      <c r="F42" s="75" t="s">
        <v>71</v>
      </c>
      <c r="G42" s="75" t="s">
        <v>69</v>
      </c>
      <c r="H42" s="75" t="s">
        <v>40</v>
      </c>
      <c r="I42" s="75"/>
      <c r="J42" s="75"/>
      <c r="K42" s="75">
        <v>20</v>
      </c>
      <c r="L42" s="75" t="str">
        <f>_xlfn.DISPIMG("ID_07E2C5F6CA38470A86A8D2EB69806F3D",1)</f>
        <v>=DISPIMG("ID_07E2C5F6CA38470A86A8D2EB69806F3D",1)</v>
      </c>
    </row>
    <row r="43" ht="133" spans="1:15">
      <c r="A43" s="75">
        <v>1</v>
      </c>
      <c r="B43" s="75">
        <v>8009</v>
      </c>
      <c r="C43" s="75">
        <v>1</v>
      </c>
      <c r="D43" s="75" t="s">
        <v>72</v>
      </c>
      <c r="E43" s="75" t="s">
        <v>38</v>
      </c>
      <c r="F43" s="75" t="s">
        <v>73</v>
      </c>
      <c r="G43" s="75" t="s">
        <v>65</v>
      </c>
      <c r="H43" s="75" t="s">
        <v>40</v>
      </c>
      <c r="I43" s="75"/>
      <c r="J43" s="75"/>
      <c r="K43" s="75">
        <v>20</v>
      </c>
      <c r="L43" s="75" t="str">
        <f>_xlfn.DISPIMG("ID_2D6012F9C8B44E328BF441D0919F0107",1)</f>
        <v>=DISPIMG("ID_2D6012F9C8B44E328BF441D0919F0107",1)</v>
      </c>
    </row>
    <row r="44" ht="133" spans="1:15">
      <c r="A44" s="75">
        <v>1</v>
      </c>
      <c r="B44" s="75">
        <v>8009</v>
      </c>
      <c r="C44" s="75">
        <v>2</v>
      </c>
      <c r="D44" s="75" t="s">
        <v>72</v>
      </c>
      <c r="E44" s="75" t="s">
        <v>38</v>
      </c>
      <c r="F44" s="75" t="s">
        <v>73</v>
      </c>
      <c r="G44" s="75" t="s">
        <v>69</v>
      </c>
      <c r="H44" s="75" t="s">
        <v>40</v>
      </c>
      <c r="I44" s="75"/>
      <c r="J44" s="75"/>
      <c r="K44" s="75">
        <v>20</v>
      </c>
      <c r="L44" s="75" t="str">
        <f>_xlfn.DISPIMG("ID_2D6012F9C8B44E328BF441D0919F0107",1)</f>
        <v>=DISPIMG("ID_2D6012F9C8B44E328BF441D0919F0107",1)</v>
      </c>
    </row>
    <row r="45" ht="55.3" spans="1:15">
      <c r="A45" s="38">
        <v>1</v>
      </c>
      <c r="B45" s="76">
        <v>13000</v>
      </c>
      <c r="C45" s="38">
        <v>1</v>
      </c>
      <c r="D45" s="77" t="s">
        <v>74</v>
      </c>
      <c r="E45" s="78" t="s">
        <v>38</v>
      </c>
      <c r="F45" s="38" t="s">
        <v>75</v>
      </c>
      <c r="G45" s="38" t="s">
        <v>69</v>
      </c>
      <c r="H45" s="38" t="s">
        <v>40</v>
      </c>
      <c r="I45" s="38"/>
      <c r="J45" s="38"/>
      <c r="K45" s="38">
        <v>20</v>
      </c>
      <c r="L45" s="79" t="str">
        <f t="shared" ref="L45:L48" si="2">_xlfn.DISPIMG("ID_100B689C7DE042889E72EC757E25B5C1",1)</f>
        <v>=DISPIMG("ID_100B689C7DE042889E72EC757E25B5C1",1)</v>
      </c>
    </row>
    <row r="46" ht="55.3" spans="1:15">
      <c r="A46" s="38">
        <v>1</v>
      </c>
      <c r="B46" s="76">
        <v>13001</v>
      </c>
      <c r="C46" s="38">
        <v>1</v>
      </c>
      <c r="D46" s="77" t="s">
        <v>76</v>
      </c>
      <c r="E46" s="78" t="s">
        <v>38</v>
      </c>
      <c r="F46" s="38" t="s">
        <v>75</v>
      </c>
      <c r="G46" s="38" t="s">
        <v>69</v>
      </c>
      <c r="H46" s="38" t="s">
        <v>40</v>
      </c>
      <c r="I46" s="38"/>
      <c r="J46" s="38"/>
      <c r="K46" s="38">
        <v>20</v>
      </c>
      <c r="L46" s="79" t="str">
        <f t="shared" si="2"/>
        <v>=DISPIMG("ID_100B689C7DE042889E72EC757E25B5C1",1)</v>
      </c>
    </row>
    <row r="47" ht="55.3" spans="1:15">
      <c r="A47" s="38">
        <v>1</v>
      </c>
      <c r="B47" s="76">
        <v>13002</v>
      </c>
      <c r="C47" s="38">
        <v>1</v>
      </c>
      <c r="D47" s="77" t="s">
        <v>77</v>
      </c>
      <c r="E47" s="78" t="s">
        <v>38</v>
      </c>
      <c r="F47" s="38" t="s">
        <v>75</v>
      </c>
      <c r="G47" s="38" t="s">
        <v>69</v>
      </c>
      <c r="H47" s="38" t="s">
        <v>40</v>
      </c>
      <c r="I47" s="38"/>
      <c r="J47" s="38"/>
      <c r="K47" s="38">
        <v>20</v>
      </c>
      <c r="L47" s="79" t="str">
        <f t="shared" si="2"/>
        <v>=DISPIMG("ID_100B689C7DE042889E72EC757E25B5C1",1)</v>
      </c>
    </row>
    <row r="48" ht="55.3" spans="1:15">
      <c r="A48" s="38">
        <v>1</v>
      </c>
      <c r="B48" s="76">
        <v>13003</v>
      </c>
      <c r="C48" s="38">
        <v>1</v>
      </c>
      <c r="D48" s="77" t="s">
        <v>78</v>
      </c>
      <c r="E48" s="78" t="s">
        <v>38</v>
      </c>
      <c r="F48" s="38" t="s">
        <v>75</v>
      </c>
      <c r="G48" s="38" t="s">
        <v>69</v>
      </c>
      <c r="H48" s="38" t="s">
        <v>40</v>
      </c>
      <c r="I48" s="38"/>
      <c r="J48" s="38"/>
      <c r="K48" s="38">
        <v>20</v>
      </c>
      <c r="L48" s="79" t="str">
        <f t="shared" si="2"/>
        <v>=DISPIMG("ID_100B689C7DE042889E72EC757E25B5C1",1)</v>
      </c>
    </row>
    <row r="49" ht="16.7" spans="1:12">
      <c r="A49" s="44">
        <v>1</v>
      </c>
      <c r="B49" s="80">
        <v>10001</v>
      </c>
      <c r="C49" s="38">
        <v>1</v>
      </c>
      <c r="D49" s="81" t="s">
        <v>79</v>
      </c>
      <c r="E49" s="78" t="s">
        <v>38</v>
      </c>
      <c r="F49" s="44" t="s">
        <v>80</v>
      </c>
      <c r="G49" s="44" t="s">
        <v>65</v>
      </c>
      <c r="H49" s="44" t="s">
        <v>64</v>
      </c>
      <c r="K49" s="44" t="s">
        <v>81</v>
      </c>
      <c r="L49" s="51" t="str">
        <f>_xlfn.DISPIMG("ID_70B248415E8A4D9D8CF3D8B9319B4DEF",1)</f>
        <v>=DISPIMG("ID_70B248415E8A4D9D8CF3D8B9319B4DEF",1)</v>
      </c>
    </row>
    <row r="50" ht="30.75" spans="1:12">
      <c r="A50" s="44">
        <v>1</v>
      </c>
      <c r="B50" s="80">
        <v>10003</v>
      </c>
      <c r="C50" s="38">
        <v>1</v>
      </c>
      <c r="D50" s="82" t="s">
        <v>82</v>
      </c>
      <c r="E50" s="78" t="s">
        <v>38</v>
      </c>
      <c r="F50" s="44" t="s">
        <v>83</v>
      </c>
      <c r="G50" s="44" t="s">
        <v>65</v>
      </c>
      <c r="H50" s="44" t="s">
        <v>64</v>
      </c>
      <c r="K50" s="44" t="s">
        <v>81</v>
      </c>
      <c r="L50" s="51" t="str">
        <f>_xlfn.DISPIMG("ID_CFD970384FFF4D458D85657325FF4835",1)</f>
        <v>=DISPIMG("ID_CFD970384FFF4D458D85657325FF4835",1)</v>
      </c>
    </row>
    <row r="51" ht="44.4" spans="1:12">
      <c r="A51" s="44">
        <v>1</v>
      </c>
      <c r="B51" s="80">
        <v>10004</v>
      </c>
      <c r="C51" s="38">
        <v>1</v>
      </c>
      <c r="D51" s="82" t="s">
        <v>84</v>
      </c>
      <c r="E51" s="78" t="s">
        <v>38</v>
      </c>
      <c r="F51" s="44" t="s">
        <v>85</v>
      </c>
      <c r="G51" s="44" t="s">
        <v>65</v>
      </c>
      <c r="H51" s="44" t="s">
        <v>64</v>
      </c>
      <c r="K51" s="44" t="s">
        <v>81</v>
      </c>
      <c r="L51" s="51" t="str">
        <f>_xlfn.DISPIMG("ID_729848AF6F6B47F19B3200189BA2DED4",1)</f>
        <v>=DISPIMG("ID_729848AF6F6B47F19B3200189BA2DED4",1)</v>
      </c>
    </row>
    <row r="52" ht="43.05" spans="1:12">
      <c r="A52" s="44">
        <v>1</v>
      </c>
      <c r="B52" s="80">
        <v>10005</v>
      </c>
      <c r="C52" s="38">
        <v>1</v>
      </c>
      <c r="D52" s="82" t="s">
        <v>86</v>
      </c>
      <c r="E52" s="78" t="s">
        <v>38</v>
      </c>
      <c r="F52" s="44" t="s">
        <v>87</v>
      </c>
      <c r="G52" s="44" t="s">
        <v>65</v>
      </c>
      <c r="H52" s="44" t="s">
        <v>64</v>
      </c>
      <c r="K52" s="44" t="s">
        <v>81</v>
      </c>
      <c r="L52" s="51" t="str">
        <f>_xlfn.DISPIMG("ID_3DAF265EE80C4DE0AD15C01FF54DC844",1)</f>
        <v>=DISPIMG("ID_3DAF265EE80C4DE0AD15C01FF54DC844",1)</v>
      </c>
    </row>
    <row r="53" ht="45.45" spans="1:12">
      <c r="A53" s="44">
        <v>1</v>
      </c>
      <c r="B53" s="80">
        <v>10006</v>
      </c>
      <c r="C53" s="38">
        <v>1</v>
      </c>
      <c r="D53" s="80" t="s">
        <v>88</v>
      </c>
      <c r="E53" s="78" t="s">
        <v>38</v>
      </c>
      <c r="F53" s="44" t="s">
        <v>89</v>
      </c>
      <c r="G53" s="44" t="s">
        <v>65</v>
      </c>
      <c r="H53" s="44" t="s">
        <v>64</v>
      </c>
      <c r="K53" s="44" t="s">
        <v>81</v>
      </c>
      <c r="L53" s="51" t="str">
        <f>_xlfn.DISPIMG("ID_F0F43FCD85ED46CAA38E5A0345C25A8B",1)</f>
        <v>=DISPIMG("ID_F0F43FCD85ED46CAA38E5A0345C25A8B",1)</v>
      </c>
    </row>
    <row r="54" ht="56.5" spans="1:12">
      <c r="A54" s="44">
        <v>1</v>
      </c>
      <c r="B54" s="80">
        <v>10007</v>
      </c>
      <c r="C54" s="38">
        <v>1</v>
      </c>
      <c r="D54" s="80" t="s">
        <v>90</v>
      </c>
      <c r="E54" s="78" t="s">
        <v>38</v>
      </c>
      <c r="F54" s="44" t="s">
        <v>91</v>
      </c>
      <c r="G54" s="44" t="s">
        <v>65</v>
      </c>
      <c r="H54" s="44" t="s">
        <v>64</v>
      </c>
      <c r="K54" s="44" t="s">
        <v>81</v>
      </c>
      <c r="L54" s="51" t="str">
        <f>_xlfn.DISPIMG("ID_709B3715FC41481D9D5869DC7AD296C9",1)</f>
        <v>=DISPIMG("ID_709B3715FC41481D9D5869DC7AD296C9",1)</v>
      </c>
    </row>
    <row r="55" ht="42.75" spans="1:12">
      <c r="A55" s="44">
        <v>1</v>
      </c>
      <c r="B55" s="80">
        <v>10008</v>
      </c>
      <c r="C55" s="38">
        <v>1</v>
      </c>
      <c r="D55" s="80" t="s">
        <v>92</v>
      </c>
      <c r="E55" s="78" t="s">
        <v>38</v>
      </c>
      <c r="F55" s="44" t="s">
        <v>93</v>
      </c>
      <c r="G55" s="38" t="s">
        <v>69</v>
      </c>
      <c r="H55" s="38" t="s">
        <v>40</v>
      </c>
      <c r="K55" s="44" t="s">
        <v>81</v>
      </c>
      <c r="L55" s="51" t="str">
        <f>_xlfn.DISPIMG("ID_D03E6783FB3944E9B105EC64703CC381",1)</f>
        <v>=DISPIMG("ID_D03E6783FB3944E9B105EC64703CC381",1)</v>
      </c>
    </row>
    <row r="56" ht="45.2" spans="1:12">
      <c r="A56" s="44">
        <v>1</v>
      </c>
      <c r="B56" s="80">
        <v>10009</v>
      </c>
      <c r="C56" s="38">
        <v>1</v>
      </c>
      <c r="D56" s="81" t="s">
        <v>94</v>
      </c>
      <c r="E56" s="78" t="s">
        <v>38</v>
      </c>
      <c r="F56" s="44" t="s">
        <v>95</v>
      </c>
      <c r="G56" s="38" t="s">
        <v>69</v>
      </c>
      <c r="H56" s="38" t="s">
        <v>40</v>
      </c>
      <c r="K56" s="44" t="s">
        <v>81</v>
      </c>
      <c r="L56" s="51" t="str">
        <f>_xlfn.DISPIMG("ID_B2B9C1B958044851A8E08D7A6D8CC4B4",1)</f>
        <v>=DISPIMG("ID_B2B9C1B958044851A8E08D7A6D8CC4B4",1)</v>
      </c>
    </row>
    <row r="57" ht="46.65" spans="1:12">
      <c r="A57" s="44">
        <v>1</v>
      </c>
      <c r="B57" s="80">
        <v>10019</v>
      </c>
      <c r="C57" s="38">
        <v>1</v>
      </c>
      <c r="D57" s="82" t="s">
        <v>96</v>
      </c>
      <c r="E57" s="78" t="s">
        <v>38</v>
      </c>
      <c r="F57" s="44" t="s">
        <v>97</v>
      </c>
      <c r="G57" s="44" t="s">
        <v>65</v>
      </c>
      <c r="H57" s="44" t="s">
        <v>64</v>
      </c>
      <c r="K57" s="44" t="s">
        <v>81</v>
      </c>
      <c r="L57" s="51" t="str">
        <f>_xlfn.DISPIMG("ID_C6D9DFD2F03A4E8C902AC663BF9FE591",1)</f>
        <v>=DISPIMG("ID_C6D9DFD2F03A4E8C902AC663BF9FE591",1)</v>
      </c>
    </row>
    <row r="58" ht="44.55" spans="1:12">
      <c r="A58" s="44">
        <v>1</v>
      </c>
      <c r="B58" s="80">
        <v>10020</v>
      </c>
      <c r="C58" s="38">
        <v>1</v>
      </c>
      <c r="D58" s="82" t="s">
        <v>98</v>
      </c>
      <c r="E58" s="78" t="s">
        <v>38</v>
      </c>
      <c r="F58" s="44" t="s">
        <v>99</v>
      </c>
      <c r="G58" s="44" t="s">
        <v>65</v>
      </c>
      <c r="H58" s="44" t="s">
        <v>64</v>
      </c>
      <c r="K58" s="44" t="s">
        <v>81</v>
      </c>
      <c r="L58" s="51" t="str">
        <f>_xlfn.DISPIMG("ID_AF0FFADC40AB4555835690EE2771055D",1)</f>
        <v>=DISPIMG("ID_AF0FFADC40AB4555835690EE2771055D",1)</v>
      </c>
    </row>
    <row r="59" ht="66.15" spans="1:12">
      <c r="A59" s="44">
        <v>1</v>
      </c>
      <c r="B59" s="80">
        <v>10023</v>
      </c>
      <c r="C59" s="44" t="s">
        <v>65</v>
      </c>
      <c r="D59" s="81" t="s">
        <v>100</v>
      </c>
      <c r="E59" s="78" t="s">
        <v>38</v>
      </c>
      <c r="F59" s="44" t="s">
        <v>101</v>
      </c>
      <c r="G59" s="38" t="s">
        <v>102</v>
      </c>
      <c r="H59" s="38" t="s">
        <v>103</v>
      </c>
      <c r="K59" s="44" t="s">
        <v>81</v>
      </c>
      <c r="L59" s="51" t="str">
        <f>_xlfn.DISPIMG("ID_4C6AB4B4B9774A7CB76072D92F191163",1)</f>
        <v>=DISPIMG("ID_4C6AB4B4B9774A7CB76072D92F191163",1)</v>
      </c>
    </row>
    <row r="60" ht="80.45" spans="1:12">
      <c r="A60" s="44">
        <v>1</v>
      </c>
      <c r="B60" s="80">
        <v>10024</v>
      </c>
      <c r="C60" s="44" t="s">
        <v>65</v>
      </c>
      <c r="D60" s="81" t="s">
        <v>104</v>
      </c>
      <c r="E60" s="78" t="s">
        <v>38</v>
      </c>
      <c r="F60" s="44" t="s">
        <v>105</v>
      </c>
      <c r="G60" s="38" t="s">
        <v>102</v>
      </c>
      <c r="H60" s="38" t="s">
        <v>103</v>
      </c>
      <c r="K60" s="44" t="s">
        <v>81</v>
      </c>
      <c r="L60" s="51" t="str">
        <f>_xlfn.DISPIMG("ID_4A25654618664D10BD06807F9472733F",1)</f>
        <v>=DISPIMG("ID_4A25654618664D10BD06807F9472733F",1)</v>
      </c>
    </row>
    <row r="61" ht="84.6" spans="1:12">
      <c r="A61" s="44">
        <v>1</v>
      </c>
      <c r="B61" s="80">
        <v>10025</v>
      </c>
      <c r="C61" s="44" t="s">
        <v>65</v>
      </c>
      <c r="D61" s="80" t="s">
        <v>106</v>
      </c>
      <c r="E61" s="78" t="s">
        <v>38</v>
      </c>
      <c r="F61" s="44" t="s">
        <v>107</v>
      </c>
      <c r="G61" s="38" t="s">
        <v>108</v>
      </c>
      <c r="H61" s="38" t="s">
        <v>109</v>
      </c>
      <c r="J61" s="44" t="s">
        <v>110</v>
      </c>
      <c r="K61" s="44" t="s">
        <v>81</v>
      </c>
      <c r="L61" s="51" t="str">
        <f>_xlfn.DISPIMG("ID_36440E39B0614DE79FA5795C0F411D04",1)</f>
        <v>=DISPIMG("ID_36440E39B0614DE79FA5795C0F411D04",1)</v>
      </c>
    </row>
    <row r="62" ht="75.45" spans="1:12">
      <c r="A62" s="44">
        <v>1</v>
      </c>
      <c r="B62" s="80">
        <v>10031</v>
      </c>
      <c r="C62" s="44" t="s">
        <v>65</v>
      </c>
      <c r="D62" s="80" t="s">
        <v>111</v>
      </c>
      <c r="E62" s="78" t="s">
        <v>38</v>
      </c>
      <c r="F62" s="80" t="s">
        <v>112</v>
      </c>
      <c r="G62" s="44" t="s">
        <v>65</v>
      </c>
      <c r="H62" s="44" t="s">
        <v>64</v>
      </c>
      <c r="K62" s="44" t="s">
        <v>81</v>
      </c>
      <c r="L62" s="51" t="str">
        <f>_xlfn.DISPIMG("ID_F2AE200851974CBC851F0643935CCBB8",1)</f>
        <v>=DISPIMG("ID_F2AE200851974CBC851F0643935CCBB8",1)</v>
      </c>
    </row>
  </sheetData>
  <dataValidations count="1">
    <dataValidation type="list" allowBlank="1" showInputMessage="1" showErrorMessage="1" sqref="C4:K4 M4:N4">
      <formula1>数据类型!$B$2:$B$51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N34"/>
  <sheetViews>
    <sheetView workbookViewId="0">
      <pane ySplit="1" topLeftCell="A20" activePane="bottomLeft" state="frozen"/>
      <selection/>
      <selection pane="bottomLeft" activeCell="F52" sqref="F52"/>
    </sheetView>
  </sheetViews>
  <sheetFormatPr defaultColWidth="9" defaultRowHeight="13.5"/>
  <cols>
    <col min="1" max="1" width="43.375" style="63" customWidth="1"/>
    <col min="2" max="4" width="20.5" style="63" customWidth="1"/>
    <col min="5" max="5" width="16.75" style="63" customWidth="1"/>
    <col min="6" max="6" width="15.625" style="66" customWidth="1"/>
    <col min="7" max="7" width="22" style="54" customWidth="1"/>
    <col min="8" max="8" width="13.75" style="63" customWidth="1"/>
    <col min="9" max="9" width="13" style="63" customWidth="1"/>
    <col min="10" max="10" width="46.25" style="63" customWidth="1"/>
    <col min="11" max="11" width="12.375" style="63" customWidth="1"/>
    <col min="12" max="12" width="19.5" style="63" customWidth="1"/>
    <col min="13" max="16384" width="9" style="63"/>
  </cols>
  <sheetData>
    <row r="1" s="64" customFormat="1" ht="100" customHeight="1" spans="1:14">
      <c r="A1" s="3" t="s">
        <v>0</v>
      </c>
      <c r="B1" s="4" t="s">
        <v>113</v>
      </c>
      <c r="C1" s="18" t="s">
        <v>114</v>
      </c>
      <c r="D1" s="5" t="s">
        <v>3</v>
      </c>
      <c r="E1" s="6" t="s">
        <v>4</v>
      </c>
      <c r="F1" s="45" t="s">
        <v>5</v>
      </c>
      <c r="G1" s="46" t="s">
        <v>115</v>
      </c>
      <c r="H1" s="46" t="s">
        <v>7</v>
      </c>
      <c r="I1" s="46" t="s">
        <v>116</v>
      </c>
      <c r="J1" s="46" t="s">
        <v>9</v>
      </c>
      <c r="K1" s="46" t="s">
        <v>10</v>
      </c>
      <c r="L1" s="46" t="s">
        <v>11</v>
      </c>
      <c r="M1" s="46" t="s">
        <v>12</v>
      </c>
      <c r="N1" s="46" t="s">
        <v>13</v>
      </c>
    </row>
    <row r="2" s="65" customFormat="1" ht="14.25" spans="1:14">
      <c r="A2" s="8" t="s">
        <v>14</v>
      </c>
      <c r="B2" s="9">
        <v>1</v>
      </c>
      <c r="C2" s="9">
        <v>1</v>
      </c>
      <c r="D2" s="9">
        <v>0</v>
      </c>
      <c r="E2" s="9">
        <v>2</v>
      </c>
      <c r="F2" s="47">
        <v>2</v>
      </c>
      <c r="G2" s="48">
        <v>2</v>
      </c>
      <c r="H2" s="48">
        <v>2</v>
      </c>
      <c r="I2" s="48">
        <v>2</v>
      </c>
      <c r="J2" s="48">
        <v>2</v>
      </c>
      <c r="K2" s="48">
        <v>2</v>
      </c>
      <c r="L2" s="48">
        <v>2</v>
      </c>
      <c r="M2" s="48">
        <v>2</v>
      </c>
      <c r="N2" s="48">
        <v>3</v>
      </c>
    </row>
    <row r="3" s="65" customFormat="1" ht="14.25" spans="1:14">
      <c r="A3" s="8" t="s">
        <v>15</v>
      </c>
      <c r="B3" s="9" t="s">
        <v>16</v>
      </c>
      <c r="C3" s="9" t="s">
        <v>17</v>
      </c>
      <c r="D3" s="9" t="s">
        <v>18</v>
      </c>
      <c r="E3" s="9" t="s">
        <v>19</v>
      </c>
      <c r="F3" s="47" t="s">
        <v>20</v>
      </c>
      <c r="G3" s="48" t="s">
        <v>21</v>
      </c>
      <c r="H3" s="48" t="s">
        <v>22</v>
      </c>
      <c r="I3" s="48" t="s">
        <v>23</v>
      </c>
      <c r="J3" s="48" t="s">
        <v>24</v>
      </c>
      <c r="K3" s="48" t="s">
        <v>25</v>
      </c>
      <c r="L3" s="48" t="s">
        <v>26</v>
      </c>
      <c r="M3" s="48" t="s">
        <v>27</v>
      </c>
      <c r="N3" s="48" t="s">
        <v>28</v>
      </c>
    </row>
    <row r="4" s="65" customFormat="1" ht="14.25" spans="1:14">
      <c r="A4" s="8" t="s">
        <v>29</v>
      </c>
      <c r="B4" s="8" t="s">
        <v>30</v>
      </c>
      <c r="C4" s="8" t="s">
        <v>30</v>
      </c>
      <c r="D4" s="8" t="s">
        <v>31</v>
      </c>
      <c r="E4" s="8" t="s">
        <v>32</v>
      </c>
      <c r="F4" s="8" t="s">
        <v>32</v>
      </c>
      <c r="G4" s="8" t="s">
        <v>30</v>
      </c>
      <c r="H4" s="8" t="s">
        <v>32</v>
      </c>
      <c r="I4" s="8" t="s">
        <v>33</v>
      </c>
      <c r="J4" s="8" t="s">
        <v>34</v>
      </c>
      <c r="K4" s="8" t="s">
        <v>30</v>
      </c>
      <c r="L4" s="48" t="s">
        <v>35</v>
      </c>
      <c r="M4" s="8" t="s">
        <v>36</v>
      </c>
      <c r="N4" s="8" t="s">
        <v>36</v>
      </c>
    </row>
    <row r="5" s="56" customFormat="1" ht="37.55" spans="1:14">
      <c r="A5" s="56">
        <v>1</v>
      </c>
      <c r="B5" s="56">
        <v>3001</v>
      </c>
      <c r="C5" s="56">
        <v>1</v>
      </c>
      <c r="D5" s="56" t="s">
        <v>117</v>
      </c>
      <c r="E5" s="56" t="s">
        <v>38</v>
      </c>
      <c r="F5" s="35" t="s">
        <v>39</v>
      </c>
      <c r="G5" s="67">
        <v>4</v>
      </c>
      <c r="H5" s="67" t="s">
        <v>40</v>
      </c>
      <c r="I5" s="68"/>
      <c r="J5" s="68"/>
      <c r="K5" s="68">
        <v>5</v>
      </c>
      <c r="L5" s="68" t="str">
        <f>_xlfn.DISPIMG("ID_DE7940C7BC2D4D46915E35BA3143081A",1)</f>
        <v>=DISPIMG("ID_DE7940C7BC2D4D46915E35BA3143081A",1)</v>
      </c>
    </row>
    <row r="6" ht="107.85" spans="1:14">
      <c r="A6" s="63">
        <v>1</v>
      </c>
      <c r="B6" s="63">
        <v>995802210</v>
      </c>
      <c r="C6" s="63">
        <v>1</v>
      </c>
      <c r="D6" s="63" t="s">
        <v>118</v>
      </c>
      <c r="E6" s="56" t="s">
        <v>38</v>
      </c>
      <c r="F6" s="35" t="s">
        <v>119</v>
      </c>
      <c r="G6" s="58">
        <v>1</v>
      </c>
      <c r="H6" s="69" t="s">
        <v>45</v>
      </c>
      <c r="I6" s="69"/>
      <c r="J6" s="68"/>
      <c r="K6" s="68">
        <v>5</v>
      </c>
      <c r="L6" s="63" t="str">
        <f>_xlfn.DISPIMG("ID_D876E00311FB4AB89E35CCDEDDE7B4E6",1)</f>
        <v>=DISPIMG("ID_D876E00311FB4AB89E35CCDEDDE7B4E6",1)</v>
      </c>
    </row>
    <row r="7" ht="71.1" spans="1:14">
      <c r="A7" s="63">
        <v>1</v>
      </c>
      <c r="B7" s="63">
        <v>995802211</v>
      </c>
      <c r="C7" s="63">
        <v>5</v>
      </c>
      <c r="D7" s="63" t="s">
        <v>120</v>
      </c>
      <c r="E7" s="56" t="s">
        <v>38</v>
      </c>
      <c r="F7" s="35" t="s">
        <v>119</v>
      </c>
      <c r="G7" s="58">
        <v>60</v>
      </c>
      <c r="H7" s="69" t="s">
        <v>121</v>
      </c>
      <c r="I7" s="69"/>
      <c r="J7" s="68"/>
      <c r="K7" s="68">
        <v>5</v>
      </c>
      <c r="L7" s="63" t="str">
        <f>_xlfn.DISPIMG("ID_DD4362E8D64A4DA7A3DEFAC97AAEDF1A",1)</f>
        <v>=DISPIMG("ID_DD4362E8D64A4DA7A3DEFAC97AAEDF1A",1)</v>
      </c>
    </row>
    <row r="8" ht="62.25" spans="1:14">
      <c r="A8" s="63">
        <v>1</v>
      </c>
      <c r="B8" s="63">
        <v>123123</v>
      </c>
      <c r="C8" s="63">
        <v>1</v>
      </c>
      <c r="D8" s="63" t="s">
        <v>122</v>
      </c>
      <c r="E8" s="56" t="s">
        <v>38</v>
      </c>
      <c r="F8" s="70" t="s">
        <v>123</v>
      </c>
      <c r="G8" s="58">
        <v>1</v>
      </c>
      <c r="H8" s="69" t="s">
        <v>45</v>
      </c>
      <c r="I8" s="69"/>
      <c r="J8" s="68"/>
      <c r="K8" s="68">
        <v>5</v>
      </c>
      <c r="L8" s="63" t="str">
        <f>_xlfn.DISPIMG("ID_40EFAF88A7A0411C84CA9DE5A75272EA",1)</f>
        <v>=DISPIMG("ID_40EFAF88A7A0411C84CA9DE5A75272EA",1)</v>
      </c>
    </row>
    <row r="9" ht="14.25" spans="1:14">
      <c r="A9" s="63">
        <v>1</v>
      </c>
      <c r="B9" s="71">
        <v>101</v>
      </c>
      <c r="C9" s="63">
        <v>1</v>
      </c>
      <c r="D9" s="71" t="s">
        <v>124</v>
      </c>
      <c r="E9" s="56" t="s">
        <v>38</v>
      </c>
      <c r="F9" s="70" t="s">
        <v>123</v>
      </c>
      <c r="G9" s="58">
        <v>20</v>
      </c>
      <c r="H9" s="69" t="s">
        <v>125</v>
      </c>
      <c r="I9" s="69"/>
      <c r="J9" s="68"/>
      <c r="K9" s="68">
        <v>20</v>
      </c>
      <c r="L9" s="63" t="str">
        <f>_xlfn.DISPIMG("ID_AB9D4DC96CE742E1A0A50D45A2AA6766",1)</f>
        <v>=DISPIMG("ID_AB9D4DC96CE742E1A0A50D45A2AA6766",1)</v>
      </c>
    </row>
    <row r="10" ht="14.25" spans="1:14">
      <c r="A10" s="63">
        <v>1</v>
      </c>
      <c r="B10" s="71">
        <v>102</v>
      </c>
      <c r="C10" s="63">
        <v>1</v>
      </c>
      <c r="D10" s="71" t="s">
        <v>126</v>
      </c>
      <c r="E10" s="56" t="s">
        <v>38</v>
      </c>
      <c r="F10" s="70" t="s">
        <v>123</v>
      </c>
      <c r="G10" s="58">
        <v>20</v>
      </c>
      <c r="H10" s="69" t="s">
        <v>125</v>
      </c>
      <c r="I10" s="69"/>
      <c r="J10" s="68"/>
      <c r="K10" s="68">
        <v>20</v>
      </c>
      <c r="L10" s="63" t="str">
        <f>_xlfn.DISPIMG("ID_2849E231CEDE4C92A242D6FFD5BA405F",1)</f>
        <v>=DISPIMG("ID_2849E231CEDE4C92A242D6FFD5BA405F",1)</v>
      </c>
    </row>
    <row r="11" ht="14.25" spans="1:14">
      <c r="A11" s="63">
        <v>1</v>
      </c>
      <c r="B11" s="71">
        <v>103</v>
      </c>
      <c r="C11" s="63">
        <v>1</v>
      </c>
      <c r="D11" s="71" t="s">
        <v>127</v>
      </c>
      <c r="E11" s="56" t="s">
        <v>38</v>
      </c>
      <c r="F11" s="70" t="s">
        <v>123</v>
      </c>
      <c r="G11" s="58">
        <v>20</v>
      </c>
      <c r="H11" s="69" t="s">
        <v>125</v>
      </c>
      <c r="I11" s="69"/>
      <c r="J11" s="68"/>
      <c r="K11" s="68">
        <v>20</v>
      </c>
      <c r="L11" s="63" t="str">
        <f>_xlfn.DISPIMG("ID_76A39E4F9414468A94C167647D626DE5",1)</f>
        <v>=DISPIMG("ID_76A39E4F9414468A94C167647D626DE5",1)</v>
      </c>
    </row>
    <row r="12" ht="32.8" spans="1:14">
      <c r="A12" s="63">
        <v>1</v>
      </c>
      <c r="B12" s="63">
        <v>400101</v>
      </c>
      <c r="C12" s="63">
        <v>1</v>
      </c>
      <c r="D12" s="63" t="s">
        <v>128</v>
      </c>
      <c r="E12" s="56" t="s">
        <v>38</v>
      </c>
      <c r="F12" s="70" t="s">
        <v>129</v>
      </c>
      <c r="G12" s="58">
        <v>1</v>
      </c>
      <c r="H12" s="69" t="s">
        <v>45</v>
      </c>
      <c r="I12" s="69"/>
      <c r="J12" s="68"/>
      <c r="K12" s="68">
        <v>5</v>
      </c>
      <c r="L12" s="63" t="str">
        <f t="shared" ref="L12:L15" si="0">_xlfn.DISPIMG("ID_953093CE5DC64DF682773D1A7A51B5F2",1)</f>
        <v>=DISPIMG("ID_953093CE5DC64DF682773D1A7A51B5F2",1)</v>
      </c>
    </row>
    <row r="13" ht="118.3" spans="1:14">
      <c r="A13" s="63">
        <v>1</v>
      </c>
      <c r="B13" s="72">
        <v>200001</v>
      </c>
      <c r="C13" s="63">
        <v>1</v>
      </c>
      <c r="D13" s="72" t="s">
        <v>130</v>
      </c>
      <c r="E13" s="56" t="s">
        <v>38</v>
      </c>
      <c r="F13" s="70" t="s">
        <v>129</v>
      </c>
      <c r="G13" s="58">
        <v>1</v>
      </c>
      <c r="H13" s="69" t="s">
        <v>45</v>
      </c>
      <c r="I13" s="69"/>
      <c r="J13" s="68"/>
      <c r="K13" s="68">
        <v>5</v>
      </c>
      <c r="L13" s="63" t="str">
        <f t="shared" si="0"/>
        <v>=DISPIMG("ID_953093CE5DC64DF682773D1A7A51B5F2",1)</v>
      </c>
    </row>
    <row r="14" ht="32.8" spans="1:14">
      <c r="A14" s="63">
        <v>1</v>
      </c>
      <c r="B14" s="72">
        <v>200002</v>
      </c>
      <c r="C14" s="63">
        <v>1</v>
      </c>
      <c r="D14" s="72" t="s">
        <v>131</v>
      </c>
      <c r="E14" s="56" t="s">
        <v>38</v>
      </c>
      <c r="F14" s="70" t="s">
        <v>129</v>
      </c>
      <c r="G14" s="58">
        <v>1</v>
      </c>
      <c r="H14" s="69" t="s">
        <v>45</v>
      </c>
      <c r="I14" s="69"/>
      <c r="J14" s="68"/>
      <c r="K14" s="68">
        <v>5</v>
      </c>
      <c r="L14" s="63" t="str">
        <f t="shared" si="0"/>
        <v>=DISPIMG("ID_953093CE5DC64DF682773D1A7A51B5F2",1)</v>
      </c>
    </row>
    <row r="15" ht="32.8" spans="1:14">
      <c r="A15" s="63">
        <v>1</v>
      </c>
      <c r="B15" s="72">
        <v>200003</v>
      </c>
      <c r="C15" s="63">
        <v>1</v>
      </c>
      <c r="D15" s="72" t="s">
        <v>132</v>
      </c>
      <c r="E15" s="56" t="s">
        <v>38</v>
      </c>
      <c r="F15" s="70" t="s">
        <v>129</v>
      </c>
      <c r="G15" s="58">
        <v>1</v>
      </c>
      <c r="H15" s="69" t="s">
        <v>45</v>
      </c>
      <c r="I15" s="69"/>
      <c r="J15" s="68"/>
      <c r="K15" s="68">
        <v>5</v>
      </c>
      <c r="L15" s="63" t="str">
        <f t="shared" si="0"/>
        <v>=DISPIMG("ID_953093CE5DC64DF682773D1A7A51B5F2",1)</v>
      </c>
    </row>
    <row r="16" ht="62.25" spans="1:14">
      <c r="A16" s="63">
        <v>1</v>
      </c>
      <c r="B16" s="72">
        <v>401</v>
      </c>
      <c r="C16" s="63">
        <v>1</v>
      </c>
      <c r="D16" s="72" t="s">
        <v>133</v>
      </c>
      <c r="E16" s="56" t="s">
        <v>38</v>
      </c>
      <c r="F16" s="70" t="s">
        <v>123</v>
      </c>
      <c r="G16" s="58">
        <v>1</v>
      </c>
      <c r="H16" s="69" t="s">
        <v>45</v>
      </c>
      <c r="I16" s="69"/>
      <c r="J16" s="68"/>
      <c r="K16" s="68">
        <v>5</v>
      </c>
      <c r="L16" s="63" t="str">
        <f>_xlfn.DISPIMG("ID_A831598AEE024989AFC91622758D1395",1)</f>
        <v>=DISPIMG("ID_A831598AEE024989AFC91622758D1395",1)</v>
      </c>
    </row>
    <row r="17" ht="62.25" spans="1:12">
      <c r="A17" s="63">
        <v>1</v>
      </c>
      <c r="B17" s="72">
        <v>402</v>
      </c>
      <c r="C17" s="63">
        <v>1</v>
      </c>
      <c r="D17" s="72" t="s">
        <v>134</v>
      </c>
      <c r="E17" s="56" t="s">
        <v>38</v>
      </c>
      <c r="F17" s="70" t="s">
        <v>123</v>
      </c>
      <c r="G17" s="58">
        <v>1</v>
      </c>
      <c r="H17" s="69" t="s">
        <v>45</v>
      </c>
      <c r="I17" s="69"/>
      <c r="J17" s="68"/>
      <c r="K17" s="68">
        <v>5</v>
      </c>
      <c r="L17" s="63" t="str">
        <f>_xlfn.DISPIMG("ID_A6CDDEADAA6348298428BCFD3255F3A6",1)</f>
        <v>=DISPIMG("ID_A6CDDEADAA6348298428BCFD3255F3A6",1)</v>
      </c>
    </row>
    <row r="18" ht="62.25" spans="1:12">
      <c r="A18" s="63">
        <v>1</v>
      </c>
      <c r="B18" s="72">
        <v>403</v>
      </c>
      <c r="C18" s="63">
        <v>1</v>
      </c>
      <c r="D18" s="72" t="s">
        <v>135</v>
      </c>
      <c r="E18" s="56" t="s">
        <v>38</v>
      </c>
      <c r="F18" s="70" t="s">
        <v>123</v>
      </c>
      <c r="G18" s="58">
        <v>1</v>
      </c>
      <c r="H18" s="69" t="s">
        <v>45</v>
      </c>
      <c r="I18" s="69"/>
      <c r="J18" s="68"/>
      <c r="K18" s="68">
        <v>5</v>
      </c>
      <c r="L18" s="63" t="str">
        <f>_xlfn.DISPIMG("ID_7E6EB6B24E8D4D7D8A7BAE19C8A3F778",1)</f>
        <v>=DISPIMG("ID_7E6EB6B24E8D4D7D8A7BAE19C8A3F778",1)</v>
      </c>
    </row>
    <row r="19" ht="62.25" spans="1:12">
      <c r="A19" s="63">
        <v>1</v>
      </c>
      <c r="B19" s="72">
        <v>501</v>
      </c>
      <c r="C19" s="63">
        <v>1</v>
      </c>
      <c r="D19" s="72" t="s">
        <v>136</v>
      </c>
      <c r="E19" s="56" t="s">
        <v>38</v>
      </c>
      <c r="F19" s="70" t="s">
        <v>123</v>
      </c>
      <c r="G19" s="58">
        <v>1</v>
      </c>
      <c r="H19" s="69" t="s">
        <v>45</v>
      </c>
      <c r="I19" s="69"/>
      <c r="J19" s="68"/>
      <c r="K19" s="68">
        <v>5</v>
      </c>
      <c r="L19" s="63" t="str">
        <f>_xlfn.DISPIMG("ID_A831598AEE024989AFC91622758D1395",1)</f>
        <v>=DISPIMG("ID_A831598AEE024989AFC91622758D1395",1)</v>
      </c>
    </row>
    <row r="20" ht="62.25" spans="1:12">
      <c r="A20" s="63">
        <v>1</v>
      </c>
      <c r="B20" s="72">
        <v>502</v>
      </c>
      <c r="C20" s="63">
        <v>1</v>
      </c>
      <c r="D20" s="72" t="s">
        <v>137</v>
      </c>
      <c r="E20" s="56" t="s">
        <v>38</v>
      </c>
      <c r="F20" s="70" t="s">
        <v>123</v>
      </c>
      <c r="G20" s="58">
        <v>1</v>
      </c>
      <c r="H20" s="69" t="s">
        <v>45</v>
      </c>
      <c r="I20" s="69"/>
      <c r="J20" s="68"/>
      <c r="K20" s="68">
        <v>5</v>
      </c>
      <c r="L20" s="63" t="str">
        <f>_xlfn.DISPIMG("ID_A6CDDEADAA6348298428BCFD3255F3A6",1)</f>
        <v>=DISPIMG("ID_A6CDDEADAA6348298428BCFD3255F3A6",1)</v>
      </c>
    </row>
    <row r="21" ht="62.25" spans="1:12">
      <c r="A21" s="63">
        <v>1</v>
      </c>
      <c r="B21" s="72">
        <v>503</v>
      </c>
      <c r="C21" s="63">
        <v>1</v>
      </c>
      <c r="D21" s="72" t="s">
        <v>138</v>
      </c>
      <c r="E21" s="56" t="s">
        <v>38</v>
      </c>
      <c r="F21" s="70" t="s">
        <v>123</v>
      </c>
      <c r="G21" s="58">
        <v>1</v>
      </c>
      <c r="H21" s="69" t="s">
        <v>45</v>
      </c>
      <c r="I21" s="69"/>
      <c r="J21" s="68"/>
      <c r="K21" s="68">
        <v>5</v>
      </c>
      <c r="L21" s="63" t="str">
        <f>_xlfn.DISPIMG("ID_7E6EB6B24E8D4D7D8A7BAE19C8A3F778",1)</f>
        <v>=DISPIMG("ID_7E6EB6B24E8D4D7D8A7BAE19C8A3F778",1)</v>
      </c>
    </row>
    <row r="22" ht="62.25" spans="1:12">
      <c r="A22" s="63">
        <v>1</v>
      </c>
      <c r="B22" s="72">
        <v>300001</v>
      </c>
      <c r="C22" s="63">
        <v>1</v>
      </c>
      <c r="D22" s="72" t="s">
        <v>139</v>
      </c>
      <c r="E22" s="56" t="s">
        <v>38</v>
      </c>
      <c r="F22" s="70" t="s">
        <v>123</v>
      </c>
      <c r="G22" s="58">
        <v>1</v>
      </c>
      <c r="H22" s="69" t="s">
        <v>45</v>
      </c>
      <c r="I22" s="69"/>
      <c r="J22" s="68"/>
      <c r="K22" s="68">
        <v>5</v>
      </c>
      <c r="L22" s="63" t="str">
        <f>_xlfn.DISPIMG("ID_677BB320586148EAA2DA35F198112AF0",1)</f>
        <v>=DISPIMG("ID_677BB320586148EAA2DA35F198112AF0",1)</v>
      </c>
    </row>
    <row r="23" ht="62.25" spans="1:12">
      <c r="A23" s="63">
        <v>1</v>
      </c>
      <c r="B23" s="72">
        <v>300002</v>
      </c>
      <c r="C23" s="63">
        <v>1</v>
      </c>
      <c r="D23" s="72" t="s">
        <v>140</v>
      </c>
      <c r="E23" s="56" t="s">
        <v>38</v>
      </c>
      <c r="F23" s="70" t="s">
        <v>123</v>
      </c>
      <c r="G23" s="58">
        <v>1</v>
      </c>
      <c r="H23" s="69" t="s">
        <v>45</v>
      </c>
      <c r="I23" s="69"/>
      <c r="J23" s="68"/>
      <c r="K23" s="68">
        <v>5</v>
      </c>
      <c r="L23" s="63" t="str">
        <f>_xlfn.DISPIMG("ID_6C2097A45521413CB51F95EC7E7B3CD9",1)</f>
        <v>=DISPIMG("ID_6C2097A45521413CB51F95EC7E7B3CD9",1)</v>
      </c>
    </row>
    <row r="24" ht="62.25" spans="1:12">
      <c r="A24" s="63">
        <v>1</v>
      </c>
      <c r="B24" s="72">
        <v>300003</v>
      </c>
      <c r="C24" s="63">
        <v>1</v>
      </c>
      <c r="D24" s="72" t="s">
        <v>141</v>
      </c>
      <c r="E24" s="56" t="s">
        <v>38</v>
      </c>
      <c r="F24" s="70" t="s">
        <v>123</v>
      </c>
      <c r="G24" s="58">
        <v>1</v>
      </c>
      <c r="H24" s="69" t="s">
        <v>45</v>
      </c>
      <c r="I24" s="69"/>
      <c r="J24" s="68"/>
      <c r="K24" s="68">
        <v>5</v>
      </c>
      <c r="L24" s="63" t="str">
        <f>_xlfn.DISPIMG("ID_5DF70216C8614965A4BCFC81B781581B",1)</f>
        <v>=DISPIMG("ID_5DF70216C8614965A4BCFC81B781581B",1)</v>
      </c>
    </row>
    <row r="25" ht="14.25" spans="1:12">
      <c r="A25" s="63">
        <v>1</v>
      </c>
      <c r="B25" s="49">
        <v>400001</v>
      </c>
      <c r="C25" s="73">
        <v>1</v>
      </c>
      <c r="D25" s="49" t="s">
        <v>142</v>
      </c>
      <c r="E25" s="56" t="s">
        <v>38</v>
      </c>
      <c r="F25" s="70" t="s">
        <v>143</v>
      </c>
      <c r="G25" s="58">
        <v>16</v>
      </c>
      <c r="H25" s="69" t="s">
        <v>144</v>
      </c>
      <c r="J25" s="68"/>
      <c r="K25" s="68">
        <v>10</v>
      </c>
      <c r="L25" s="63" t="str">
        <f>_xlfn.DISPIMG("ID_73F4DE47EEE844179263ED728146A1C2",1)</f>
        <v>=DISPIMG("ID_73F4DE47EEE844179263ED728146A1C2",1)</v>
      </c>
    </row>
    <row r="26" ht="14.25" spans="1:12">
      <c r="A26" s="63">
        <v>1</v>
      </c>
      <c r="B26" s="49">
        <v>400002</v>
      </c>
      <c r="C26" s="73">
        <v>1</v>
      </c>
      <c r="D26" s="49" t="s">
        <v>142</v>
      </c>
      <c r="E26" s="56" t="s">
        <v>38</v>
      </c>
      <c r="F26" s="70" t="s">
        <v>143</v>
      </c>
      <c r="G26" s="58">
        <v>16</v>
      </c>
      <c r="H26" s="69" t="s">
        <v>144</v>
      </c>
      <c r="J26" s="68"/>
      <c r="K26" s="68">
        <v>10</v>
      </c>
      <c r="L26" s="63" t="str">
        <f>_xlfn.DISPIMG("ID_E399A260CCDA449AAC9C83C36A60B6DB",1)</f>
        <v>=DISPIMG("ID_E399A260CCDA449AAC9C83C36A60B6DB",1)</v>
      </c>
    </row>
    <row r="27" ht="16.55" spans="1:12">
      <c r="A27" s="74">
        <v>1</v>
      </c>
      <c r="B27" s="49">
        <v>301</v>
      </c>
      <c r="C27" s="63">
        <v>1</v>
      </c>
      <c r="D27" s="49" t="s">
        <v>145</v>
      </c>
      <c r="E27" s="56" t="s">
        <v>38</v>
      </c>
      <c r="F27" s="70" t="s">
        <v>146</v>
      </c>
      <c r="G27" s="54">
        <v>8</v>
      </c>
      <c r="H27" s="69" t="s">
        <v>46</v>
      </c>
      <c r="K27" s="68">
        <v>10</v>
      </c>
      <c r="L27" s="63" t="str">
        <f>_xlfn.DISPIMG("ID_953FA9BA13B84807942D4B965D9F3D90",1)</f>
        <v>=DISPIMG("ID_953FA9BA13B84807942D4B965D9F3D90",1)</v>
      </c>
    </row>
    <row r="28" ht="21.5" spans="1:12">
      <c r="A28" s="74">
        <v>1</v>
      </c>
      <c r="B28" s="63">
        <v>600001</v>
      </c>
      <c r="C28" s="63">
        <v>1</v>
      </c>
      <c r="D28" s="63" t="s">
        <v>147</v>
      </c>
      <c r="E28" s="56" t="s">
        <v>38</v>
      </c>
      <c r="F28" s="66" t="s">
        <v>148</v>
      </c>
      <c r="G28" s="54">
        <v>6</v>
      </c>
      <c r="H28" s="63" t="s">
        <v>103</v>
      </c>
      <c r="K28" s="68">
        <v>10</v>
      </c>
      <c r="L28" s="63" t="str">
        <f>_xlfn.DISPIMG("ID_A44DC50217734F32BA0CD854B536E439",1)</f>
        <v>=DISPIMG("ID_A44DC50217734F32BA0CD854B536E439",1)</v>
      </c>
    </row>
    <row r="29" ht="59.65" spans="1:12">
      <c r="A29" s="63">
        <v>1</v>
      </c>
      <c r="B29" s="63">
        <v>600101</v>
      </c>
      <c r="C29" s="63">
        <v>1</v>
      </c>
      <c r="D29" s="63" t="s">
        <v>149</v>
      </c>
      <c r="E29" s="56" t="s">
        <v>38</v>
      </c>
      <c r="F29" s="66" t="s">
        <v>150</v>
      </c>
      <c r="G29" s="54">
        <v>1</v>
      </c>
      <c r="H29" s="63" t="s">
        <v>45</v>
      </c>
      <c r="K29" s="68">
        <v>10</v>
      </c>
      <c r="L29" s="63" t="str">
        <f>_xlfn.DISPIMG("ID_63750D3C29DD4D8DBB807115CE41D97B",1)</f>
        <v>=DISPIMG("ID_63750D3C29DD4D8DBB807115CE41D97B",1)</v>
      </c>
    </row>
    <row r="30" ht="59.15" spans="1:12">
      <c r="A30" s="63">
        <v>1</v>
      </c>
      <c r="B30" s="63">
        <v>600102</v>
      </c>
      <c r="C30" s="63">
        <v>1</v>
      </c>
      <c r="D30" s="63" t="s">
        <v>151</v>
      </c>
      <c r="E30" s="56" t="s">
        <v>38</v>
      </c>
      <c r="F30" s="66" t="s">
        <v>150</v>
      </c>
      <c r="G30" s="54">
        <v>1</v>
      </c>
      <c r="H30" s="63" t="s">
        <v>45</v>
      </c>
      <c r="K30" s="68">
        <v>10</v>
      </c>
      <c r="L30" s="63" t="str">
        <f>_xlfn.DISPIMG("ID_28FC262D04334CCB8F6C707E7EECD7EF",1)</f>
        <v>=DISPIMG("ID_28FC262D04334CCB8F6C707E7EECD7EF",1)</v>
      </c>
    </row>
    <row r="31" ht="117.7" spans="1:12">
      <c r="A31" s="63">
        <v>1</v>
      </c>
      <c r="B31" s="63">
        <v>600201</v>
      </c>
      <c r="C31" s="63">
        <v>1</v>
      </c>
      <c r="D31" s="63" t="s">
        <v>152</v>
      </c>
      <c r="E31" s="56" t="s">
        <v>38</v>
      </c>
      <c r="F31" s="66" t="s">
        <v>153</v>
      </c>
      <c r="G31" s="54">
        <v>1</v>
      </c>
      <c r="H31" s="63" t="s">
        <v>45</v>
      </c>
      <c r="K31" s="63">
        <v>1</v>
      </c>
      <c r="L31" s="63" t="str">
        <f>_xlfn.DISPIMG("ID_E10F63FF1C3A40278EBDC94FE1B34676",1)</f>
        <v>=DISPIMG("ID_E10F63FF1C3A40278EBDC94FE1B34676",1)</v>
      </c>
    </row>
    <row r="32" ht="117.7" spans="1:12">
      <c r="A32" s="63">
        <v>1</v>
      </c>
      <c r="B32" s="63">
        <v>600202</v>
      </c>
      <c r="C32" s="63">
        <v>1</v>
      </c>
      <c r="D32" s="63" t="s">
        <v>154</v>
      </c>
      <c r="E32" s="56" t="s">
        <v>38</v>
      </c>
      <c r="F32" s="66" t="s">
        <v>153</v>
      </c>
      <c r="G32" s="54">
        <v>1</v>
      </c>
      <c r="H32" s="63" t="s">
        <v>45</v>
      </c>
      <c r="K32" s="63">
        <v>1</v>
      </c>
      <c r="L32" s="63" t="str">
        <f>_xlfn.DISPIMG("ID_A3659953D7F14B24A7B55E072305A070",1)</f>
        <v>=DISPIMG("ID_A3659953D7F14B24A7B55E072305A070",1)</v>
      </c>
    </row>
    <row r="33" ht="117.7" spans="1:12">
      <c r="A33" s="63">
        <v>1</v>
      </c>
      <c r="B33" s="63">
        <v>600203</v>
      </c>
      <c r="C33" s="63">
        <v>1</v>
      </c>
      <c r="D33" s="63" t="s">
        <v>155</v>
      </c>
      <c r="E33" s="56" t="s">
        <v>38</v>
      </c>
      <c r="F33" s="66" t="s">
        <v>153</v>
      </c>
      <c r="G33" s="54">
        <v>1</v>
      </c>
      <c r="H33" s="63" t="s">
        <v>45</v>
      </c>
      <c r="K33" s="63">
        <v>1</v>
      </c>
      <c r="L33" s="63" t="str">
        <f>_xlfn.DISPIMG("ID_1F14837EC72B4A5781B452E975BE387C",1)</f>
        <v>=DISPIMG("ID_1F14837EC72B4A5781B452E975BE387C",1)</v>
      </c>
    </row>
    <row r="34" ht="117.7" spans="1:12">
      <c r="A34" s="63">
        <v>1</v>
      </c>
      <c r="B34" s="63">
        <v>600204</v>
      </c>
      <c r="C34" s="63">
        <v>1</v>
      </c>
      <c r="D34" s="63" t="s">
        <v>156</v>
      </c>
      <c r="E34" s="56" t="s">
        <v>38</v>
      </c>
      <c r="F34" s="66" t="s">
        <v>153</v>
      </c>
      <c r="G34" s="54">
        <v>1</v>
      </c>
      <c r="H34" s="63" t="s">
        <v>45</v>
      </c>
      <c r="K34" s="63">
        <v>1</v>
      </c>
      <c r="L34" s="63" t="str">
        <f>_xlfn.DISPIMG("ID_9F6109CD60FB4EEBBBF797739AFE2B17",1)</f>
        <v>=DISPIMG("ID_9F6109CD60FB4EEBBBF797739AFE2B17",1)</v>
      </c>
    </row>
  </sheetData>
  <dataValidations count="1">
    <dataValidation type="list" allowBlank="1" showInputMessage="1" showErrorMessage="1" sqref="C4:K4 M4:N4">
      <formula1>数据类型!$B$2:$B$51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N72"/>
  <sheetViews>
    <sheetView workbookViewId="0">
      <pane ySplit="1" topLeftCell="A38" activePane="bottomLeft" state="frozen"/>
      <selection/>
      <selection pane="bottomLeft" activeCell="H61" sqref="A61:H61"/>
    </sheetView>
  </sheetViews>
  <sheetFormatPr defaultColWidth="9" defaultRowHeight="13.5"/>
  <cols>
    <col min="1" max="1" width="43.375" style="44" customWidth="1"/>
    <col min="2" max="2" width="20.5" style="44" customWidth="1"/>
    <col min="3" max="3" width="28.875" style="44" customWidth="1"/>
    <col min="4" max="4" width="20.5" style="44" customWidth="1"/>
    <col min="5" max="5" width="16.75" style="44" customWidth="1"/>
    <col min="6" max="6" width="11.75" style="44" customWidth="1"/>
    <col min="7" max="7" width="22" style="44" customWidth="1"/>
    <col min="8" max="8" width="13.75" style="44" customWidth="1"/>
    <col min="9" max="9" width="13" style="44" customWidth="1"/>
    <col min="10" max="10" width="32.25" style="44" customWidth="1"/>
    <col min="11" max="11" width="12.375" style="44" customWidth="1"/>
    <col min="12" max="12" width="19.5" style="44" customWidth="1"/>
    <col min="13" max="16384" width="9" style="44"/>
  </cols>
  <sheetData>
    <row r="1" s="42" customFormat="1" ht="120" customHeight="1" spans="1:14">
      <c r="A1" s="3" t="s">
        <v>0</v>
      </c>
      <c r="B1" s="21" t="s">
        <v>157</v>
      </c>
      <c r="C1" s="3" t="s">
        <v>158</v>
      </c>
      <c r="D1" s="23" t="s">
        <v>3</v>
      </c>
      <c r="E1" s="3" t="s">
        <v>4</v>
      </c>
      <c r="F1" s="45" t="s">
        <v>159</v>
      </c>
      <c r="G1" s="45" t="s">
        <v>6</v>
      </c>
      <c r="H1" s="45" t="s">
        <v>160</v>
      </c>
      <c r="I1" s="45" t="s">
        <v>161</v>
      </c>
      <c r="J1" s="46" t="s">
        <v>9</v>
      </c>
      <c r="K1" s="46" t="s">
        <v>10</v>
      </c>
      <c r="L1" s="45" t="s">
        <v>11</v>
      </c>
      <c r="M1" s="45" t="s">
        <v>12</v>
      </c>
      <c r="N1" s="45" t="s">
        <v>13</v>
      </c>
    </row>
    <row r="2" s="43" customFormat="1" ht="14.25" spans="1:14">
      <c r="A2" s="8" t="s">
        <v>14</v>
      </c>
      <c r="B2" s="8">
        <v>1</v>
      </c>
      <c r="C2" s="8">
        <v>1</v>
      </c>
      <c r="D2" s="8">
        <v>0</v>
      </c>
      <c r="E2" s="8">
        <v>2</v>
      </c>
      <c r="F2" s="47">
        <v>2</v>
      </c>
      <c r="G2" s="47">
        <v>2</v>
      </c>
      <c r="H2" s="47">
        <v>2</v>
      </c>
      <c r="I2" s="47">
        <v>2</v>
      </c>
      <c r="J2" s="48">
        <v>2</v>
      </c>
      <c r="K2" s="48">
        <v>2</v>
      </c>
      <c r="L2" s="47">
        <v>2</v>
      </c>
      <c r="M2" s="47">
        <v>2</v>
      </c>
      <c r="N2" s="47">
        <v>3</v>
      </c>
    </row>
    <row r="3" s="43" customFormat="1" ht="14.25" spans="1:14">
      <c r="A3" s="8" t="s">
        <v>15</v>
      </c>
      <c r="B3" s="8" t="s">
        <v>16</v>
      </c>
      <c r="C3" s="8" t="s">
        <v>17</v>
      </c>
      <c r="D3" s="8" t="s">
        <v>18</v>
      </c>
      <c r="E3" s="8" t="s">
        <v>19</v>
      </c>
      <c r="F3" s="47" t="s">
        <v>20</v>
      </c>
      <c r="G3" s="47" t="s">
        <v>21</v>
      </c>
      <c r="H3" s="47" t="s">
        <v>22</v>
      </c>
      <c r="I3" s="47" t="s">
        <v>23</v>
      </c>
      <c r="J3" s="48" t="s">
        <v>24</v>
      </c>
      <c r="K3" s="48" t="s">
        <v>25</v>
      </c>
      <c r="L3" s="47" t="s">
        <v>26</v>
      </c>
      <c r="M3" s="47" t="s">
        <v>27</v>
      </c>
      <c r="N3" s="47" t="s">
        <v>28</v>
      </c>
    </row>
    <row r="4" s="43" customFormat="1" ht="14.25" spans="1:14">
      <c r="A4" s="8" t="s">
        <v>29</v>
      </c>
      <c r="B4" s="8" t="s">
        <v>30</v>
      </c>
      <c r="C4" s="8" t="s">
        <v>30</v>
      </c>
      <c r="D4" s="8" t="s">
        <v>31</v>
      </c>
      <c r="E4" s="8" t="s">
        <v>32</v>
      </c>
      <c r="F4" s="8" t="s">
        <v>32</v>
      </c>
      <c r="G4" s="8" t="s">
        <v>30</v>
      </c>
      <c r="H4" s="8" t="s">
        <v>32</v>
      </c>
      <c r="I4" s="8" t="s">
        <v>33</v>
      </c>
      <c r="J4" s="8" t="s">
        <v>34</v>
      </c>
      <c r="K4" s="8" t="s">
        <v>30</v>
      </c>
      <c r="L4" s="47" t="s">
        <v>35</v>
      </c>
      <c r="M4" s="8" t="s">
        <v>36</v>
      </c>
      <c r="N4" s="8" t="s">
        <v>36</v>
      </c>
    </row>
    <row r="5" s="33" customFormat="1" ht="62.25" spans="1:14">
      <c r="A5" s="33">
        <v>1</v>
      </c>
      <c r="B5" s="49">
        <v>100001</v>
      </c>
      <c r="C5" s="33">
        <v>1</v>
      </c>
      <c r="D5" s="33" t="s">
        <v>162</v>
      </c>
      <c r="E5" s="33" t="s">
        <v>38</v>
      </c>
      <c r="F5" s="35" t="s">
        <v>123</v>
      </c>
      <c r="G5" s="35">
        <v>1</v>
      </c>
      <c r="H5" s="35" t="s">
        <v>64</v>
      </c>
      <c r="I5" s="50"/>
      <c r="J5" s="50"/>
      <c r="K5" s="50" t="s">
        <v>163</v>
      </c>
      <c r="L5" s="51" t="str">
        <f>_xlfn.DISPIMG("ID_28E1E9AB59E24BEEBD82B4C905FAA529",1)</f>
        <v>=DISPIMG("ID_28E1E9AB59E24BEEBD82B4C905FAA529",1)</v>
      </c>
      <c r="M5" s="44"/>
    </row>
    <row r="6" ht="62.25" spans="1:14">
      <c r="A6" s="33">
        <v>1</v>
      </c>
      <c r="B6" s="49">
        <v>100002</v>
      </c>
      <c r="C6" s="33">
        <v>1</v>
      </c>
      <c r="D6" s="33" t="s">
        <v>164</v>
      </c>
      <c r="E6" s="33" t="s">
        <v>38</v>
      </c>
      <c r="F6" s="35" t="s">
        <v>123</v>
      </c>
      <c r="G6" s="35">
        <v>1</v>
      </c>
      <c r="H6" s="35" t="s">
        <v>64</v>
      </c>
      <c r="I6" s="50"/>
      <c r="J6" s="50"/>
      <c r="K6" s="50" t="s">
        <v>163</v>
      </c>
      <c r="L6" s="51" t="str">
        <f>_xlfn.DISPIMG("ID_9076BCFFE8B743E291388702EBA3E965",1)</f>
        <v>=DISPIMG("ID_9076BCFFE8B743E291388702EBA3E965",1)</v>
      </c>
    </row>
    <row r="7" ht="62.25" spans="1:14">
      <c r="A7" s="33">
        <v>1</v>
      </c>
      <c r="B7" s="49">
        <v>100003</v>
      </c>
      <c r="C7" s="33">
        <v>1</v>
      </c>
      <c r="D7" s="33" t="s">
        <v>165</v>
      </c>
      <c r="E7" s="33" t="s">
        <v>38</v>
      </c>
      <c r="F7" s="35" t="s">
        <v>123</v>
      </c>
      <c r="G7" s="35">
        <v>1</v>
      </c>
      <c r="H7" s="35" t="s">
        <v>64</v>
      </c>
      <c r="I7" s="50"/>
      <c r="J7" s="50"/>
      <c r="K7" s="50" t="s">
        <v>163</v>
      </c>
      <c r="L7" s="51" t="str">
        <f>_xlfn.DISPIMG("ID_BAC5617E697146C89739856C7EA2DE9C",1)</f>
        <v>=DISPIMG("ID_BAC5617E697146C89739856C7EA2DE9C",1)</v>
      </c>
    </row>
    <row r="8" ht="62.25" spans="1:14">
      <c r="A8" s="33">
        <v>1</v>
      </c>
      <c r="B8" s="49">
        <v>450101</v>
      </c>
      <c r="C8" s="33">
        <v>1</v>
      </c>
      <c r="D8" s="49" t="s">
        <v>166</v>
      </c>
      <c r="E8" s="33" t="s">
        <v>38</v>
      </c>
      <c r="F8" s="35" t="s">
        <v>123</v>
      </c>
      <c r="G8" s="35">
        <v>1</v>
      </c>
      <c r="H8" s="35" t="s">
        <v>64</v>
      </c>
      <c r="J8" s="50"/>
      <c r="K8" s="50" t="s">
        <v>163</v>
      </c>
      <c r="L8" s="51" t="str">
        <f>_xlfn.DISPIMG("ID_B21D2B2A481B469FBBECF51109241B0A",1)</f>
        <v>=DISPIMG("ID_B21D2B2A481B469FBBECF51109241B0A",1)</v>
      </c>
    </row>
    <row r="9" ht="51.35" spans="1:14">
      <c r="A9" s="33">
        <v>1</v>
      </c>
      <c r="B9" s="49">
        <v>450102</v>
      </c>
      <c r="C9" s="33">
        <v>1</v>
      </c>
      <c r="D9" s="52" t="s">
        <v>167</v>
      </c>
      <c r="E9" s="33" t="s">
        <v>38</v>
      </c>
      <c r="F9" s="35" t="s">
        <v>123</v>
      </c>
      <c r="G9" s="35">
        <v>1</v>
      </c>
      <c r="H9" s="35" t="s">
        <v>64</v>
      </c>
      <c r="J9" s="50"/>
      <c r="K9" s="50" t="s">
        <v>163</v>
      </c>
      <c r="L9" s="51" t="str">
        <f>_xlfn.DISPIMG("ID_02B46886133B4720AC873E7ED4924F3B",1)</f>
        <v>=DISPIMG("ID_02B46886133B4720AC873E7ED4924F3B",1)</v>
      </c>
    </row>
    <row r="10" ht="62.25" spans="1:14">
      <c r="A10" s="33">
        <v>1</v>
      </c>
      <c r="B10" s="49">
        <v>450103</v>
      </c>
      <c r="C10" s="33">
        <v>1</v>
      </c>
      <c r="D10" s="49" t="s">
        <v>168</v>
      </c>
      <c r="E10" s="33" t="s">
        <v>38</v>
      </c>
      <c r="F10" s="35" t="s">
        <v>123</v>
      </c>
      <c r="G10" s="35">
        <v>1</v>
      </c>
      <c r="H10" s="35" t="s">
        <v>64</v>
      </c>
      <c r="J10" s="50"/>
      <c r="K10" s="50" t="s">
        <v>163</v>
      </c>
      <c r="L10" s="51" t="str">
        <f>_xlfn.DISPIMG("ID_FA2D31673C634BB78E48C3E3B4AC0738",1)</f>
        <v>=DISPIMG("ID_FA2D31673C634BB78E48C3E3B4AC0738",1)</v>
      </c>
    </row>
    <row r="11" ht="51.35" spans="1:14">
      <c r="A11" s="33">
        <v>1</v>
      </c>
      <c r="B11" s="49">
        <v>450104</v>
      </c>
      <c r="C11" s="33">
        <v>1</v>
      </c>
      <c r="D11" s="52" t="s">
        <v>169</v>
      </c>
      <c r="E11" s="33" t="s">
        <v>38</v>
      </c>
      <c r="F11" s="35" t="s">
        <v>123</v>
      </c>
      <c r="G11" s="35">
        <v>1</v>
      </c>
      <c r="H11" s="35" t="s">
        <v>64</v>
      </c>
      <c r="J11" s="50"/>
      <c r="K11" s="50" t="s">
        <v>163</v>
      </c>
      <c r="L11" s="51" t="str">
        <f>_xlfn.DISPIMG("ID_427E7661D0EA4E048599710A386D6E9D",1)</f>
        <v>=DISPIMG("ID_427E7661D0EA4E048599710A386D6E9D",1)</v>
      </c>
    </row>
    <row r="12" ht="62.25" spans="1:14">
      <c r="A12" s="33">
        <v>1</v>
      </c>
      <c r="B12" s="49">
        <v>450105</v>
      </c>
      <c r="C12" s="33">
        <v>1</v>
      </c>
      <c r="D12" s="49" t="s">
        <v>170</v>
      </c>
      <c r="E12" s="33" t="s">
        <v>38</v>
      </c>
      <c r="F12" s="35" t="s">
        <v>123</v>
      </c>
      <c r="G12" s="35">
        <v>1</v>
      </c>
      <c r="H12" s="35" t="s">
        <v>64</v>
      </c>
      <c r="J12" s="50"/>
      <c r="K12" s="50" t="s">
        <v>163</v>
      </c>
      <c r="L12" s="51" t="str">
        <f>_xlfn.DISPIMG("ID_5EEEB453049940DEBE73420F1EF0A8EC",1)</f>
        <v>=DISPIMG("ID_5EEEB453049940DEBE73420F1EF0A8EC",1)</v>
      </c>
    </row>
    <row r="13" ht="51.35" spans="1:14">
      <c r="A13" s="33">
        <v>1</v>
      </c>
      <c r="B13" s="49">
        <v>450106</v>
      </c>
      <c r="C13" s="33">
        <v>1</v>
      </c>
      <c r="D13" s="52" t="s">
        <v>171</v>
      </c>
      <c r="E13" s="33" t="s">
        <v>38</v>
      </c>
      <c r="F13" s="35" t="s">
        <v>123</v>
      </c>
      <c r="G13" s="35">
        <v>1</v>
      </c>
      <c r="H13" s="35" t="s">
        <v>64</v>
      </c>
      <c r="J13" s="50"/>
      <c r="K13" s="50" t="s">
        <v>163</v>
      </c>
      <c r="L13" s="51" t="str">
        <f>_xlfn.DISPIMG("ID_0F4174FFEF3E4C7BAFE8AB4778111C89",1)</f>
        <v>=DISPIMG("ID_0F4174FFEF3E4C7BAFE8AB4778111C89",1)</v>
      </c>
    </row>
    <row r="14" ht="92.25" spans="1:14">
      <c r="A14" s="33">
        <v>1</v>
      </c>
      <c r="B14" s="49">
        <v>450201</v>
      </c>
      <c r="C14" s="33">
        <v>1</v>
      </c>
      <c r="D14" s="49" t="s">
        <v>172</v>
      </c>
      <c r="E14" s="33" t="s">
        <v>38</v>
      </c>
      <c r="F14" s="35" t="s">
        <v>146</v>
      </c>
      <c r="G14" s="35">
        <v>1</v>
      </c>
      <c r="H14" s="35" t="s">
        <v>64</v>
      </c>
      <c r="J14" s="50"/>
      <c r="K14" s="50" t="s">
        <v>163</v>
      </c>
      <c r="L14" s="51" t="str">
        <f t="shared" ref="L14:L18" si="0">_xlfn.DISPIMG("ID_3E72E9DFEEA14803B8AED009C53CB2A5",1)</f>
        <v>=DISPIMG("ID_3E72E9DFEEA14803B8AED009C53CB2A5",1)</v>
      </c>
    </row>
    <row r="15" ht="92.25" spans="1:14">
      <c r="A15" s="33">
        <v>1</v>
      </c>
      <c r="B15" s="49">
        <v>450202</v>
      </c>
      <c r="C15" s="33">
        <v>1</v>
      </c>
      <c r="D15" s="52" t="s">
        <v>173</v>
      </c>
      <c r="E15" s="33" t="s">
        <v>38</v>
      </c>
      <c r="F15" s="35" t="s">
        <v>146</v>
      </c>
      <c r="G15" s="35">
        <v>1</v>
      </c>
      <c r="H15" s="35" t="s">
        <v>64</v>
      </c>
      <c r="J15" s="50"/>
      <c r="K15" s="50" t="s">
        <v>163</v>
      </c>
      <c r="L15" s="51" t="str">
        <f>_xlfn.DISPIMG("ID_313259228B634A45A49E32D36E6E3980",1)</f>
        <v>=DISPIMG("ID_313259228B634A45A49E32D36E6E3980",1)</v>
      </c>
    </row>
    <row r="16" ht="92.25" spans="1:14">
      <c r="A16" s="33">
        <v>1</v>
      </c>
      <c r="B16" s="49">
        <v>450203</v>
      </c>
      <c r="C16" s="33">
        <v>1</v>
      </c>
      <c r="D16" s="49" t="s">
        <v>174</v>
      </c>
      <c r="E16" s="33" t="s">
        <v>38</v>
      </c>
      <c r="F16" s="35" t="s">
        <v>146</v>
      </c>
      <c r="G16" s="35">
        <v>1</v>
      </c>
      <c r="H16" s="35" t="s">
        <v>64</v>
      </c>
      <c r="J16" s="50"/>
      <c r="K16" s="50" t="s">
        <v>163</v>
      </c>
      <c r="L16" s="51" t="str">
        <f t="shared" si="0"/>
        <v>=DISPIMG("ID_3E72E9DFEEA14803B8AED009C53CB2A5",1)</v>
      </c>
    </row>
    <row r="17" ht="92.25" spans="1:12">
      <c r="A17" s="33">
        <v>1</v>
      </c>
      <c r="B17" s="49">
        <v>450204</v>
      </c>
      <c r="C17" s="33">
        <v>1</v>
      </c>
      <c r="D17" s="52" t="s">
        <v>175</v>
      </c>
      <c r="E17" s="33" t="s">
        <v>38</v>
      </c>
      <c r="F17" s="35" t="s">
        <v>146</v>
      </c>
      <c r="G17" s="35">
        <v>1</v>
      </c>
      <c r="H17" s="35" t="s">
        <v>64</v>
      </c>
      <c r="J17" s="50"/>
      <c r="K17" s="50" t="s">
        <v>163</v>
      </c>
      <c r="L17" s="51" t="str">
        <f>_xlfn.DISPIMG("ID_A7F743AFE2FD46EAA09FF7404F510486",1)</f>
        <v>=DISPIMG("ID_A7F743AFE2FD46EAA09FF7404F510486",1)</v>
      </c>
    </row>
    <row r="18" ht="92.25" spans="1:12">
      <c r="A18" s="33">
        <v>1</v>
      </c>
      <c r="B18" s="49">
        <v>450205</v>
      </c>
      <c r="C18" s="33">
        <v>1</v>
      </c>
      <c r="D18" s="49" t="s">
        <v>176</v>
      </c>
      <c r="E18" s="33" t="s">
        <v>38</v>
      </c>
      <c r="F18" s="35" t="s">
        <v>146</v>
      </c>
      <c r="G18" s="35">
        <v>1</v>
      </c>
      <c r="H18" s="35" t="s">
        <v>64</v>
      </c>
      <c r="J18" s="50"/>
      <c r="K18" s="50" t="s">
        <v>163</v>
      </c>
      <c r="L18" s="51" t="str">
        <f t="shared" si="0"/>
        <v>=DISPIMG("ID_3E72E9DFEEA14803B8AED009C53CB2A5",1)</v>
      </c>
    </row>
    <row r="19" ht="92.25" spans="1:12">
      <c r="A19" s="33">
        <v>1</v>
      </c>
      <c r="B19" s="49">
        <v>450206</v>
      </c>
      <c r="C19" s="33">
        <v>1</v>
      </c>
      <c r="D19" s="52" t="s">
        <v>177</v>
      </c>
      <c r="E19" s="33" t="s">
        <v>38</v>
      </c>
      <c r="F19" s="35" t="s">
        <v>146</v>
      </c>
      <c r="G19" s="35">
        <v>1</v>
      </c>
      <c r="H19" s="35" t="s">
        <v>64</v>
      </c>
      <c r="J19" s="50"/>
      <c r="K19" s="50" t="s">
        <v>163</v>
      </c>
      <c r="L19" s="51" t="str">
        <f>_xlfn.DISPIMG("ID_1650E3A3D5A54E14A24702D844F4E9B6",1)</f>
        <v>=DISPIMG("ID_1650E3A3D5A54E14A24702D844F4E9B6",1)</v>
      </c>
    </row>
    <row r="20" ht="117" spans="1:12">
      <c r="A20" s="33">
        <v>1</v>
      </c>
      <c r="B20" s="49">
        <v>450301</v>
      </c>
      <c r="C20" s="33">
        <v>1</v>
      </c>
      <c r="D20" s="49" t="s">
        <v>178</v>
      </c>
      <c r="E20" s="33" t="s">
        <v>38</v>
      </c>
      <c r="F20" s="35" t="s">
        <v>143</v>
      </c>
      <c r="G20" s="35">
        <v>1</v>
      </c>
      <c r="H20" s="35" t="s">
        <v>64</v>
      </c>
      <c r="J20" s="50"/>
      <c r="K20" s="50" t="s">
        <v>163</v>
      </c>
      <c r="L20" s="51" t="str">
        <f t="shared" ref="L20:L24" si="1">_xlfn.DISPIMG("ID_117E4FFD1E004BD08DBB6DF4DC2B8780",1)</f>
        <v>=DISPIMG("ID_117E4FFD1E004BD08DBB6DF4DC2B8780",1)</v>
      </c>
    </row>
    <row r="21" ht="117" spans="1:12">
      <c r="A21" s="33">
        <v>1</v>
      </c>
      <c r="B21" s="49">
        <v>450302</v>
      </c>
      <c r="C21" s="33">
        <v>1</v>
      </c>
      <c r="D21" s="52" t="s">
        <v>179</v>
      </c>
      <c r="E21" s="33" t="s">
        <v>38</v>
      </c>
      <c r="F21" s="35" t="s">
        <v>143</v>
      </c>
      <c r="G21" s="35">
        <v>1</v>
      </c>
      <c r="H21" s="35" t="s">
        <v>64</v>
      </c>
      <c r="J21" s="50"/>
      <c r="K21" s="50" t="s">
        <v>163</v>
      </c>
      <c r="L21" s="51" t="str">
        <f>_xlfn.DISPIMG("ID_5EBA871BBDB145CCB718AFBCD11E29DD",1)</f>
        <v>=DISPIMG("ID_5EBA871BBDB145CCB718AFBCD11E29DD",1)</v>
      </c>
    </row>
    <row r="22" ht="117" spans="1:12">
      <c r="A22" s="33">
        <v>1</v>
      </c>
      <c r="B22" s="49">
        <v>450303</v>
      </c>
      <c r="C22" s="33">
        <v>1</v>
      </c>
      <c r="D22" s="49" t="s">
        <v>180</v>
      </c>
      <c r="E22" s="33" t="s">
        <v>38</v>
      </c>
      <c r="F22" s="35" t="s">
        <v>143</v>
      </c>
      <c r="G22" s="35">
        <v>1</v>
      </c>
      <c r="H22" s="35" t="s">
        <v>64</v>
      </c>
      <c r="J22" s="50"/>
      <c r="K22" s="50" t="s">
        <v>163</v>
      </c>
      <c r="L22" s="51" t="str">
        <f t="shared" si="1"/>
        <v>=DISPIMG("ID_117E4FFD1E004BD08DBB6DF4DC2B8780",1)</v>
      </c>
    </row>
    <row r="23" ht="117" spans="1:12">
      <c r="A23" s="33">
        <v>1</v>
      </c>
      <c r="B23" s="49">
        <v>450304</v>
      </c>
      <c r="C23" s="33">
        <v>1</v>
      </c>
      <c r="D23" s="52" t="s">
        <v>181</v>
      </c>
      <c r="E23" s="33" t="s">
        <v>38</v>
      </c>
      <c r="F23" s="35" t="s">
        <v>143</v>
      </c>
      <c r="G23" s="35">
        <v>1</v>
      </c>
      <c r="H23" s="35" t="s">
        <v>64</v>
      </c>
      <c r="J23" s="50"/>
      <c r="K23" s="50" t="s">
        <v>163</v>
      </c>
      <c r="L23" s="51" t="str">
        <f>_xlfn.DISPIMG("ID_C22345BBE7494B58836CA07CC6F588D1",1)</f>
        <v>=DISPIMG("ID_C22345BBE7494B58836CA07CC6F588D1",1)</v>
      </c>
    </row>
    <row r="24" ht="117" spans="1:12">
      <c r="A24" s="33">
        <v>1</v>
      </c>
      <c r="B24" s="49">
        <v>450305</v>
      </c>
      <c r="C24" s="33">
        <v>1</v>
      </c>
      <c r="D24" s="49" t="s">
        <v>182</v>
      </c>
      <c r="E24" s="33" t="s">
        <v>38</v>
      </c>
      <c r="F24" s="35" t="s">
        <v>143</v>
      </c>
      <c r="G24" s="35">
        <v>1</v>
      </c>
      <c r="H24" s="35" t="s">
        <v>64</v>
      </c>
      <c r="J24" s="50"/>
      <c r="K24" s="50" t="s">
        <v>163</v>
      </c>
      <c r="L24" s="51" t="str">
        <f t="shared" si="1"/>
        <v>=DISPIMG("ID_117E4FFD1E004BD08DBB6DF4DC2B8780",1)</v>
      </c>
    </row>
    <row r="25" ht="117" spans="1:12">
      <c r="A25" s="33">
        <v>1</v>
      </c>
      <c r="B25" s="49">
        <v>450306</v>
      </c>
      <c r="C25" s="33">
        <v>1</v>
      </c>
      <c r="D25" s="52" t="s">
        <v>183</v>
      </c>
      <c r="E25" s="33" t="s">
        <v>38</v>
      </c>
      <c r="F25" s="35" t="s">
        <v>143</v>
      </c>
      <c r="G25" s="35">
        <v>1</v>
      </c>
      <c r="H25" s="35" t="s">
        <v>64</v>
      </c>
      <c r="J25" s="50"/>
      <c r="K25" s="50" t="s">
        <v>163</v>
      </c>
      <c r="L25" s="51" t="str">
        <f>_xlfn.DISPIMG("ID_C8F1E574379A4424AEAA3E3B19B99209",1)</f>
        <v>=DISPIMG("ID_C8F1E574379A4424AEAA3E3B19B99209",1)</v>
      </c>
    </row>
    <row r="26" ht="16.7" spans="1:12">
      <c r="A26" s="33">
        <v>1</v>
      </c>
      <c r="B26" s="49">
        <v>201</v>
      </c>
      <c r="C26" s="33">
        <v>1</v>
      </c>
      <c r="D26" s="49" t="s">
        <v>184</v>
      </c>
      <c r="E26" s="33" t="s">
        <v>38</v>
      </c>
      <c r="F26" s="35" t="s">
        <v>146</v>
      </c>
      <c r="G26" s="35" t="s">
        <v>185</v>
      </c>
      <c r="H26" s="35" t="s">
        <v>186</v>
      </c>
      <c r="J26" s="50"/>
      <c r="K26" s="50" t="s">
        <v>187</v>
      </c>
      <c r="L26" s="51" t="str">
        <f>_xlfn.DISPIMG("ID_B5AFA920A30E479E99069395816C06CC",1)</f>
        <v>=DISPIMG("ID_B5AFA920A30E479E99069395816C06CC",1)</v>
      </c>
    </row>
    <row r="27" ht="16.7" spans="1:12">
      <c r="A27" s="33">
        <v>1</v>
      </c>
      <c r="B27" s="49">
        <v>202</v>
      </c>
      <c r="C27" s="33">
        <v>1</v>
      </c>
      <c r="D27" s="49" t="s">
        <v>188</v>
      </c>
      <c r="E27" s="33" t="s">
        <v>38</v>
      </c>
      <c r="F27" s="35" t="s">
        <v>146</v>
      </c>
      <c r="G27" s="35" t="s">
        <v>185</v>
      </c>
      <c r="H27" s="35" t="s">
        <v>186</v>
      </c>
      <c r="J27" s="50"/>
      <c r="K27" s="50" t="s">
        <v>187</v>
      </c>
      <c r="L27" s="51" t="str">
        <f>_xlfn.DISPIMG("ID_F09BB24B5AA043D6A684061B2FDC4FC7",1)</f>
        <v>=DISPIMG("ID_F09BB24B5AA043D6A684061B2FDC4FC7",1)</v>
      </c>
    </row>
    <row r="28" ht="16.7" spans="1:12">
      <c r="A28" s="33">
        <v>1</v>
      </c>
      <c r="B28" s="49">
        <v>203</v>
      </c>
      <c r="C28" s="33">
        <v>1</v>
      </c>
      <c r="D28" s="49" t="s">
        <v>189</v>
      </c>
      <c r="E28" s="33" t="s">
        <v>38</v>
      </c>
      <c r="F28" s="35" t="s">
        <v>146</v>
      </c>
      <c r="G28" s="35" t="s">
        <v>185</v>
      </c>
      <c r="H28" s="35" t="s">
        <v>186</v>
      </c>
      <c r="J28" s="50"/>
      <c r="K28" s="50" t="s">
        <v>187</v>
      </c>
      <c r="L28" s="51" t="str">
        <f>_xlfn.DISPIMG("ID_42EE0AF93B8E4A5B93C133F036C2EDF3",1)</f>
        <v>=DISPIMG("ID_42EE0AF93B8E4A5B93C133F036C2EDF3",1)</v>
      </c>
    </row>
    <row r="29" ht="61.4" spans="1:12">
      <c r="A29" s="33">
        <v>1</v>
      </c>
      <c r="B29" s="49">
        <v>450501</v>
      </c>
      <c r="C29" s="33">
        <v>1</v>
      </c>
      <c r="D29" s="49" t="s">
        <v>190</v>
      </c>
      <c r="E29" s="33" t="s">
        <v>38</v>
      </c>
      <c r="F29" s="35" t="s">
        <v>123</v>
      </c>
      <c r="G29" s="35">
        <v>1</v>
      </c>
      <c r="H29" s="35" t="s">
        <v>64</v>
      </c>
      <c r="J29" s="50"/>
      <c r="K29" s="50" t="s">
        <v>163</v>
      </c>
      <c r="L29" s="51" t="str">
        <f>_xlfn.DISPIMG("ID_A4461C8310624320BF13983C26F8BCE0",1)</f>
        <v>=DISPIMG("ID_A4461C8310624320BF13983C26F8BCE0",1)</v>
      </c>
    </row>
    <row r="30" ht="14.25" spans="1:12">
      <c r="A30" s="33"/>
      <c r="B30" s="49"/>
      <c r="C30" s="33"/>
      <c r="D30" s="49"/>
      <c r="E30" s="33"/>
      <c r="F30" s="35"/>
      <c r="G30" s="35"/>
      <c r="H30" s="35"/>
      <c r="J30" s="50"/>
      <c r="K30" s="50"/>
      <c r="L30" s="51"/>
    </row>
    <row r="31" ht="14.25" spans="1:12">
      <c r="A31" s="33"/>
      <c r="B31" s="49"/>
      <c r="C31" s="33"/>
      <c r="D31" s="49"/>
      <c r="E31" s="33"/>
      <c r="F31" s="35"/>
      <c r="G31" s="35"/>
      <c r="H31" s="35"/>
      <c r="J31" s="50"/>
      <c r="K31" s="50"/>
      <c r="L31" s="51"/>
    </row>
    <row r="32" ht="14.25" spans="1:12">
      <c r="A32" s="33"/>
      <c r="B32" s="49"/>
      <c r="C32" s="33"/>
      <c r="D32" s="49"/>
      <c r="E32" s="33"/>
      <c r="F32" s="35"/>
      <c r="G32" s="35"/>
      <c r="H32" s="35"/>
      <c r="J32" s="50"/>
      <c r="K32" s="50"/>
      <c r="L32" s="51"/>
    </row>
    <row r="33" ht="62.25" spans="1:12">
      <c r="A33" s="33">
        <v>1</v>
      </c>
      <c r="B33" s="49">
        <v>100301</v>
      </c>
      <c r="C33" s="33">
        <v>1</v>
      </c>
      <c r="D33" s="49" t="s">
        <v>191</v>
      </c>
      <c r="E33" s="33" t="s">
        <v>38</v>
      </c>
      <c r="F33" s="35" t="s">
        <v>123</v>
      </c>
      <c r="G33" s="35">
        <v>1</v>
      </c>
      <c r="H33" s="35" t="s">
        <v>64</v>
      </c>
      <c r="J33" s="50"/>
      <c r="K33" s="50" t="s">
        <v>163</v>
      </c>
      <c r="L33" s="51" t="str">
        <f>_xlfn.DISPIMG("ID_28E1E9AB59E24BEEBD82B4C905FAA529",1)</f>
        <v>=DISPIMG("ID_28E1E9AB59E24BEEBD82B4C905FAA529",1)</v>
      </c>
    </row>
    <row r="34" ht="62.25" spans="1:12">
      <c r="A34" s="33">
        <v>1</v>
      </c>
      <c r="B34" s="49">
        <v>100302</v>
      </c>
      <c r="C34" s="33">
        <v>1</v>
      </c>
      <c r="D34" s="49" t="s">
        <v>191</v>
      </c>
      <c r="E34" s="33" t="s">
        <v>38</v>
      </c>
      <c r="F34" s="35" t="s">
        <v>123</v>
      </c>
      <c r="G34" s="35">
        <v>1</v>
      </c>
      <c r="H34" s="35" t="s">
        <v>64</v>
      </c>
      <c r="J34" s="50"/>
      <c r="K34" s="50" t="s">
        <v>163</v>
      </c>
      <c r="L34" s="51" t="str">
        <f>_xlfn.DISPIMG("ID_9076BCFFE8B743E291388702EBA3E965",1)</f>
        <v>=DISPIMG("ID_9076BCFFE8B743E291388702EBA3E965",1)</v>
      </c>
    </row>
    <row r="35" ht="62.25" spans="1:12">
      <c r="A35" s="33">
        <v>1</v>
      </c>
      <c r="B35" s="49">
        <v>100303</v>
      </c>
      <c r="C35" s="33">
        <v>1</v>
      </c>
      <c r="D35" s="49" t="s">
        <v>191</v>
      </c>
      <c r="E35" s="33" t="s">
        <v>38</v>
      </c>
      <c r="F35" s="35" t="s">
        <v>123</v>
      </c>
      <c r="G35" s="35">
        <v>1</v>
      </c>
      <c r="H35" s="35" t="s">
        <v>64</v>
      </c>
      <c r="J35" s="50"/>
      <c r="K35" s="50" t="s">
        <v>163</v>
      </c>
      <c r="L35" s="51" t="str">
        <f>_xlfn.DISPIMG("ID_BAC5617E697146C89739856C7EA2DE9C",1)</f>
        <v>=DISPIMG("ID_BAC5617E697146C89739856C7EA2DE9C",1)</v>
      </c>
    </row>
    <row r="36" ht="62.25" spans="1:12">
      <c r="A36" s="33">
        <v>1</v>
      </c>
      <c r="B36" s="49">
        <v>100501</v>
      </c>
      <c r="C36" s="33">
        <v>1</v>
      </c>
      <c r="D36" s="49" t="s">
        <v>192</v>
      </c>
      <c r="E36" s="33" t="s">
        <v>38</v>
      </c>
      <c r="F36" s="35" t="s">
        <v>123</v>
      </c>
      <c r="G36" s="35">
        <v>1</v>
      </c>
      <c r="H36" s="35" t="s">
        <v>64</v>
      </c>
      <c r="J36" s="50"/>
      <c r="K36" s="50" t="s">
        <v>163</v>
      </c>
      <c r="L36" s="51" t="str">
        <f>_xlfn.DISPIMG("ID_28E1E9AB59E24BEEBD82B4C905FAA529",1)</f>
        <v>=DISPIMG("ID_28E1E9AB59E24BEEBD82B4C905FAA529",1)</v>
      </c>
    </row>
    <row r="37" ht="62.25" spans="1:12">
      <c r="A37" s="33">
        <v>1</v>
      </c>
      <c r="B37" s="49">
        <v>100502</v>
      </c>
      <c r="C37" s="33">
        <v>1</v>
      </c>
      <c r="D37" s="49" t="s">
        <v>193</v>
      </c>
      <c r="E37" s="33" t="s">
        <v>38</v>
      </c>
      <c r="F37" s="35" t="s">
        <v>123</v>
      </c>
      <c r="G37" s="35">
        <v>1</v>
      </c>
      <c r="H37" s="35" t="s">
        <v>64</v>
      </c>
      <c r="J37" s="50"/>
      <c r="K37" s="50" t="s">
        <v>163</v>
      </c>
      <c r="L37" s="51" t="str">
        <f>_xlfn.DISPIMG("ID_9076BCFFE8B743E291388702EBA3E965",1)</f>
        <v>=DISPIMG("ID_9076BCFFE8B743E291388702EBA3E965",1)</v>
      </c>
    </row>
    <row r="38" ht="62.25" spans="1:12">
      <c r="A38" s="33">
        <v>1</v>
      </c>
      <c r="B38" s="49">
        <v>100503</v>
      </c>
      <c r="C38" s="33">
        <v>1</v>
      </c>
      <c r="D38" s="49" t="s">
        <v>194</v>
      </c>
      <c r="E38" s="33" t="s">
        <v>38</v>
      </c>
      <c r="F38" s="35" t="s">
        <v>123</v>
      </c>
      <c r="G38" s="35">
        <v>1</v>
      </c>
      <c r="H38" s="35" t="s">
        <v>64</v>
      </c>
      <c r="J38" s="50"/>
      <c r="K38" s="50" t="s">
        <v>163</v>
      </c>
      <c r="L38" s="51" t="str">
        <f>_xlfn.DISPIMG("ID_BAC5617E697146C89739856C7EA2DE9C",1)</f>
        <v>=DISPIMG("ID_BAC5617E697146C89739856C7EA2DE9C",1)</v>
      </c>
    </row>
    <row r="39" ht="62.25" spans="1:12">
      <c r="A39" s="33" t="s">
        <v>65</v>
      </c>
      <c r="B39" s="49">
        <v>101001</v>
      </c>
      <c r="C39" s="33">
        <v>1</v>
      </c>
      <c r="D39" s="49" t="s">
        <v>195</v>
      </c>
      <c r="E39" s="33" t="s">
        <v>38</v>
      </c>
      <c r="F39" s="35" t="s">
        <v>123</v>
      </c>
      <c r="G39" s="35">
        <v>1</v>
      </c>
      <c r="H39" s="35" t="s">
        <v>64</v>
      </c>
      <c r="J39" s="50"/>
      <c r="K39" s="50" t="s">
        <v>163</v>
      </c>
      <c r="L39" s="51" t="str">
        <f>_xlfn.DISPIMG("ID_28E1E9AB59E24BEEBD82B4C905FAA529",1)</f>
        <v>=DISPIMG("ID_28E1E9AB59E24BEEBD82B4C905FAA529",1)</v>
      </c>
    </row>
    <row r="40" ht="62.25" spans="1:12">
      <c r="A40" s="33" t="s">
        <v>65</v>
      </c>
      <c r="B40" s="49">
        <v>101002</v>
      </c>
      <c r="C40" s="33">
        <v>1</v>
      </c>
      <c r="D40" s="49" t="s">
        <v>196</v>
      </c>
      <c r="E40" s="33" t="s">
        <v>38</v>
      </c>
      <c r="F40" s="35" t="s">
        <v>123</v>
      </c>
      <c r="G40" s="35">
        <v>1</v>
      </c>
      <c r="H40" s="35" t="s">
        <v>64</v>
      </c>
      <c r="J40" s="50"/>
      <c r="K40" s="50" t="s">
        <v>163</v>
      </c>
      <c r="L40" s="51" t="str">
        <f>_xlfn.DISPIMG("ID_9076BCFFE8B743E291388702EBA3E965",1)</f>
        <v>=DISPIMG("ID_9076BCFFE8B743E291388702EBA3E965",1)</v>
      </c>
    </row>
    <row r="41" ht="62.25" spans="1:12">
      <c r="A41" s="33" t="s">
        <v>65</v>
      </c>
      <c r="B41" s="49">
        <v>101003</v>
      </c>
      <c r="C41" s="33">
        <v>1</v>
      </c>
      <c r="D41" s="49" t="s">
        <v>197</v>
      </c>
      <c r="E41" s="33" t="s">
        <v>38</v>
      </c>
      <c r="F41" s="35" t="s">
        <v>123</v>
      </c>
      <c r="G41" s="35">
        <v>1</v>
      </c>
      <c r="H41" s="35" t="s">
        <v>64</v>
      </c>
      <c r="J41" s="50"/>
      <c r="K41" s="50" t="s">
        <v>163</v>
      </c>
      <c r="L41" s="51" t="str">
        <f>_xlfn.DISPIMG("ID_BAC5617E697146C89739856C7EA2DE9C",1)</f>
        <v>=DISPIMG("ID_BAC5617E697146C89739856C7EA2DE9C",1)</v>
      </c>
    </row>
    <row r="42" ht="62.25" spans="1:12">
      <c r="A42" s="33">
        <v>1</v>
      </c>
      <c r="B42" s="49">
        <v>100901</v>
      </c>
      <c r="C42" s="33">
        <v>1</v>
      </c>
      <c r="D42" s="49" t="s">
        <v>198</v>
      </c>
      <c r="E42" s="33" t="s">
        <v>38</v>
      </c>
      <c r="F42" s="35" t="s">
        <v>123</v>
      </c>
      <c r="G42" s="35">
        <v>1</v>
      </c>
      <c r="H42" s="35" t="s">
        <v>64</v>
      </c>
      <c r="J42" s="50"/>
      <c r="K42" s="50" t="s">
        <v>163</v>
      </c>
      <c r="L42" s="51" t="str">
        <f>_xlfn.DISPIMG("ID_28E1E9AB59E24BEEBD82B4C905FAA529",1)</f>
        <v>=DISPIMG("ID_28E1E9AB59E24BEEBD82B4C905FAA529",1)</v>
      </c>
    </row>
    <row r="43" ht="62.25" spans="1:12">
      <c r="A43" s="33">
        <v>1</v>
      </c>
      <c r="B43" s="49">
        <v>100902</v>
      </c>
      <c r="C43" s="33">
        <v>1</v>
      </c>
      <c r="D43" s="49" t="s">
        <v>199</v>
      </c>
      <c r="E43" s="33" t="s">
        <v>38</v>
      </c>
      <c r="F43" s="35" t="s">
        <v>123</v>
      </c>
      <c r="G43" s="35">
        <v>1</v>
      </c>
      <c r="H43" s="35" t="s">
        <v>64</v>
      </c>
      <c r="J43" s="50"/>
      <c r="K43" s="50" t="s">
        <v>163</v>
      </c>
      <c r="L43" s="51" t="str">
        <f>_xlfn.DISPIMG("ID_9076BCFFE8B743E291388702EBA3E965",1)</f>
        <v>=DISPIMG("ID_9076BCFFE8B743E291388702EBA3E965",1)</v>
      </c>
    </row>
    <row r="44" ht="62.25" spans="1:12">
      <c r="A44" s="33">
        <v>1</v>
      </c>
      <c r="B44" s="49">
        <v>100903</v>
      </c>
      <c r="C44" s="33">
        <v>1</v>
      </c>
      <c r="D44" s="49" t="s">
        <v>200</v>
      </c>
      <c r="E44" s="33" t="s">
        <v>38</v>
      </c>
      <c r="F44" s="35" t="s">
        <v>123</v>
      </c>
      <c r="G44" s="35">
        <v>1</v>
      </c>
      <c r="H44" s="35" t="s">
        <v>64</v>
      </c>
      <c r="J44" s="50"/>
      <c r="K44" s="50" t="s">
        <v>163</v>
      </c>
      <c r="L44" s="51" t="str">
        <f>_xlfn.DISPIMG("ID_BAC5617E697146C89739856C7EA2DE9C",1)</f>
        <v>=DISPIMG("ID_BAC5617E697146C89739856C7EA2DE9C",1)</v>
      </c>
    </row>
    <row r="45" ht="62.25" spans="1:12">
      <c r="A45" s="33">
        <v>1</v>
      </c>
      <c r="B45" s="49">
        <v>101101</v>
      </c>
      <c r="C45" s="33">
        <v>1</v>
      </c>
      <c r="D45" s="49" t="s">
        <v>201</v>
      </c>
      <c r="E45" s="33" t="s">
        <v>38</v>
      </c>
      <c r="F45" s="35" t="s">
        <v>123</v>
      </c>
      <c r="G45" s="35">
        <v>1</v>
      </c>
      <c r="H45" s="35" t="s">
        <v>64</v>
      </c>
      <c r="J45" s="50"/>
      <c r="K45" s="50" t="s">
        <v>163</v>
      </c>
      <c r="L45" s="51" t="str">
        <f>_xlfn.DISPIMG("ID_28E1E9AB59E24BEEBD82B4C905FAA529",1)</f>
        <v>=DISPIMG("ID_28E1E9AB59E24BEEBD82B4C905FAA529",1)</v>
      </c>
    </row>
    <row r="46" ht="62.25" spans="1:12">
      <c r="A46" s="33">
        <v>1</v>
      </c>
      <c r="B46" s="49">
        <v>101102</v>
      </c>
      <c r="C46" s="33">
        <v>1</v>
      </c>
      <c r="D46" s="49" t="s">
        <v>202</v>
      </c>
      <c r="E46" s="33" t="s">
        <v>38</v>
      </c>
      <c r="F46" s="35" t="s">
        <v>123</v>
      </c>
      <c r="G46" s="35">
        <v>1</v>
      </c>
      <c r="H46" s="35" t="s">
        <v>64</v>
      </c>
      <c r="J46" s="50"/>
      <c r="K46" s="50" t="s">
        <v>163</v>
      </c>
      <c r="L46" s="51" t="str">
        <f>_xlfn.DISPIMG("ID_9076BCFFE8B743E291388702EBA3E965",1)</f>
        <v>=DISPIMG("ID_9076BCFFE8B743E291388702EBA3E965",1)</v>
      </c>
    </row>
    <row r="47" ht="62.25" spans="1:12">
      <c r="A47" s="33">
        <v>1</v>
      </c>
      <c r="B47" s="49">
        <v>101103</v>
      </c>
      <c r="C47" s="33">
        <v>1</v>
      </c>
      <c r="D47" s="49" t="s">
        <v>203</v>
      </c>
      <c r="E47" s="33" t="s">
        <v>38</v>
      </c>
      <c r="F47" s="35" t="s">
        <v>123</v>
      </c>
      <c r="G47" s="35">
        <v>1</v>
      </c>
      <c r="H47" s="35" t="s">
        <v>64</v>
      </c>
      <c r="J47" s="50"/>
      <c r="K47" s="50" t="s">
        <v>163</v>
      </c>
      <c r="L47" s="51" t="str">
        <f>_xlfn.DISPIMG("ID_BAC5617E697146C89739856C7EA2DE9C",1)</f>
        <v>=DISPIMG("ID_BAC5617E697146C89739856C7EA2DE9C",1)</v>
      </c>
    </row>
    <row r="48" ht="62.25" spans="1:12">
      <c r="A48" s="33">
        <v>1</v>
      </c>
      <c r="B48" s="53">
        <v>100101</v>
      </c>
      <c r="C48" s="33">
        <v>1</v>
      </c>
      <c r="D48" s="53" t="s">
        <v>204</v>
      </c>
      <c r="E48" s="33" t="s">
        <v>38</v>
      </c>
      <c r="F48" s="35" t="s">
        <v>123</v>
      </c>
      <c r="G48" s="35">
        <v>1</v>
      </c>
      <c r="H48" s="35" t="s">
        <v>64</v>
      </c>
      <c r="J48" s="50"/>
      <c r="K48" s="50" t="s">
        <v>163</v>
      </c>
      <c r="L48" s="51" t="str">
        <f>_xlfn.DISPIMG("ID_28E1E9AB59E24BEEBD82B4C905FAA529",1)</f>
        <v>=DISPIMG("ID_28E1E9AB59E24BEEBD82B4C905FAA529",1)</v>
      </c>
    </row>
    <row r="49" ht="62.25" spans="1:12">
      <c r="A49" s="33">
        <v>1</v>
      </c>
      <c r="B49" s="53" t="s">
        <v>205</v>
      </c>
      <c r="C49" s="33">
        <v>1</v>
      </c>
      <c r="D49" s="53" t="s">
        <v>206</v>
      </c>
      <c r="E49" s="33" t="s">
        <v>38</v>
      </c>
      <c r="F49" s="35" t="s">
        <v>123</v>
      </c>
      <c r="G49" s="35">
        <v>1</v>
      </c>
      <c r="H49" s="35" t="s">
        <v>64</v>
      </c>
      <c r="J49" s="50"/>
      <c r="K49" s="50" t="s">
        <v>163</v>
      </c>
      <c r="L49" s="51" t="str">
        <f>_xlfn.DISPIMG("ID_9076BCFFE8B743E291388702EBA3E965",1)</f>
        <v>=DISPIMG("ID_9076BCFFE8B743E291388702EBA3E965",1)</v>
      </c>
    </row>
    <row r="50" ht="62.25" spans="1:12">
      <c r="A50" s="33">
        <v>1</v>
      </c>
      <c r="B50" s="53" t="s">
        <v>207</v>
      </c>
      <c r="C50" s="33">
        <v>1</v>
      </c>
      <c r="D50" s="53" t="s">
        <v>208</v>
      </c>
      <c r="E50" s="33" t="s">
        <v>38</v>
      </c>
      <c r="F50" s="35" t="s">
        <v>123</v>
      </c>
      <c r="G50" s="35">
        <v>1</v>
      </c>
      <c r="H50" s="35" t="s">
        <v>64</v>
      </c>
      <c r="J50" s="50"/>
      <c r="K50" s="50" t="s">
        <v>163</v>
      </c>
      <c r="L50" s="51" t="str">
        <f>_xlfn.DISPIMG("ID_BAC5617E697146C89739856C7EA2DE9C",1)</f>
        <v>=DISPIMG("ID_BAC5617E697146C89739856C7EA2DE9C",1)</v>
      </c>
    </row>
    <row r="51" ht="62.25" spans="1:12">
      <c r="A51" s="33">
        <v>1</v>
      </c>
      <c r="B51" s="53">
        <v>100201</v>
      </c>
      <c r="C51" s="33">
        <v>1</v>
      </c>
      <c r="D51" s="53" t="s">
        <v>209</v>
      </c>
      <c r="E51" s="33" t="s">
        <v>38</v>
      </c>
      <c r="F51" s="35" t="s">
        <v>123</v>
      </c>
      <c r="G51" s="35">
        <v>1</v>
      </c>
      <c r="H51" s="35" t="s">
        <v>64</v>
      </c>
      <c r="J51" s="50"/>
      <c r="K51" s="50" t="s">
        <v>163</v>
      </c>
      <c r="L51" s="51" t="str">
        <f>_xlfn.DISPIMG("ID_28E1E9AB59E24BEEBD82B4C905FAA529",1)</f>
        <v>=DISPIMG("ID_28E1E9AB59E24BEEBD82B4C905FAA529",1)</v>
      </c>
    </row>
    <row r="52" ht="62.25" spans="1:12">
      <c r="A52" s="33">
        <v>1</v>
      </c>
      <c r="B52" s="53" t="s">
        <v>210</v>
      </c>
      <c r="C52" s="33">
        <v>1</v>
      </c>
      <c r="D52" s="53" t="s">
        <v>211</v>
      </c>
      <c r="E52" s="33" t="s">
        <v>38</v>
      </c>
      <c r="F52" s="35" t="s">
        <v>123</v>
      </c>
      <c r="G52" s="35">
        <v>1</v>
      </c>
      <c r="H52" s="35" t="s">
        <v>64</v>
      </c>
      <c r="J52" s="50"/>
      <c r="K52" s="50" t="s">
        <v>163</v>
      </c>
      <c r="L52" s="51" t="str">
        <f>_xlfn.DISPIMG("ID_9076BCFFE8B743E291388702EBA3E965",1)</f>
        <v>=DISPIMG("ID_9076BCFFE8B743E291388702EBA3E965",1)</v>
      </c>
    </row>
    <row r="53" ht="62.25" spans="1:12">
      <c r="A53" s="33">
        <v>1</v>
      </c>
      <c r="B53" s="53" t="s">
        <v>212</v>
      </c>
      <c r="C53" s="33">
        <v>1</v>
      </c>
      <c r="D53" s="53" t="s">
        <v>213</v>
      </c>
      <c r="E53" s="33" t="s">
        <v>38</v>
      </c>
      <c r="F53" s="35" t="s">
        <v>123</v>
      </c>
      <c r="G53" s="35">
        <v>1</v>
      </c>
      <c r="H53" s="35" t="s">
        <v>64</v>
      </c>
      <c r="J53" s="50"/>
      <c r="K53" s="50" t="s">
        <v>163</v>
      </c>
      <c r="L53" s="51" t="str">
        <f>_xlfn.DISPIMG("ID_BAC5617E697146C89739856C7EA2DE9C",1)</f>
        <v>=DISPIMG("ID_BAC5617E697146C89739856C7EA2DE9C",1)</v>
      </c>
    </row>
    <row r="54" ht="92.6" spans="1:12">
      <c r="A54" s="33">
        <v>1</v>
      </c>
      <c r="B54" s="44" t="s">
        <v>214</v>
      </c>
      <c r="C54" s="33">
        <v>1</v>
      </c>
      <c r="D54" s="49" t="s">
        <v>215</v>
      </c>
      <c r="E54" s="33" t="s">
        <v>38</v>
      </c>
      <c r="F54" s="35" t="s">
        <v>146</v>
      </c>
      <c r="G54" s="35">
        <v>1</v>
      </c>
      <c r="H54" s="35" t="s">
        <v>64</v>
      </c>
      <c r="J54" s="50"/>
      <c r="K54" s="50" t="s">
        <v>163</v>
      </c>
      <c r="L54" s="51" t="str">
        <f>_xlfn.DISPIMG("ID_D4201C2CC2824EDF9EEBDADAA8AEA548",1)</f>
        <v>=DISPIMG("ID_D4201C2CC2824EDF9EEBDADAA8AEA548",1)</v>
      </c>
    </row>
    <row r="55" ht="92.6" spans="1:12">
      <c r="A55" s="33">
        <v>1</v>
      </c>
      <c r="B55" s="44" t="s">
        <v>216</v>
      </c>
      <c r="C55" s="33">
        <v>1</v>
      </c>
      <c r="D55" s="49" t="s">
        <v>217</v>
      </c>
      <c r="E55" s="33" t="s">
        <v>38</v>
      </c>
      <c r="F55" s="35" t="s">
        <v>146</v>
      </c>
      <c r="G55" s="35">
        <v>1</v>
      </c>
      <c r="H55" s="35" t="s">
        <v>64</v>
      </c>
      <c r="J55" s="50"/>
      <c r="K55" s="50" t="s">
        <v>163</v>
      </c>
      <c r="L55" s="51" t="str">
        <f>_xlfn.DISPIMG("ID_CF7A9D4164564103916D72E245DF4AC9",1)</f>
        <v>=DISPIMG("ID_CF7A9D4164564103916D72E245DF4AC9",1)</v>
      </c>
    </row>
    <row r="56" ht="92.6" spans="1:12">
      <c r="A56" s="33">
        <v>1</v>
      </c>
      <c r="B56" s="44" t="s">
        <v>218</v>
      </c>
      <c r="C56" s="33">
        <v>1</v>
      </c>
      <c r="D56" s="49" t="s">
        <v>219</v>
      </c>
      <c r="E56" s="33" t="s">
        <v>38</v>
      </c>
      <c r="F56" s="35" t="s">
        <v>146</v>
      </c>
      <c r="G56" s="35">
        <v>1</v>
      </c>
      <c r="H56" s="35" t="s">
        <v>64</v>
      </c>
      <c r="J56" s="50"/>
      <c r="K56" s="50" t="s">
        <v>163</v>
      </c>
      <c r="L56" s="51" t="str">
        <f>_xlfn.DISPIMG("ID_23762A84435E47B49DCBCBEDF0F495B1",1)</f>
        <v>=DISPIMG("ID_23762A84435E47B49DCBCBEDF0F495B1",1)</v>
      </c>
    </row>
    <row r="57" ht="117.5" spans="1:12">
      <c r="A57" s="33" t="s">
        <v>65</v>
      </c>
      <c r="B57" s="44" t="s">
        <v>220</v>
      </c>
      <c r="C57" s="33" t="s">
        <v>65</v>
      </c>
      <c r="D57" s="49" t="s">
        <v>221</v>
      </c>
      <c r="E57" s="33" t="s">
        <v>38</v>
      </c>
      <c r="F57" s="35" t="s">
        <v>143</v>
      </c>
      <c r="G57" s="35" t="s">
        <v>65</v>
      </c>
      <c r="H57" s="35" t="s">
        <v>64</v>
      </c>
      <c r="J57" s="50"/>
      <c r="K57" s="50" t="s">
        <v>222</v>
      </c>
      <c r="L57" s="51" t="str">
        <f t="shared" ref="L57:L61" si="2">_xlfn.DISPIMG("ID_3281FD42D1254158979FD2F1FEE8CD8C",1)</f>
        <v>=DISPIMG("ID_3281FD42D1254158979FD2F1FEE8CD8C",1)</v>
      </c>
    </row>
    <row r="58" ht="117.5" spans="1:12">
      <c r="A58" s="33" t="s">
        <v>65</v>
      </c>
      <c r="B58" s="44" t="s">
        <v>223</v>
      </c>
      <c r="C58" s="33" t="s">
        <v>65</v>
      </c>
      <c r="D58" s="49" t="s">
        <v>224</v>
      </c>
      <c r="E58" s="33" t="s">
        <v>38</v>
      </c>
      <c r="F58" s="35" t="s">
        <v>143</v>
      </c>
      <c r="G58" s="35" t="s">
        <v>65</v>
      </c>
      <c r="H58" s="35" t="s">
        <v>64</v>
      </c>
      <c r="J58" s="50"/>
      <c r="K58" s="50" t="s">
        <v>222</v>
      </c>
      <c r="L58" s="51" t="str">
        <f t="shared" si="2"/>
        <v>=DISPIMG("ID_3281FD42D1254158979FD2F1FEE8CD8C",1)</v>
      </c>
    </row>
    <row r="59" ht="117.5" spans="1:12">
      <c r="A59" s="33" t="s">
        <v>65</v>
      </c>
      <c r="B59" s="54">
        <v>101801</v>
      </c>
      <c r="C59" s="33" t="s">
        <v>65</v>
      </c>
      <c r="D59" s="44" t="s">
        <v>225</v>
      </c>
      <c r="E59" s="33" t="s">
        <v>38</v>
      </c>
      <c r="F59" s="35" t="s">
        <v>143</v>
      </c>
      <c r="G59" s="35" t="s">
        <v>65</v>
      </c>
      <c r="H59" s="35" t="s">
        <v>64</v>
      </c>
      <c r="J59" s="50"/>
      <c r="K59" s="50" t="s">
        <v>222</v>
      </c>
      <c r="L59" s="51" t="str">
        <f t="shared" si="2"/>
        <v>=DISPIMG("ID_3281FD42D1254158979FD2F1FEE8CD8C",1)</v>
      </c>
    </row>
    <row r="60" ht="117.5" spans="1:12">
      <c r="A60" s="33" t="s">
        <v>65</v>
      </c>
      <c r="B60" s="44" t="s">
        <v>226</v>
      </c>
      <c r="C60" s="33" t="s">
        <v>65</v>
      </c>
      <c r="D60" s="34" t="s">
        <v>227</v>
      </c>
      <c r="E60" s="33" t="s">
        <v>38</v>
      </c>
      <c r="F60" s="35" t="s">
        <v>143</v>
      </c>
      <c r="G60" s="35" t="s">
        <v>65</v>
      </c>
      <c r="H60" s="35" t="s">
        <v>64</v>
      </c>
      <c r="J60" s="50"/>
      <c r="K60" s="50" t="s">
        <v>222</v>
      </c>
      <c r="L60" s="51" t="str">
        <f t="shared" si="2"/>
        <v>=DISPIMG("ID_3281FD42D1254158979FD2F1FEE8CD8C",1)</v>
      </c>
    </row>
    <row r="61" ht="117.5" spans="1:12">
      <c r="A61" s="33" t="s">
        <v>65</v>
      </c>
      <c r="B61" s="34">
        <v>102101</v>
      </c>
      <c r="C61" s="34" t="s">
        <v>65</v>
      </c>
      <c r="D61" s="34" t="s">
        <v>228</v>
      </c>
      <c r="E61" s="33" t="s">
        <v>38</v>
      </c>
      <c r="F61" s="35" t="s">
        <v>143</v>
      </c>
      <c r="G61" s="35" t="s">
        <v>65</v>
      </c>
      <c r="H61" s="35" t="s">
        <v>64</v>
      </c>
      <c r="J61" s="50"/>
      <c r="K61" s="50" t="s">
        <v>222</v>
      </c>
      <c r="L61" s="51" t="str">
        <f t="shared" si="2"/>
        <v>=DISPIMG("ID_3281FD42D1254158979FD2F1FEE8CD8C",1)</v>
      </c>
    </row>
    <row r="62" ht="31" customHeight="1" spans="1:12">
      <c r="A62" s="54">
        <v>0</v>
      </c>
      <c r="B62" s="49">
        <v>400001</v>
      </c>
      <c r="C62" s="55">
        <v>1</v>
      </c>
      <c r="D62" s="49" t="s">
        <v>142</v>
      </c>
      <c r="E62" s="56" t="s">
        <v>38</v>
      </c>
      <c r="F62" s="57" t="s">
        <v>143</v>
      </c>
      <c r="G62" s="58">
        <v>16</v>
      </c>
      <c r="H62" s="58" t="s">
        <v>229</v>
      </c>
      <c r="I62" s="54"/>
      <c r="J62" s="50"/>
      <c r="K62" s="50" t="s">
        <v>187</v>
      </c>
      <c r="L62" s="54" t="str">
        <f>_xlfn.DISPIMG("ID_73F4DE47EEE844179263ED728146A1C2",1)</f>
        <v>=DISPIMG("ID_73F4DE47EEE844179263ED728146A1C2",1)</v>
      </c>
    </row>
    <row r="63" ht="14.25" spans="1:12">
      <c r="A63" s="59"/>
      <c r="B63" s="60"/>
      <c r="C63" s="59"/>
      <c r="D63" s="60"/>
      <c r="E63" s="61"/>
      <c r="F63" s="62"/>
      <c r="G63" s="59"/>
      <c r="H63" s="59"/>
      <c r="I63" s="59"/>
      <c r="J63" s="59"/>
      <c r="K63" s="59"/>
      <c r="L63" s="59"/>
    </row>
    <row r="64" ht="25.15" spans="1:12">
      <c r="A64" s="33">
        <v>1</v>
      </c>
      <c r="B64" s="53">
        <v>201101</v>
      </c>
      <c r="C64" s="33">
        <v>1</v>
      </c>
      <c r="D64" s="44" t="s">
        <v>230</v>
      </c>
      <c r="E64" s="56" t="s">
        <v>38</v>
      </c>
      <c r="F64" s="57" t="s">
        <v>129</v>
      </c>
      <c r="G64" s="35">
        <v>1</v>
      </c>
      <c r="H64" s="44" t="s">
        <v>231</v>
      </c>
      <c r="K64" s="44" t="s">
        <v>65</v>
      </c>
      <c r="L64" s="51" t="str">
        <f>_xlfn.DISPIMG("ID_D11D2B3044C94281AB9999F805AB95C8",1)</f>
        <v>=DISPIMG("ID_D11D2B3044C94281AB9999F805AB95C8",1)</v>
      </c>
    </row>
    <row r="65" ht="25.15" spans="1:12">
      <c r="A65" s="33">
        <v>1</v>
      </c>
      <c r="B65" s="53">
        <v>201101</v>
      </c>
      <c r="C65" s="44" t="s">
        <v>108</v>
      </c>
      <c r="D65" s="44" t="s">
        <v>230</v>
      </c>
      <c r="E65" s="56" t="s">
        <v>38</v>
      </c>
      <c r="F65" s="57" t="s">
        <v>129</v>
      </c>
      <c r="G65" s="44" t="s">
        <v>163</v>
      </c>
      <c r="H65" s="44" t="s">
        <v>231</v>
      </c>
      <c r="J65" s="44" t="s">
        <v>232</v>
      </c>
      <c r="K65" s="44" t="s">
        <v>81</v>
      </c>
      <c r="L65" s="51" t="str">
        <f>_xlfn.DISPIMG("ID_982778376AB4490B87694418098DBDE2",1)</f>
        <v>=DISPIMG("ID_982778376AB4490B87694418098DBDE2",1)</v>
      </c>
    </row>
    <row r="66" ht="25.15" spans="1:12">
      <c r="A66" s="33">
        <v>1</v>
      </c>
      <c r="B66" s="53">
        <v>201102</v>
      </c>
      <c r="C66" s="33">
        <v>1</v>
      </c>
      <c r="D66" s="44" t="s">
        <v>230</v>
      </c>
      <c r="E66" s="56" t="s">
        <v>38</v>
      </c>
      <c r="F66" s="57" t="s">
        <v>129</v>
      </c>
      <c r="G66" s="35">
        <v>1</v>
      </c>
      <c r="H66" s="44" t="s">
        <v>231</v>
      </c>
      <c r="K66" s="44" t="s">
        <v>65</v>
      </c>
      <c r="L66" s="51" t="str">
        <f>_xlfn.DISPIMG("ID_B7C3E42B95B142C1B360C73D5910D5F2",1)</f>
        <v>=DISPIMG("ID_B7C3E42B95B142C1B360C73D5910D5F2",1)</v>
      </c>
    </row>
    <row r="67" ht="25.15" spans="1:12">
      <c r="A67" s="33">
        <v>1</v>
      </c>
      <c r="B67" s="53">
        <v>201102</v>
      </c>
      <c r="C67" s="44" t="s">
        <v>108</v>
      </c>
      <c r="D67" s="44" t="s">
        <v>230</v>
      </c>
      <c r="E67" s="56" t="s">
        <v>38</v>
      </c>
      <c r="F67" s="57" t="s">
        <v>129</v>
      </c>
      <c r="G67" s="44" t="s">
        <v>163</v>
      </c>
      <c r="H67" s="44" t="s">
        <v>231</v>
      </c>
      <c r="J67" s="44" t="s">
        <v>232</v>
      </c>
      <c r="K67" s="44" t="s">
        <v>81</v>
      </c>
      <c r="L67" s="51" t="str">
        <f>_xlfn.DISPIMG("ID_4850B5F71105430AB39F7EA988F0983C",1)</f>
        <v>=DISPIMG("ID_4850B5F71105430AB39F7EA988F0983C",1)</v>
      </c>
    </row>
    <row r="68" ht="25.15" spans="1:12">
      <c r="A68" s="33">
        <v>1</v>
      </c>
      <c r="B68" s="53">
        <v>201103</v>
      </c>
      <c r="C68" s="33">
        <v>1</v>
      </c>
      <c r="D68" s="44" t="s">
        <v>230</v>
      </c>
      <c r="E68" s="56" t="s">
        <v>38</v>
      </c>
      <c r="F68" s="57" t="s">
        <v>129</v>
      </c>
      <c r="G68" s="35">
        <v>1</v>
      </c>
      <c r="H68" s="44" t="s">
        <v>231</v>
      </c>
      <c r="K68" s="44" t="s">
        <v>65</v>
      </c>
      <c r="L68" s="51" t="str">
        <f>_xlfn.DISPIMG("ID_F85E9283C1004E089C775E0CC260AD93",1)</f>
        <v>=DISPIMG("ID_F85E9283C1004E089C775E0CC260AD93",1)</v>
      </c>
    </row>
    <row r="69" ht="25.15" spans="1:12">
      <c r="A69" s="33">
        <v>1</v>
      </c>
      <c r="B69" s="53">
        <v>201103</v>
      </c>
      <c r="C69" s="44" t="s">
        <v>108</v>
      </c>
      <c r="D69" s="44" t="s">
        <v>230</v>
      </c>
      <c r="E69" s="56" t="s">
        <v>38</v>
      </c>
      <c r="F69" s="57" t="s">
        <v>129</v>
      </c>
      <c r="G69" s="44" t="s">
        <v>163</v>
      </c>
      <c r="H69" s="44" t="s">
        <v>231</v>
      </c>
      <c r="J69" s="44" t="s">
        <v>232</v>
      </c>
      <c r="K69" s="44" t="s">
        <v>81</v>
      </c>
      <c r="L69" s="51" t="str">
        <f>_xlfn.DISPIMG("ID_406DCE8A3A9041E582B331C4E8C3C4E5",1)</f>
        <v>=DISPIMG("ID_406DCE8A3A9041E582B331C4E8C3C4E5",1)</v>
      </c>
    </row>
    <row r="70" spans="1:12">
      <c r="A70" s="63"/>
      <c r="B70" s="63"/>
    </row>
    <row r="71" spans="1:12">
      <c r="A71" s="63"/>
    </row>
    <row r="72" spans="1:12">
      <c r="A72" s="63"/>
      <c r="B72" s="63"/>
    </row>
  </sheetData>
  <dataValidations count="1">
    <dataValidation type="list" allowBlank="1" showInputMessage="1" showErrorMessage="1" sqref="C4:K4 M4:N4">
      <formula1>数据类型!$B$2:$B$51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P117"/>
  <sheetViews>
    <sheetView tabSelected="1" topLeftCell="C1" workbookViewId="0">
      <pane ySplit="1" topLeftCell="A12" activePane="bottomLeft" state="frozen"/>
      <selection/>
      <selection pane="bottomLeft" activeCell="K16" sqref="K16"/>
    </sheetView>
  </sheetViews>
  <sheetFormatPr defaultColWidth="9" defaultRowHeight="64" customHeight="1"/>
  <cols>
    <col min="1" max="1" width="43.375" style="17" customWidth="1"/>
    <col min="2" max="4" width="20.5" style="17" customWidth="1"/>
    <col min="5" max="5" width="32.75" style="17" customWidth="1"/>
    <col min="6" max="6" width="11.75" style="17" customWidth="1"/>
    <col min="7" max="7" width="22" style="17" customWidth="1"/>
    <col min="8" max="8" width="13.75" style="17" customWidth="1"/>
    <col min="9" max="9" width="13" style="17" customWidth="1"/>
    <col min="10" max="10" width="34.25" style="17" customWidth="1"/>
    <col min="11" max="11" width="22.3916666666667" style="17" customWidth="1"/>
    <col min="12" max="12" width="47.625" style="17" customWidth="1"/>
    <col min="13" max="14" width="9" style="17"/>
    <col min="15" max="15" width="17.375" style="17" customWidth="1"/>
    <col min="16" max="16" width="18" style="17" customWidth="1"/>
    <col min="17" max="16384" width="9" style="17"/>
  </cols>
  <sheetData>
    <row r="1" ht="153" customHeight="1" spans="1:16">
      <c r="A1" s="3" t="s">
        <v>0</v>
      </c>
      <c r="B1" s="21" t="s">
        <v>233</v>
      </c>
      <c r="C1" s="22" t="s">
        <v>234</v>
      </c>
      <c r="D1" s="23" t="s">
        <v>3</v>
      </c>
      <c r="E1" s="3" t="s">
        <v>4</v>
      </c>
      <c r="F1" s="19" t="s">
        <v>5</v>
      </c>
      <c r="G1" s="19" t="s">
        <v>6</v>
      </c>
      <c r="H1" s="19" t="s">
        <v>235</v>
      </c>
      <c r="I1" s="19" t="s">
        <v>8</v>
      </c>
      <c r="J1" s="19" t="s">
        <v>236</v>
      </c>
      <c r="K1" s="19" t="s">
        <v>10</v>
      </c>
      <c r="L1" s="19" t="s">
        <v>11</v>
      </c>
      <c r="M1" s="19" t="s">
        <v>12</v>
      </c>
      <c r="N1" s="19" t="s">
        <v>13</v>
      </c>
      <c r="O1" s="17" t="s">
        <v>237</v>
      </c>
      <c r="P1" s="17" t="s">
        <v>238</v>
      </c>
    </row>
    <row r="2" customHeight="1" spans="1:16">
      <c r="A2" s="8" t="s">
        <v>14</v>
      </c>
      <c r="B2" s="8">
        <v>1</v>
      </c>
      <c r="C2" s="8">
        <v>1</v>
      </c>
      <c r="D2" s="8">
        <v>0</v>
      </c>
      <c r="E2" s="8">
        <v>2</v>
      </c>
      <c r="F2" s="20">
        <v>2</v>
      </c>
      <c r="G2" s="20">
        <v>2</v>
      </c>
      <c r="H2" s="20">
        <v>2</v>
      </c>
      <c r="I2" s="20">
        <v>2</v>
      </c>
      <c r="J2" s="20">
        <v>2</v>
      </c>
      <c r="K2" s="20">
        <v>2</v>
      </c>
      <c r="L2" s="20">
        <v>2</v>
      </c>
      <c r="M2" s="20">
        <v>2</v>
      </c>
      <c r="N2" s="20">
        <v>3</v>
      </c>
      <c r="O2" s="17" t="s">
        <v>222</v>
      </c>
      <c r="P2" s="17" t="s">
        <v>222</v>
      </c>
    </row>
    <row r="3" customHeight="1" spans="1:16">
      <c r="A3" s="8" t="s">
        <v>15</v>
      </c>
      <c r="B3" s="8" t="s">
        <v>239</v>
      </c>
      <c r="C3" s="8" t="s">
        <v>17</v>
      </c>
      <c r="D3" s="8" t="s">
        <v>18</v>
      </c>
      <c r="E3" s="8" t="s">
        <v>19</v>
      </c>
      <c r="F3" s="20" t="s">
        <v>20</v>
      </c>
      <c r="G3" s="20" t="s">
        <v>21</v>
      </c>
      <c r="H3" s="20" t="s">
        <v>22</v>
      </c>
      <c r="I3" s="20" t="s">
        <v>23</v>
      </c>
      <c r="J3" s="20" t="s">
        <v>24</v>
      </c>
      <c r="K3" s="20" t="s">
        <v>25</v>
      </c>
      <c r="L3" s="20" t="s">
        <v>26</v>
      </c>
      <c r="M3" s="20" t="s">
        <v>27</v>
      </c>
      <c r="N3" s="20" t="s">
        <v>28</v>
      </c>
    </row>
    <row r="4" customHeight="1" spans="1:16">
      <c r="A4" s="8" t="s">
        <v>29</v>
      </c>
      <c r="B4" s="8" t="s">
        <v>30</v>
      </c>
      <c r="C4" s="8" t="s">
        <v>30</v>
      </c>
      <c r="D4" s="8" t="s">
        <v>31</v>
      </c>
      <c r="E4" s="8" t="s">
        <v>32</v>
      </c>
      <c r="F4" s="8" t="s">
        <v>32</v>
      </c>
      <c r="G4" s="8" t="s">
        <v>30</v>
      </c>
      <c r="H4" s="8" t="s">
        <v>32</v>
      </c>
      <c r="I4" s="8" t="s">
        <v>33</v>
      </c>
      <c r="J4" s="8" t="s">
        <v>34</v>
      </c>
      <c r="K4" s="8" t="s">
        <v>30</v>
      </c>
      <c r="L4" s="20" t="s">
        <v>35</v>
      </c>
      <c r="M4" s="8" t="s">
        <v>36</v>
      </c>
      <c r="N4" s="8" t="s">
        <v>36</v>
      </c>
    </row>
    <row r="5" s="17" customFormat="1" customHeight="1" spans="1:16">
      <c r="A5" s="17">
        <v>1</v>
      </c>
      <c r="B5" s="17">
        <v>4001</v>
      </c>
      <c r="C5" s="17">
        <v>1</v>
      </c>
      <c r="D5" s="17" t="s">
        <v>240</v>
      </c>
      <c r="E5" s="17" t="s">
        <v>38</v>
      </c>
      <c r="F5" s="17" t="s">
        <v>241</v>
      </c>
      <c r="G5" s="17">
        <v>12</v>
      </c>
      <c r="H5" s="17" t="s">
        <v>242</v>
      </c>
      <c r="I5" s="17"/>
      <c r="J5" s="17"/>
      <c r="K5" s="17" t="s">
        <v>187</v>
      </c>
      <c r="L5" s="17" t="str">
        <f>_xlfn.DISPIMG("ID_34DE48E543EE4C9AA1105D48FE110B1C",1)</f>
        <v>=DISPIMG("ID_34DE48E543EE4C9AA1105D48FE110B1C",1)</v>
      </c>
      <c r="O5" s="24">
        <f>60/K5*G5</f>
        <v>72</v>
      </c>
    </row>
    <row r="6" s="17" customFormat="1" customHeight="1" spans="1:16">
      <c r="A6" s="17">
        <v>1</v>
      </c>
      <c r="B6" s="17">
        <v>4003</v>
      </c>
      <c r="C6" s="17">
        <v>3</v>
      </c>
      <c r="D6" s="17" t="s">
        <v>243</v>
      </c>
      <c r="E6" s="17" t="s">
        <v>38</v>
      </c>
      <c r="F6" s="17" t="s">
        <v>241</v>
      </c>
      <c r="G6" s="17">
        <v>12</v>
      </c>
      <c r="H6" s="17" t="s">
        <v>242</v>
      </c>
      <c r="I6" s="17"/>
      <c r="J6" s="17"/>
      <c r="K6" s="17">
        <v>5</v>
      </c>
      <c r="L6" s="17" t="str">
        <f>_xlfn.DISPIMG("ID_EAA8DB7BB74F428C8066EAFDD8962BEC",1)</f>
        <v>=DISPIMG("ID_EAA8DB7BB74F428C8066EAFDD8962BEC",1)</v>
      </c>
      <c r="O6" s="24">
        <f t="shared" ref="O5:O17" si="0">60/K6*G6</f>
        <v>144</v>
      </c>
    </row>
    <row r="7" s="17" customFormat="1" customHeight="1" spans="1:16">
      <c r="A7" s="17">
        <v>1</v>
      </c>
      <c r="B7" s="17">
        <v>4004</v>
      </c>
      <c r="C7" s="17">
        <v>4</v>
      </c>
      <c r="D7" s="17" t="s">
        <v>244</v>
      </c>
      <c r="E7" s="17" t="s">
        <v>38</v>
      </c>
      <c r="F7" s="17" t="s">
        <v>245</v>
      </c>
      <c r="G7" s="17">
        <v>12</v>
      </c>
      <c r="H7" s="17" t="s">
        <v>242</v>
      </c>
      <c r="I7" s="17"/>
      <c r="J7" s="17"/>
      <c r="K7" s="17">
        <v>5</v>
      </c>
      <c r="L7" s="17" t="str">
        <f>_xlfn.DISPIMG("ID_180A1A64A691431C977DEE2E74F5A8A7",1)</f>
        <v>=DISPIMG("ID_180A1A64A691431C977DEE2E74F5A8A7",1)</v>
      </c>
      <c r="O7" s="24">
        <f t="shared" si="0"/>
        <v>144</v>
      </c>
    </row>
    <row r="8" customHeight="1" spans="1:16">
      <c r="A8" s="17">
        <v>1</v>
      </c>
      <c r="B8" s="17">
        <v>4005</v>
      </c>
      <c r="C8" s="17">
        <v>1</v>
      </c>
      <c r="D8" s="17" t="s">
        <v>246</v>
      </c>
      <c r="E8" s="17" t="s">
        <v>38</v>
      </c>
      <c r="F8" s="17" t="s">
        <v>247</v>
      </c>
      <c r="G8" s="17">
        <v>1</v>
      </c>
      <c r="H8" s="17" t="s">
        <v>45</v>
      </c>
      <c r="K8" s="17">
        <v>5</v>
      </c>
      <c r="L8" s="17" t="str">
        <f t="shared" ref="L8:L10" si="1">_xlfn.DISPIMG("ID_9124E4D0DF134B80B13362422C801492",1)</f>
        <v>=DISPIMG("ID_9124E4D0DF134B80B13362422C801492",1)</v>
      </c>
      <c r="O8" s="24">
        <f t="shared" si="0"/>
        <v>12</v>
      </c>
    </row>
    <row r="9" customHeight="1" spans="1:16">
      <c r="A9" s="17">
        <v>1</v>
      </c>
      <c r="B9" s="17">
        <v>4006</v>
      </c>
      <c r="C9" s="17">
        <v>3</v>
      </c>
      <c r="D9" s="17" t="s">
        <v>248</v>
      </c>
      <c r="E9" s="17" t="s">
        <v>38</v>
      </c>
      <c r="F9" s="17" t="s">
        <v>247</v>
      </c>
      <c r="G9" s="17">
        <v>1</v>
      </c>
      <c r="H9" s="17" t="s">
        <v>45</v>
      </c>
      <c r="K9" s="17">
        <v>5</v>
      </c>
      <c r="L9" s="17" t="str">
        <f t="shared" si="1"/>
        <v>=DISPIMG("ID_9124E4D0DF134B80B13362422C801492",1)</v>
      </c>
      <c r="O9" s="24">
        <f t="shared" si="0"/>
        <v>12</v>
      </c>
    </row>
    <row r="10" customHeight="1" spans="1:16">
      <c r="A10" s="17">
        <v>1</v>
      </c>
      <c r="B10" s="17">
        <v>4007</v>
      </c>
      <c r="C10" s="17">
        <v>4</v>
      </c>
      <c r="D10" s="17" t="s">
        <v>249</v>
      </c>
      <c r="E10" s="17" t="s">
        <v>38</v>
      </c>
      <c r="F10" s="17" t="s">
        <v>247</v>
      </c>
      <c r="G10" s="17">
        <v>1</v>
      </c>
      <c r="H10" s="17" t="s">
        <v>45</v>
      </c>
      <c r="K10" s="17">
        <v>5</v>
      </c>
      <c r="L10" s="17" t="str">
        <f t="shared" si="1"/>
        <v>=DISPIMG("ID_9124E4D0DF134B80B13362422C801492",1)</v>
      </c>
      <c r="O10" s="24">
        <f t="shared" si="0"/>
        <v>12</v>
      </c>
    </row>
    <row r="11" customHeight="1" spans="1:16">
      <c r="A11" s="17">
        <v>1</v>
      </c>
      <c r="B11" s="17" t="s">
        <v>214</v>
      </c>
      <c r="C11" s="17">
        <v>1</v>
      </c>
      <c r="D11" s="17" t="s">
        <v>250</v>
      </c>
      <c r="E11" s="17" t="s">
        <v>38</v>
      </c>
      <c r="F11" s="17" t="s">
        <v>251</v>
      </c>
      <c r="G11" s="17">
        <v>1</v>
      </c>
      <c r="H11" s="17" t="s">
        <v>45</v>
      </c>
      <c r="K11" s="17">
        <v>5</v>
      </c>
      <c r="L11" s="17" t="str">
        <f>_xlfn.DISPIMG("ID_FD802FD3568A40738F91871B69BBC1C4",1)</f>
        <v>=DISPIMG("ID_FD802FD3568A40738F91871B69BBC1C4",1)</v>
      </c>
      <c r="O11" s="24">
        <f t="shared" si="0"/>
        <v>12</v>
      </c>
    </row>
    <row r="12" customHeight="1" spans="1:16">
      <c r="A12" s="17">
        <v>1</v>
      </c>
      <c r="B12" s="17" t="s">
        <v>216</v>
      </c>
      <c r="C12" s="17">
        <v>1</v>
      </c>
      <c r="D12" s="17" t="s">
        <v>252</v>
      </c>
      <c r="E12" s="17" t="s">
        <v>38</v>
      </c>
      <c r="F12" s="17" t="s">
        <v>253</v>
      </c>
      <c r="G12" s="17">
        <v>1</v>
      </c>
      <c r="H12" s="17" t="s">
        <v>45</v>
      </c>
      <c r="K12" s="17">
        <v>5</v>
      </c>
      <c r="L12" s="17" t="str">
        <f>_xlfn.DISPIMG("ID_9E318BAE4A904836AFAD20CEBD6E7199",1)</f>
        <v>=DISPIMG("ID_9E318BAE4A904836AFAD20CEBD6E7199",1)</v>
      </c>
      <c r="O12" s="24">
        <f t="shared" si="0"/>
        <v>12</v>
      </c>
    </row>
    <row r="13" customHeight="1" spans="1:16">
      <c r="A13" s="17">
        <v>1</v>
      </c>
      <c r="B13" s="17" t="s">
        <v>218</v>
      </c>
      <c r="C13" s="17">
        <v>1</v>
      </c>
      <c r="D13" s="17" t="s">
        <v>254</v>
      </c>
      <c r="E13" s="17" t="s">
        <v>38</v>
      </c>
      <c r="F13" s="17" t="s">
        <v>253</v>
      </c>
      <c r="G13" s="17">
        <v>1</v>
      </c>
      <c r="H13" s="17" t="s">
        <v>45</v>
      </c>
      <c r="K13" s="17">
        <v>5</v>
      </c>
      <c r="L13" s="17" t="str">
        <f>_xlfn.DISPIMG("ID_C128E01EE736472E8E1BC5E23F84B7D9",1)</f>
        <v>=DISPIMG("ID_C128E01EE736472E8E1BC5E23F84B7D9",1)</v>
      </c>
      <c r="O13" s="24">
        <f t="shared" si="0"/>
        <v>12</v>
      </c>
    </row>
    <row r="14" customHeight="1" spans="1:16">
      <c r="A14" s="17">
        <v>1</v>
      </c>
      <c r="B14" s="17">
        <v>1001</v>
      </c>
      <c r="C14" s="17">
        <v>1</v>
      </c>
      <c r="D14" s="17" t="s">
        <v>255</v>
      </c>
      <c r="E14" s="17" t="s">
        <v>38</v>
      </c>
      <c r="F14" s="17" t="s">
        <v>256</v>
      </c>
      <c r="G14" s="17">
        <v>1</v>
      </c>
      <c r="H14" s="17" t="s">
        <v>45</v>
      </c>
      <c r="K14" s="17">
        <v>5</v>
      </c>
      <c r="L14" s="17" t="str">
        <f>_xlfn.DISPIMG("ID_C2923B1264F94CAFB84089AA2A4ED65B",1)</f>
        <v>=DISPIMG("ID_C2923B1264F94CAFB84089AA2A4ED65B",1)</v>
      </c>
      <c r="O14" s="24">
        <f t="shared" si="0"/>
        <v>12</v>
      </c>
    </row>
    <row r="15" customHeight="1" spans="1:16">
      <c r="A15" s="17">
        <v>1</v>
      </c>
      <c r="B15" s="17">
        <v>100001</v>
      </c>
      <c r="C15" s="17">
        <v>1</v>
      </c>
      <c r="D15" s="17" t="s">
        <v>257</v>
      </c>
      <c r="E15" s="17" t="s">
        <v>38</v>
      </c>
      <c r="F15" s="17" t="s">
        <v>258</v>
      </c>
      <c r="G15" s="17" t="s">
        <v>259</v>
      </c>
      <c r="H15" s="17" t="s">
        <v>260</v>
      </c>
      <c r="K15" s="17" t="s">
        <v>187</v>
      </c>
      <c r="L15" s="17" t="str">
        <f>_xlfn.DISPIMG("ID_0778B5095A9B4AEC92440D235C3285F5",1)</f>
        <v>=DISPIMG("ID_0778B5095A9B4AEC92440D235C3285F5",1)</v>
      </c>
      <c r="O15" s="24">
        <f t="shared" si="0"/>
        <v>42</v>
      </c>
    </row>
    <row r="16" customHeight="1" spans="1:16">
      <c r="A16" s="17">
        <v>1</v>
      </c>
      <c r="B16" s="17">
        <v>100001</v>
      </c>
      <c r="C16" s="17">
        <v>3</v>
      </c>
      <c r="D16" s="17" t="s">
        <v>261</v>
      </c>
      <c r="E16" s="17" t="s">
        <v>38</v>
      </c>
      <c r="F16" s="17" t="s">
        <v>258</v>
      </c>
      <c r="G16" s="17" t="s">
        <v>69</v>
      </c>
      <c r="H16" s="17" t="s">
        <v>40</v>
      </c>
      <c r="K16" s="17" t="s">
        <v>262</v>
      </c>
      <c r="L16" s="17" t="str">
        <f>_xlfn.DISPIMG("ID_ACAF165E9347462EB5AEBA0544D6447E",1)</f>
        <v>=DISPIMG("ID_ACAF165E9347462EB5AEBA0544D6447E",1)</v>
      </c>
      <c r="O16" s="24">
        <f>60/K16*(G16+P16)</f>
        <v>20</v>
      </c>
    </row>
    <row r="17" customHeight="1" spans="1:16">
      <c r="A17" s="17">
        <v>1</v>
      </c>
      <c r="B17" s="17">
        <v>100001</v>
      </c>
      <c r="C17" s="17">
        <v>4</v>
      </c>
      <c r="D17" s="17" t="s">
        <v>263</v>
      </c>
      <c r="E17" s="17" t="s">
        <v>38</v>
      </c>
      <c r="F17" s="17" t="s">
        <v>258</v>
      </c>
      <c r="G17" s="17" t="s">
        <v>264</v>
      </c>
      <c r="H17" s="17" t="s">
        <v>265</v>
      </c>
      <c r="J17" s="17" t="s">
        <v>266</v>
      </c>
      <c r="K17" s="17" t="s">
        <v>187</v>
      </c>
      <c r="L17" s="24" t="str">
        <f>_xlfn.DISPIMG("ID_036127C468B847BFAB5B3CCE1AD53047",1)</f>
        <v>=DISPIMG("ID_036127C468B847BFAB5B3CCE1AD53047",1)</v>
      </c>
      <c r="O17" s="24">
        <f>60/K17*(G17+P17)</f>
        <v>102</v>
      </c>
      <c r="P17" s="17" t="s">
        <v>69</v>
      </c>
    </row>
    <row r="18" customHeight="1" spans="1:16">
      <c r="A18" s="17">
        <v>1</v>
      </c>
      <c r="B18" s="17">
        <v>100002</v>
      </c>
      <c r="C18" s="17">
        <v>1</v>
      </c>
      <c r="D18" s="17" t="s">
        <v>267</v>
      </c>
      <c r="E18" s="17" t="s">
        <v>38</v>
      </c>
      <c r="F18" s="17" t="s">
        <v>258</v>
      </c>
      <c r="G18" s="17" t="s">
        <v>259</v>
      </c>
      <c r="H18" s="17" t="s">
        <v>260</v>
      </c>
      <c r="K18" s="17" t="s">
        <v>187</v>
      </c>
      <c r="L18" s="17" t="str">
        <f>_xlfn.DISPIMG("ID_DE3BD47F9C644E9481F9AAF9B01F52E4",1)</f>
        <v>=DISPIMG("ID_DE3BD47F9C644E9481F9AAF9B01F52E4",1)</v>
      </c>
      <c r="O18" s="24">
        <f t="shared" ref="O18:O49" si="2">60/K18*G18</f>
        <v>42</v>
      </c>
    </row>
    <row r="19" customHeight="1" spans="1:16">
      <c r="A19" s="17">
        <v>1</v>
      </c>
      <c r="B19" s="17">
        <v>100002</v>
      </c>
      <c r="C19" s="17">
        <v>3</v>
      </c>
      <c r="D19" s="17" t="s">
        <v>268</v>
      </c>
      <c r="E19" s="17" t="s">
        <v>38</v>
      </c>
      <c r="F19" s="17" t="s">
        <v>258</v>
      </c>
      <c r="G19" s="17" t="s">
        <v>69</v>
      </c>
      <c r="H19" s="17" t="s">
        <v>40</v>
      </c>
      <c r="K19" s="17" t="s">
        <v>187</v>
      </c>
      <c r="L19" s="17" t="str">
        <f>_xlfn.DISPIMG("ID_67D121678C744D1692F0E92B79BA455D",1)</f>
        <v>=DISPIMG("ID_67D121678C744D1692F0E92B79BA455D",1)</v>
      </c>
      <c r="O19" s="24">
        <f t="shared" si="2"/>
        <v>24</v>
      </c>
    </row>
    <row r="20" customHeight="1" spans="1:16">
      <c r="A20" s="17">
        <v>1</v>
      </c>
      <c r="B20" s="17">
        <v>100002</v>
      </c>
      <c r="C20" s="17">
        <v>4</v>
      </c>
      <c r="D20" s="17" t="s">
        <v>269</v>
      </c>
      <c r="E20" s="17" t="s">
        <v>38</v>
      </c>
      <c r="F20" s="17" t="s">
        <v>258</v>
      </c>
      <c r="G20" s="17" t="s">
        <v>163</v>
      </c>
      <c r="H20" s="17" t="s">
        <v>270</v>
      </c>
      <c r="K20" s="17" t="s">
        <v>187</v>
      </c>
      <c r="L20" s="17" t="str">
        <f>_xlfn.DISPIMG("ID_DB9AC5581E754A14BA78FB04780FA177",1)</f>
        <v>=DISPIMG("ID_DB9AC5581E754A14BA78FB04780FA177",1)</v>
      </c>
      <c r="O20" s="24">
        <f t="shared" si="2"/>
        <v>30</v>
      </c>
    </row>
    <row r="21" customHeight="1" spans="1:16">
      <c r="A21" s="17">
        <v>1</v>
      </c>
      <c r="B21" s="17">
        <v>100003</v>
      </c>
      <c r="C21" s="17">
        <v>1</v>
      </c>
      <c r="D21" s="17" t="s">
        <v>271</v>
      </c>
      <c r="E21" s="17" t="s">
        <v>38</v>
      </c>
      <c r="F21" s="17" t="s">
        <v>258</v>
      </c>
      <c r="G21" s="17" t="s">
        <v>259</v>
      </c>
      <c r="H21" s="17" t="s">
        <v>260</v>
      </c>
      <c r="K21" s="17" t="s">
        <v>187</v>
      </c>
      <c r="L21" s="17" t="str">
        <f>_xlfn.DISPIMG("ID_8C671F7DAB724A26BD4E97B9B1ED943B",1)</f>
        <v>=DISPIMG("ID_8C671F7DAB724A26BD4E97B9B1ED943B",1)</v>
      </c>
      <c r="O21" s="24">
        <f t="shared" si="2"/>
        <v>42</v>
      </c>
    </row>
    <row r="22" customHeight="1" spans="1:16">
      <c r="A22" s="17">
        <v>1</v>
      </c>
      <c r="B22" s="17">
        <v>100003</v>
      </c>
      <c r="C22" s="17">
        <v>3</v>
      </c>
      <c r="D22" s="17" t="s">
        <v>272</v>
      </c>
      <c r="E22" s="17" t="s">
        <v>38</v>
      </c>
      <c r="F22" s="17" t="s">
        <v>258</v>
      </c>
      <c r="G22" s="17" t="s">
        <v>69</v>
      </c>
      <c r="H22" s="17" t="s">
        <v>40</v>
      </c>
      <c r="K22" s="17" t="s">
        <v>187</v>
      </c>
      <c r="L22" s="17" t="str">
        <f>_xlfn.DISPIMG("ID_805390B2ED864926BDA3274760F6369F",1)</f>
        <v>=DISPIMG("ID_805390B2ED864926BDA3274760F6369F",1)</v>
      </c>
      <c r="O22" s="24">
        <f t="shared" si="2"/>
        <v>24</v>
      </c>
    </row>
    <row r="23" customHeight="1" spans="1:16">
      <c r="A23" s="17">
        <v>1</v>
      </c>
      <c r="B23" s="17">
        <v>100003</v>
      </c>
      <c r="C23" s="17">
        <v>4</v>
      </c>
      <c r="D23" s="17" t="s">
        <v>273</v>
      </c>
      <c r="E23" s="17" t="s">
        <v>38</v>
      </c>
      <c r="F23" s="17" t="s">
        <v>258</v>
      </c>
      <c r="G23" s="17" t="s">
        <v>163</v>
      </c>
      <c r="H23" s="17" t="s">
        <v>270</v>
      </c>
      <c r="K23" s="17" t="s">
        <v>187</v>
      </c>
      <c r="L23" s="17" t="str">
        <f>_xlfn.DISPIMG("ID_0D0D22BEEBA5453F8DE081F3002AC8AB",1)</f>
        <v>=DISPIMG("ID_0D0D22BEEBA5453F8DE081F3002AC8AB",1)</v>
      </c>
      <c r="O23" s="24">
        <f t="shared" si="2"/>
        <v>30</v>
      </c>
    </row>
    <row r="24" customHeight="1" spans="1:16">
      <c r="A24" s="17">
        <v>1</v>
      </c>
      <c r="B24" s="17">
        <v>101001</v>
      </c>
      <c r="C24" s="17">
        <v>1</v>
      </c>
      <c r="D24" s="17" t="s">
        <v>274</v>
      </c>
      <c r="E24" s="17" t="s">
        <v>38</v>
      </c>
      <c r="F24" s="17" t="s">
        <v>275</v>
      </c>
      <c r="G24" s="17">
        <v>1</v>
      </c>
      <c r="H24" s="17" t="s">
        <v>45</v>
      </c>
      <c r="K24" s="17">
        <v>5</v>
      </c>
      <c r="L24" s="17" t="str">
        <f>_xlfn.DISPIMG("ID_05FBD9B3867B4F6699B1995FF1D36E0C",1)</f>
        <v>=DISPIMG("ID_05FBD9B3867B4F6699B1995FF1D36E0C",1)</v>
      </c>
      <c r="O24" s="24">
        <f t="shared" si="2"/>
        <v>12</v>
      </c>
    </row>
    <row r="25" customHeight="1" spans="1:16">
      <c r="A25" s="17">
        <v>1</v>
      </c>
      <c r="B25" s="17">
        <v>100901</v>
      </c>
      <c r="C25" s="17">
        <v>1</v>
      </c>
      <c r="D25" s="17" t="s">
        <v>276</v>
      </c>
      <c r="E25" s="17" t="s">
        <v>38</v>
      </c>
      <c r="F25" s="17" t="s">
        <v>277</v>
      </c>
      <c r="G25" s="17" t="s">
        <v>163</v>
      </c>
      <c r="H25" s="17" t="s">
        <v>270</v>
      </c>
      <c r="K25" s="17" t="s">
        <v>187</v>
      </c>
      <c r="L25" s="24" t="str">
        <f>_xlfn.DISPIMG("ID_98BD7F045A9E4E3F8A62798C8970A2CF",1)</f>
        <v>=DISPIMG("ID_98BD7F045A9E4E3F8A62798C8970A2CF",1)</v>
      </c>
      <c r="O25" s="24">
        <f t="shared" ref="O25:O33" si="3">60/K25*(G25+P25)</f>
        <v>30</v>
      </c>
    </row>
    <row r="26" customHeight="1" spans="1:16">
      <c r="A26" s="17">
        <v>1</v>
      </c>
      <c r="B26" s="17">
        <v>100901</v>
      </c>
      <c r="C26" s="17">
        <v>3</v>
      </c>
      <c r="D26" s="17" t="s">
        <v>276</v>
      </c>
      <c r="E26" s="17" t="s">
        <v>38</v>
      </c>
      <c r="F26" s="17" t="s">
        <v>277</v>
      </c>
      <c r="G26" s="17" t="s">
        <v>259</v>
      </c>
      <c r="H26" s="17" t="s">
        <v>260</v>
      </c>
      <c r="J26" s="17" t="s">
        <v>278</v>
      </c>
      <c r="K26" s="25" t="s">
        <v>187</v>
      </c>
      <c r="L26" s="24" t="str">
        <f>_xlfn.DISPIMG("ID_B0E8E630100C43B08FBD3A680B712C62",1)</f>
        <v>=DISPIMG("ID_B0E8E630100C43B08FBD3A680B712C62",1)</v>
      </c>
      <c r="O26" s="24">
        <f t="shared" si="3"/>
        <v>90</v>
      </c>
      <c r="P26" s="17" t="s">
        <v>185</v>
      </c>
    </row>
    <row r="27" customHeight="1" spans="1:16">
      <c r="A27" s="17">
        <v>1</v>
      </c>
      <c r="B27" s="17">
        <v>100901</v>
      </c>
      <c r="C27" s="17" t="s">
        <v>69</v>
      </c>
      <c r="D27" s="17" t="s">
        <v>276</v>
      </c>
      <c r="E27" s="17" t="s">
        <v>38</v>
      </c>
      <c r="F27" s="17" t="s">
        <v>277</v>
      </c>
      <c r="G27" s="17" t="s">
        <v>279</v>
      </c>
      <c r="H27" s="17" t="s">
        <v>280</v>
      </c>
      <c r="J27" s="17" t="s">
        <v>281</v>
      </c>
      <c r="K27" s="17" t="s">
        <v>187</v>
      </c>
      <c r="L27" s="24" t="str">
        <f>_xlfn.DISPIMG("ID_3EEF57E5FC114254AA831F65524DF66D",1)</f>
        <v>=DISPIMG("ID_3EEF57E5FC114254AA831F65524DF66D",1)</v>
      </c>
      <c r="O27" s="24">
        <f t="shared" si="3"/>
        <v>120</v>
      </c>
      <c r="P27" s="17" t="s">
        <v>108</v>
      </c>
    </row>
    <row r="28" customHeight="1" spans="1:16">
      <c r="A28" s="17">
        <v>1</v>
      </c>
      <c r="B28" s="17">
        <v>100902</v>
      </c>
      <c r="C28" s="17">
        <v>1</v>
      </c>
      <c r="D28" s="17" t="s">
        <v>282</v>
      </c>
      <c r="E28" s="17" t="s">
        <v>38</v>
      </c>
      <c r="F28" s="17" t="s">
        <v>277</v>
      </c>
      <c r="G28" s="17" t="s">
        <v>163</v>
      </c>
      <c r="H28" s="17" t="s">
        <v>270</v>
      </c>
      <c r="K28" s="17" t="s">
        <v>187</v>
      </c>
      <c r="L28" s="24" t="str">
        <f>_xlfn.DISPIMG("ID_FB52DC3E0E6E4857909630435D94D3F4",1)</f>
        <v>=DISPIMG("ID_FB52DC3E0E6E4857909630435D94D3F4",1)</v>
      </c>
      <c r="O28" s="24">
        <f t="shared" si="3"/>
        <v>30</v>
      </c>
    </row>
    <row r="29" customHeight="1" spans="1:16">
      <c r="A29" s="17">
        <v>1</v>
      </c>
      <c r="B29" s="17">
        <v>100902</v>
      </c>
      <c r="C29" s="17">
        <v>3</v>
      </c>
      <c r="D29" s="17" t="s">
        <v>282</v>
      </c>
      <c r="E29" s="17" t="s">
        <v>38</v>
      </c>
      <c r="F29" s="17" t="s">
        <v>277</v>
      </c>
      <c r="G29" s="17" t="s">
        <v>259</v>
      </c>
      <c r="H29" s="17" t="s">
        <v>260</v>
      </c>
      <c r="J29" s="17" t="s">
        <v>278</v>
      </c>
      <c r="K29" s="25" t="s">
        <v>187</v>
      </c>
      <c r="L29" s="24" t="str">
        <f>_xlfn.DISPIMG("ID_4BF5426B5AC545D483930799B8C09883",1)</f>
        <v>=DISPIMG("ID_4BF5426B5AC545D483930799B8C09883",1)</v>
      </c>
      <c r="O29" s="24">
        <f t="shared" si="3"/>
        <v>90</v>
      </c>
      <c r="P29" s="17" t="s">
        <v>185</v>
      </c>
    </row>
    <row r="30" customHeight="1" spans="1:16">
      <c r="A30" s="17">
        <v>1</v>
      </c>
      <c r="B30" s="17">
        <v>100902</v>
      </c>
      <c r="C30" s="17" t="s">
        <v>69</v>
      </c>
      <c r="D30" s="17" t="s">
        <v>282</v>
      </c>
      <c r="E30" s="17" t="s">
        <v>38</v>
      </c>
      <c r="F30" s="17" t="s">
        <v>277</v>
      </c>
      <c r="G30" s="17" t="s">
        <v>279</v>
      </c>
      <c r="H30" s="17" t="s">
        <v>280</v>
      </c>
      <c r="J30" s="17" t="s">
        <v>283</v>
      </c>
      <c r="K30" s="17" t="s">
        <v>187</v>
      </c>
      <c r="L30" s="24" t="str">
        <f>_xlfn.DISPIMG("ID_7645DC7A320E4DE79A86D9C264F765B9",1)</f>
        <v>=DISPIMG("ID_7645DC7A320E4DE79A86D9C264F765B9",1)</v>
      </c>
      <c r="O30" s="24">
        <f t="shared" si="3"/>
        <v>120</v>
      </c>
      <c r="P30" s="17" t="s">
        <v>108</v>
      </c>
    </row>
    <row r="31" customHeight="1" spans="1:16">
      <c r="A31" s="17">
        <v>1</v>
      </c>
      <c r="B31" s="17">
        <v>100903</v>
      </c>
      <c r="C31" s="17">
        <v>1</v>
      </c>
      <c r="D31" s="17" t="s">
        <v>284</v>
      </c>
      <c r="E31" s="17" t="s">
        <v>38</v>
      </c>
      <c r="F31" s="17" t="s">
        <v>277</v>
      </c>
      <c r="G31" s="17" t="s">
        <v>163</v>
      </c>
      <c r="H31" s="17" t="s">
        <v>270</v>
      </c>
      <c r="K31" s="17" t="s">
        <v>187</v>
      </c>
      <c r="L31" s="24" t="str">
        <f>_xlfn.DISPIMG("ID_B585E17EC4484AEF8B77FC8BB6F2D303",1)</f>
        <v>=DISPIMG("ID_B585E17EC4484AEF8B77FC8BB6F2D303",1)</v>
      </c>
      <c r="O31" s="24">
        <f t="shared" si="3"/>
        <v>30</v>
      </c>
    </row>
    <row r="32" customHeight="1" spans="1:16">
      <c r="A32" s="17">
        <v>1</v>
      </c>
      <c r="B32" s="17">
        <v>100903</v>
      </c>
      <c r="C32" s="17">
        <v>3</v>
      </c>
      <c r="D32" s="17" t="s">
        <v>284</v>
      </c>
      <c r="E32" s="17" t="s">
        <v>38</v>
      </c>
      <c r="F32" s="17" t="s">
        <v>277</v>
      </c>
      <c r="G32" s="17" t="s">
        <v>259</v>
      </c>
      <c r="H32" s="17" t="s">
        <v>260</v>
      </c>
      <c r="J32" s="17" t="s">
        <v>278</v>
      </c>
      <c r="K32" s="25" t="s">
        <v>187</v>
      </c>
      <c r="L32" s="24" t="str">
        <f>_xlfn.DISPIMG("ID_533A20A86C594DF495A948EFAC1B3CE1",1)</f>
        <v>=DISPIMG("ID_533A20A86C594DF495A948EFAC1B3CE1",1)</v>
      </c>
      <c r="O32" s="24">
        <f t="shared" si="3"/>
        <v>90</v>
      </c>
      <c r="P32" s="17" t="s">
        <v>185</v>
      </c>
    </row>
    <row r="33" customHeight="1" spans="1:16">
      <c r="A33" s="17">
        <v>1</v>
      </c>
      <c r="B33" s="17">
        <v>100903</v>
      </c>
      <c r="C33" s="17" t="s">
        <v>69</v>
      </c>
      <c r="D33" s="17" t="s">
        <v>284</v>
      </c>
      <c r="E33" s="17" t="s">
        <v>38</v>
      </c>
      <c r="F33" s="17" t="s">
        <v>277</v>
      </c>
      <c r="G33" s="17" t="s">
        <v>279</v>
      </c>
      <c r="H33" s="17" t="s">
        <v>280</v>
      </c>
      <c r="J33" s="17" t="s">
        <v>283</v>
      </c>
      <c r="K33" s="17" t="s">
        <v>187</v>
      </c>
      <c r="L33" s="24" t="str">
        <f>_xlfn.DISPIMG("ID_946E8F1F669E415C97BCD9022E834C3D",1)</f>
        <v>=DISPIMG("ID_946E8F1F669E415C97BCD9022E834C3D",1)</v>
      </c>
      <c r="O33" s="24">
        <f t="shared" si="3"/>
        <v>120</v>
      </c>
      <c r="P33" s="17" t="s">
        <v>108</v>
      </c>
    </row>
    <row r="34" customHeight="1" spans="1:16">
      <c r="A34" s="17">
        <v>1</v>
      </c>
      <c r="B34" s="17">
        <v>100501</v>
      </c>
      <c r="C34" s="17">
        <v>1</v>
      </c>
      <c r="D34" s="17" t="s">
        <v>285</v>
      </c>
      <c r="E34" s="17" t="s">
        <v>38</v>
      </c>
      <c r="F34" s="17" t="s">
        <v>286</v>
      </c>
      <c r="G34" s="17" t="s">
        <v>259</v>
      </c>
      <c r="H34" s="17" t="s">
        <v>260</v>
      </c>
      <c r="K34" s="17" t="s">
        <v>187</v>
      </c>
      <c r="L34" s="24" t="str">
        <f>_xlfn.DISPIMG("ID_80B711526773425DBE9E0C8FF120D6D6",1)</f>
        <v>=DISPIMG("ID_80B711526773425DBE9E0C8FF120D6D6",1)</v>
      </c>
      <c r="O34" s="24">
        <f t="shared" si="2"/>
        <v>42</v>
      </c>
    </row>
    <row r="35" customHeight="1" spans="1:16">
      <c r="A35" s="17">
        <v>1</v>
      </c>
      <c r="B35" s="17">
        <v>100501</v>
      </c>
      <c r="C35" s="17" t="s">
        <v>108</v>
      </c>
      <c r="D35" s="17" t="s">
        <v>285</v>
      </c>
      <c r="E35" s="17" t="s">
        <v>38</v>
      </c>
      <c r="F35" s="17" t="s">
        <v>286</v>
      </c>
      <c r="G35" s="17" t="s">
        <v>69</v>
      </c>
      <c r="H35" s="17" t="s">
        <v>40</v>
      </c>
      <c r="K35" s="17" t="s">
        <v>81</v>
      </c>
      <c r="L35" s="24" t="str">
        <f>_xlfn.DISPIMG("ID_0041D6727C2C4803B87B172098BF0E44",1)</f>
        <v>=DISPIMG("ID_0041D6727C2C4803B87B172098BF0E44",1)</v>
      </c>
      <c r="O35" s="24">
        <f t="shared" si="2"/>
        <v>12</v>
      </c>
    </row>
    <row r="36" customHeight="1" spans="1:16">
      <c r="A36" s="17">
        <v>1</v>
      </c>
      <c r="B36" s="17">
        <v>100501</v>
      </c>
      <c r="C36" s="17" t="s">
        <v>69</v>
      </c>
      <c r="D36" s="17" t="s">
        <v>285</v>
      </c>
      <c r="E36" s="17" t="s">
        <v>38</v>
      </c>
      <c r="F36" s="17" t="s">
        <v>286</v>
      </c>
      <c r="G36" s="17" t="s">
        <v>185</v>
      </c>
      <c r="H36" s="17" t="s">
        <v>46</v>
      </c>
      <c r="K36" s="17" t="s">
        <v>187</v>
      </c>
      <c r="L36" s="24" t="str">
        <f>_xlfn.DISPIMG("ID_31B2A0BF0169429B8CBE24A951D275FD",1)</f>
        <v>=DISPIMG("ID_31B2A0BF0169429B8CBE24A951D275FD",1)</v>
      </c>
      <c r="O36" s="24">
        <f t="shared" si="2"/>
        <v>48</v>
      </c>
    </row>
    <row r="37" customHeight="1" spans="1:16">
      <c r="A37" s="17">
        <v>1</v>
      </c>
      <c r="B37" s="17">
        <v>100502</v>
      </c>
      <c r="C37" s="17">
        <v>1</v>
      </c>
      <c r="D37" s="17" t="s">
        <v>287</v>
      </c>
      <c r="E37" s="17" t="s">
        <v>38</v>
      </c>
      <c r="F37" s="17" t="s">
        <v>286</v>
      </c>
      <c r="G37" s="17" t="s">
        <v>259</v>
      </c>
      <c r="H37" s="17" t="s">
        <v>260</v>
      </c>
      <c r="K37" s="17" t="s">
        <v>187</v>
      </c>
      <c r="L37" s="24" t="str">
        <f>_xlfn.DISPIMG("ID_34BC90453E17465A96D73425481B8520",1)</f>
        <v>=DISPIMG("ID_34BC90453E17465A96D73425481B8520",1)</v>
      </c>
      <c r="O37" s="24">
        <f t="shared" si="2"/>
        <v>42</v>
      </c>
    </row>
    <row r="38" customHeight="1" spans="1:16">
      <c r="A38" s="17">
        <v>1</v>
      </c>
      <c r="B38" s="17">
        <v>100502</v>
      </c>
      <c r="C38" s="17" t="s">
        <v>108</v>
      </c>
      <c r="D38" s="17" t="s">
        <v>287</v>
      </c>
      <c r="E38" s="17" t="s">
        <v>38</v>
      </c>
      <c r="F38" s="17" t="s">
        <v>286</v>
      </c>
      <c r="G38" s="17" t="s">
        <v>69</v>
      </c>
      <c r="H38" s="17" t="s">
        <v>40</v>
      </c>
      <c r="K38" s="17" t="s">
        <v>81</v>
      </c>
      <c r="L38" s="24" t="str">
        <f>_xlfn.DISPIMG("ID_AA59FBD3ED7B4DE48ABAE0F1D75F1841",1)</f>
        <v>=DISPIMG("ID_AA59FBD3ED7B4DE48ABAE0F1D75F1841",1)</v>
      </c>
      <c r="O38" s="24">
        <f t="shared" si="2"/>
        <v>12</v>
      </c>
    </row>
    <row r="39" customHeight="1" spans="1:16">
      <c r="A39" s="17">
        <v>1</v>
      </c>
      <c r="B39" s="17">
        <v>100502</v>
      </c>
      <c r="C39" s="17" t="s">
        <v>69</v>
      </c>
      <c r="D39" s="17" t="s">
        <v>287</v>
      </c>
      <c r="E39" s="17" t="s">
        <v>38</v>
      </c>
      <c r="F39" s="17" t="s">
        <v>286</v>
      </c>
      <c r="G39" s="17" t="s">
        <v>185</v>
      </c>
      <c r="H39" s="17" t="s">
        <v>46</v>
      </c>
      <c r="K39" s="17" t="s">
        <v>187</v>
      </c>
      <c r="L39" s="24" t="str">
        <f>_xlfn.DISPIMG("ID_A1F85F8AB3604553A634A75CE46D7B2A",1)</f>
        <v>=DISPIMG("ID_A1F85F8AB3604553A634A75CE46D7B2A",1)</v>
      </c>
      <c r="O39" s="24">
        <f t="shared" si="2"/>
        <v>48</v>
      </c>
    </row>
    <row r="40" customHeight="1" spans="1:16">
      <c r="A40" s="17">
        <v>1</v>
      </c>
      <c r="B40" s="17">
        <v>100503</v>
      </c>
      <c r="C40" s="17">
        <v>1</v>
      </c>
      <c r="D40" s="17" t="s">
        <v>288</v>
      </c>
      <c r="E40" s="17" t="s">
        <v>38</v>
      </c>
      <c r="F40" s="17" t="s">
        <v>286</v>
      </c>
      <c r="G40" s="17" t="s">
        <v>259</v>
      </c>
      <c r="H40" s="17" t="s">
        <v>260</v>
      </c>
      <c r="K40" s="17" t="s">
        <v>187</v>
      </c>
      <c r="L40" s="24" t="str">
        <f>_xlfn.DISPIMG("ID_F6F01307F2FE47AB9E980B0177D16CB3",1)</f>
        <v>=DISPIMG("ID_F6F01307F2FE47AB9E980B0177D16CB3",1)</v>
      </c>
      <c r="O40" s="24">
        <f t="shared" si="2"/>
        <v>42</v>
      </c>
    </row>
    <row r="41" customHeight="1" spans="1:16">
      <c r="A41" s="17">
        <v>1</v>
      </c>
      <c r="B41" s="17">
        <v>100503</v>
      </c>
      <c r="C41" s="17" t="s">
        <v>108</v>
      </c>
      <c r="D41" s="17" t="s">
        <v>288</v>
      </c>
      <c r="E41" s="17" t="s">
        <v>38</v>
      </c>
      <c r="F41" s="17" t="s">
        <v>286</v>
      </c>
      <c r="G41" s="17" t="s">
        <v>69</v>
      </c>
      <c r="H41" s="17" t="s">
        <v>40</v>
      </c>
      <c r="K41" s="17" t="s">
        <v>81</v>
      </c>
      <c r="L41" s="24" t="str">
        <f>_xlfn.DISPIMG("ID_AA46E7BD8B0E4F309B3C026C17F43C88",1)</f>
        <v>=DISPIMG("ID_AA46E7BD8B0E4F309B3C026C17F43C88",1)</v>
      </c>
      <c r="O41" s="24">
        <f t="shared" si="2"/>
        <v>12</v>
      </c>
    </row>
    <row r="42" customHeight="1" spans="1:16">
      <c r="A42" s="17">
        <v>1</v>
      </c>
      <c r="B42" s="17">
        <v>100503</v>
      </c>
      <c r="C42" s="17" t="s">
        <v>69</v>
      </c>
      <c r="D42" s="17" t="s">
        <v>288</v>
      </c>
      <c r="E42" s="17" t="s">
        <v>38</v>
      </c>
      <c r="F42" s="17" t="s">
        <v>286</v>
      </c>
      <c r="G42" s="17" t="s">
        <v>185</v>
      </c>
      <c r="H42" s="17" t="s">
        <v>46</v>
      </c>
      <c r="K42" s="17" t="s">
        <v>187</v>
      </c>
      <c r="L42" s="24" t="str">
        <f>_xlfn.DISPIMG("ID_8DE8AC0E6D7A4E2F9BAC05C75906F5C2",1)</f>
        <v>=DISPIMG("ID_8DE8AC0E6D7A4E2F9BAC05C75906F5C2",1)</v>
      </c>
      <c r="O42" s="24">
        <f t="shared" si="2"/>
        <v>48</v>
      </c>
    </row>
    <row r="43" customHeight="1" spans="1:16">
      <c r="A43" s="17">
        <v>1</v>
      </c>
      <c r="B43" s="17">
        <v>100301</v>
      </c>
      <c r="C43" s="17">
        <v>1</v>
      </c>
      <c r="D43" s="17" t="s">
        <v>289</v>
      </c>
      <c r="E43" s="17" t="s">
        <v>38</v>
      </c>
      <c r="F43" s="17" t="s">
        <v>290</v>
      </c>
      <c r="G43" s="17">
        <v>5</v>
      </c>
      <c r="H43" s="17" t="s">
        <v>270</v>
      </c>
      <c r="K43" s="17">
        <v>5</v>
      </c>
      <c r="L43" s="17" t="str">
        <f t="shared" ref="L43:L45" si="4">_xlfn.DISPIMG("ID_1B4056DBD8BF4B63971888AA1F449A21",1)</f>
        <v>=DISPIMG("ID_1B4056DBD8BF4B63971888AA1F449A21",1)</v>
      </c>
      <c r="O43" s="24">
        <f t="shared" si="2"/>
        <v>60</v>
      </c>
    </row>
    <row r="44" customHeight="1" spans="1:16">
      <c r="A44" s="17">
        <v>1</v>
      </c>
      <c r="B44" s="17">
        <v>100301</v>
      </c>
      <c r="C44" s="17">
        <v>3</v>
      </c>
      <c r="D44" s="17" t="s">
        <v>291</v>
      </c>
      <c r="E44" s="17" t="s">
        <v>38</v>
      </c>
      <c r="F44" s="17" t="s">
        <v>290</v>
      </c>
      <c r="G44" s="17">
        <v>5</v>
      </c>
      <c r="H44" s="17" t="s">
        <v>270</v>
      </c>
      <c r="K44" s="17" t="s">
        <v>292</v>
      </c>
      <c r="L44" s="17" t="str">
        <f t="shared" si="4"/>
        <v>=DISPIMG("ID_1B4056DBD8BF4B63971888AA1F449A21",1)</v>
      </c>
      <c r="O44" s="24">
        <f t="shared" si="2"/>
        <v>10</v>
      </c>
    </row>
    <row r="45" customHeight="1" spans="1:16">
      <c r="A45" s="17">
        <v>1</v>
      </c>
      <c r="B45" s="17">
        <v>100301</v>
      </c>
      <c r="C45" s="17">
        <v>4</v>
      </c>
      <c r="D45" s="17" t="s">
        <v>293</v>
      </c>
      <c r="E45" s="17" t="s">
        <v>38</v>
      </c>
      <c r="F45" s="17" t="s">
        <v>290</v>
      </c>
      <c r="G45" s="17">
        <v>5</v>
      </c>
      <c r="H45" s="17" t="s">
        <v>270</v>
      </c>
      <c r="K45" s="17" t="s">
        <v>222</v>
      </c>
      <c r="L45" s="17" t="str">
        <f t="shared" si="4"/>
        <v>=DISPIMG("ID_1B4056DBD8BF4B63971888AA1F449A21",1)</v>
      </c>
      <c r="O45" s="24" t="e">
        <f t="shared" si="2"/>
        <v>#DIV/0!</v>
      </c>
    </row>
    <row r="46" customHeight="1" spans="1:16">
      <c r="A46" s="17">
        <v>1</v>
      </c>
      <c r="B46" s="17">
        <v>100302</v>
      </c>
      <c r="C46" s="17">
        <v>1</v>
      </c>
      <c r="D46" s="17" t="s">
        <v>294</v>
      </c>
      <c r="E46" s="17" t="s">
        <v>38</v>
      </c>
      <c r="F46" s="17" t="s">
        <v>290</v>
      </c>
      <c r="G46" s="17">
        <v>5</v>
      </c>
      <c r="H46" s="17" t="s">
        <v>270</v>
      </c>
      <c r="K46" s="17" t="s">
        <v>163</v>
      </c>
      <c r="L46" s="17" t="str">
        <f t="shared" ref="L46:L48" si="5">_xlfn.DISPIMG("ID_8785E81E6BEC4177890E4C386317579E",1)</f>
        <v>=DISPIMG("ID_8785E81E6BEC4177890E4C386317579E",1)</v>
      </c>
      <c r="O46" s="24">
        <f t="shared" si="2"/>
        <v>60</v>
      </c>
    </row>
    <row r="47" customHeight="1" spans="1:16">
      <c r="A47" s="17">
        <v>1</v>
      </c>
      <c r="B47" s="17">
        <v>100302</v>
      </c>
      <c r="C47" s="17">
        <v>3</v>
      </c>
      <c r="D47" s="17" t="s">
        <v>295</v>
      </c>
      <c r="E47" s="17" t="s">
        <v>38</v>
      </c>
      <c r="F47" s="17" t="s">
        <v>290</v>
      </c>
      <c r="G47" s="17">
        <v>5</v>
      </c>
      <c r="H47" s="17" t="s">
        <v>270</v>
      </c>
      <c r="K47" s="17" t="s">
        <v>292</v>
      </c>
      <c r="L47" s="17" t="str">
        <f t="shared" si="5"/>
        <v>=DISPIMG("ID_8785E81E6BEC4177890E4C386317579E",1)</v>
      </c>
      <c r="O47" s="24">
        <f t="shared" si="2"/>
        <v>10</v>
      </c>
    </row>
    <row r="48" customHeight="1" spans="1:16">
      <c r="A48" s="17">
        <v>1</v>
      </c>
      <c r="B48" s="17">
        <v>100302</v>
      </c>
      <c r="C48" s="17">
        <v>4</v>
      </c>
      <c r="D48" s="17" t="s">
        <v>296</v>
      </c>
      <c r="E48" s="17" t="s">
        <v>38</v>
      </c>
      <c r="F48" s="17" t="s">
        <v>290</v>
      </c>
      <c r="G48" s="17">
        <v>5</v>
      </c>
      <c r="H48" s="17" t="s">
        <v>270</v>
      </c>
      <c r="K48" s="17">
        <v>0</v>
      </c>
      <c r="L48" s="17" t="str">
        <f t="shared" si="5"/>
        <v>=DISPIMG("ID_8785E81E6BEC4177890E4C386317579E",1)</v>
      </c>
      <c r="O48" s="24" t="e">
        <f t="shared" si="2"/>
        <v>#DIV/0!</v>
      </c>
    </row>
    <row r="49" customHeight="1" spans="1:15">
      <c r="A49" s="17">
        <v>1</v>
      </c>
      <c r="B49" s="17">
        <v>100303</v>
      </c>
      <c r="C49" s="17">
        <v>1</v>
      </c>
      <c r="D49" s="17" t="s">
        <v>297</v>
      </c>
      <c r="E49" s="17" t="s">
        <v>38</v>
      </c>
      <c r="F49" s="17" t="s">
        <v>290</v>
      </c>
      <c r="G49" s="17">
        <v>5</v>
      </c>
      <c r="H49" s="17" t="s">
        <v>270</v>
      </c>
      <c r="K49" s="17">
        <v>5</v>
      </c>
      <c r="L49" s="17" t="str">
        <f t="shared" ref="L49:L51" si="6">_xlfn.DISPIMG("ID_D663641981D04D5D9EA8A29E0A6C862C",1)</f>
        <v>=DISPIMG("ID_D663641981D04D5D9EA8A29E0A6C862C",1)</v>
      </c>
      <c r="O49" s="24">
        <f t="shared" si="2"/>
        <v>60</v>
      </c>
    </row>
    <row r="50" customHeight="1" spans="1:15">
      <c r="A50" s="17">
        <v>1</v>
      </c>
      <c r="B50" s="17">
        <v>100303</v>
      </c>
      <c r="C50" s="17">
        <v>3</v>
      </c>
      <c r="D50" s="17" t="s">
        <v>298</v>
      </c>
      <c r="E50" s="17" t="s">
        <v>38</v>
      </c>
      <c r="F50" s="17" t="s">
        <v>290</v>
      </c>
      <c r="G50" s="17">
        <v>5</v>
      </c>
      <c r="H50" s="17" t="s">
        <v>270</v>
      </c>
      <c r="K50" s="17" t="s">
        <v>292</v>
      </c>
      <c r="L50" s="17" t="str">
        <f t="shared" si="6"/>
        <v>=DISPIMG("ID_D663641981D04D5D9EA8A29E0A6C862C",1)</v>
      </c>
      <c r="O50" s="24">
        <f t="shared" ref="O50:O87" si="7">60/K50*G50</f>
        <v>10</v>
      </c>
    </row>
    <row r="51" customHeight="1" spans="1:15">
      <c r="A51" s="17">
        <v>1</v>
      </c>
      <c r="B51" s="17">
        <v>100303</v>
      </c>
      <c r="C51" s="17">
        <v>4</v>
      </c>
      <c r="D51" s="17" t="s">
        <v>299</v>
      </c>
      <c r="E51" s="17" t="s">
        <v>38</v>
      </c>
      <c r="F51" s="17" t="s">
        <v>290</v>
      </c>
      <c r="G51" s="17">
        <v>5</v>
      </c>
      <c r="H51" s="17" t="s">
        <v>270</v>
      </c>
      <c r="K51" s="17">
        <v>0</v>
      </c>
      <c r="L51" s="17" t="str">
        <f t="shared" si="6"/>
        <v>=DISPIMG("ID_D663641981D04D5D9EA8A29E0A6C862C",1)</v>
      </c>
      <c r="O51" s="24" t="e">
        <f t="shared" si="7"/>
        <v>#DIV/0!</v>
      </c>
    </row>
    <row r="52" customHeight="1" spans="1:15">
      <c r="A52" s="17">
        <v>1</v>
      </c>
      <c r="B52" s="17">
        <v>201</v>
      </c>
      <c r="C52" s="17">
        <v>1</v>
      </c>
      <c r="D52" s="17" t="s">
        <v>300</v>
      </c>
      <c r="E52" s="17" t="s">
        <v>38</v>
      </c>
      <c r="F52" s="17" t="s">
        <v>123</v>
      </c>
      <c r="G52" s="17">
        <v>1</v>
      </c>
      <c r="H52" s="17" t="s">
        <v>45</v>
      </c>
      <c r="K52" s="17">
        <v>5</v>
      </c>
      <c r="L52" s="17" t="str">
        <f t="shared" ref="L52:L54" si="8">_xlfn.DISPIMG("ID_125D9C4D11DF445E9DCC7B8900E74EF8",1)</f>
        <v>=DISPIMG("ID_125D9C4D11DF445E9DCC7B8900E74EF8",1)</v>
      </c>
      <c r="O52" s="24">
        <f t="shared" si="7"/>
        <v>12</v>
      </c>
    </row>
    <row r="53" customHeight="1" spans="1:15">
      <c r="A53" s="17">
        <v>1</v>
      </c>
      <c r="B53" s="17">
        <v>202</v>
      </c>
      <c r="C53" s="17">
        <v>1</v>
      </c>
      <c r="D53" s="17" t="s">
        <v>301</v>
      </c>
      <c r="E53" s="17" t="s">
        <v>38</v>
      </c>
      <c r="F53" s="17" t="s">
        <v>123</v>
      </c>
      <c r="G53" s="17">
        <v>1</v>
      </c>
      <c r="H53" s="17" t="s">
        <v>45</v>
      </c>
      <c r="K53" s="17">
        <v>5</v>
      </c>
      <c r="L53" s="17" t="str">
        <f t="shared" si="8"/>
        <v>=DISPIMG("ID_125D9C4D11DF445E9DCC7B8900E74EF8",1)</v>
      </c>
      <c r="O53" s="24">
        <f t="shared" si="7"/>
        <v>12</v>
      </c>
    </row>
    <row r="54" customHeight="1" spans="1:15">
      <c r="A54" s="17">
        <v>1</v>
      </c>
      <c r="B54" s="17">
        <v>203</v>
      </c>
      <c r="C54" s="17">
        <v>1</v>
      </c>
      <c r="D54" s="17" t="s">
        <v>302</v>
      </c>
      <c r="E54" s="17" t="s">
        <v>38</v>
      </c>
      <c r="F54" s="17" t="s">
        <v>123</v>
      </c>
      <c r="G54" s="17">
        <v>1</v>
      </c>
      <c r="H54" s="17" t="s">
        <v>45</v>
      </c>
      <c r="K54" s="17">
        <v>5</v>
      </c>
      <c r="L54" s="17" t="str">
        <f t="shared" si="8"/>
        <v>=DISPIMG("ID_125D9C4D11DF445E9DCC7B8900E74EF8",1)</v>
      </c>
      <c r="O54" s="24">
        <f t="shared" si="7"/>
        <v>12</v>
      </c>
    </row>
    <row r="55" customHeight="1" spans="1:15">
      <c r="A55" s="17">
        <v>1</v>
      </c>
      <c r="B55" s="17">
        <v>7001</v>
      </c>
      <c r="C55" s="17">
        <v>1</v>
      </c>
      <c r="D55" s="17" t="s">
        <v>303</v>
      </c>
      <c r="E55" s="17" t="s">
        <v>38</v>
      </c>
      <c r="F55" s="17" t="s">
        <v>304</v>
      </c>
      <c r="G55" s="17">
        <v>1</v>
      </c>
      <c r="H55" s="17" t="s">
        <v>45</v>
      </c>
      <c r="K55" s="17">
        <v>5</v>
      </c>
      <c r="L55" s="17" t="str">
        <f>_xlfn.DISPIMG("ID_85DE07BD81904288B523C77AE82BBC77",1)</f>
        <v>=DISPIMG("ID_85DE07BD81904288B523C77AE82BBC77",1)</v>
      </c>
      <c r="O55" s="24">
        <f t="shared" si="7"/>
        <v>12</v>
      </c>
    </row>
    <row r="56" customHeight="1" spans="1:15">
      <c r="A56" s="17">
        <v>1</v>
      </c>
      <c r="B56" s="17">
        <v>7002</v>
      </c>
      <c r="C56" s="17">
        <v>1</v>
      </c>
      <c r="D56" s="17" t="s">
        <v>305</v>
      </c>
      <c r="E56" s="17" t="s">
        <v>38</v>
      </c>
      <c r="F56" s="17" t="s">
        <v>304</v>
      </c>
      <c r="G56" s="17">
        <v>1</v>
      </c>
      <c r="H56" s="17" t="s">
        <v>45</v>
      </c>
      <c r="K56" s="17">
        <v>5</v>
      </c>
      <c r="L56" s="17" t="str">
        <f>_xlfn.DISPIMG("ID_1EE4AFEDD42B4FCAB6039D3B7C9A6586",1)</f>
        <v>=DISPIMG("ID_1EE4AFEDD42B4FCAB6039D3B7C9A6586",1)</v>
      </c>
      <c r="O56" s="24">
        <f t="shared" si="7"/>
        <v>12</v>
      </c>
    </row>
    <row r="57" customHeight="1" spans="1:15">
      <c r="A57" s="17">
        <v>1</v>
      </c>
      <c r="B57" s="17">
        <v>9001</v>
      </c>
      <c r="C57" s="17">
        <v>1</v>
      </c>
      <c r="D57" s="17" t="s">
        <v>306</v>
      </c>
      <c r="E57" s="17" t="s">
        <v>38</v>
      </c>
      <c r="F57" s="17" t="s">
        <v>307</v>
      </c>
      <c r="G57" s="17">
        <v>8</v>
      </c>
      <c r="H57" s="17" t="s">
        <v>46</v>
      </c>
      <c r="K57" s="17">
        <v>10</v>
      </c>
      <c r="L57" s="17" t="str">
        <f>_xlfn.DISPIMG("ID_C8153CACC2124EE4934BD46EC8F65CBB",1)</f>
        <v>=DISPIMG("ID_C8153CACC2124EE4934BD46EC8F65CBB",1)</v>
      </c>
      <c r="O57" s="24">
        <f t="shared" si="7"/>
        <v>48</v>
      </c>
    </row>
    <row r="58" customHeight="1" spans="1:15">
      <c r="A58" s="17">
        <v>1</v>
      </c>
      <c r="B58" s="17">
        <v>9001</v>
      </c>
      <c r="C58" s="17">
        <v>3</v>
      </c>
      <c r="D58" s="17" t="s">
        <v>306</v>
      </c>
      <c r="E58" s="17" t="s">
        <v>38</v>
      </c>
      <c r="F58" s="17" t="s">
        <v>307</v>
      </c>
      <c r="G58" s="17">
        <v>8</v>
      </c>
      <c r="H58" s="17" t="s">
        <v>46</v>
      </c>
      <c r="K58" s="17">
        <v>40</v>
      </c>
      <c r="L58" s="17" t="str">
        <f>_xlfn.DISPIMG("ID_C8153CACC2124EE4934BD46EC8F65CBB",1)</f>
        <v>=DISPIMG("ID_C8153CACC2124EE4934BD46EC8F65CBB",1)</v>
      </c>
      <c r="O58" s="24">
        <f t="shared" si="7"/>
        <v>12</v>
      </c>
    </row>
    <row r="59" customHeight="1" spans="1:15">
      <c r="A59" s="17">
        <v>1</v>
      </c>
      <c r="B59" s="17">
        <v>9002</v>
      </c>
      <c r="C59" s="17">
        <v>1</v>
      </c>
      <c r="D59" s="17" t="s">
        <v>308</v>
      </c>
      <c r="E59" s="17" t="s">
        <v>38</v>
      </c>
      <c r="F59" s="17" t="s">
        <v>309</v>
      </c>
      <c r="G59" s="17">
        <v>8</v>
      </c>
      <c r="H59" s="17" t="s">
        <v>46</v>
      </c>
      <c r="K59" s="17">
        <v>10</v>
      </c>
      <c r="L59" s="17" t="str">
        <f>_xlfn.DISPIMG("ID_D64A57B143D54B2199A9780E474C8FFE",1)</f>
        <v>=DISPIMG("ID_D64A57B143D54B2199A9780E474C8FFE",1)</v>
      </c>
      <c r="O59" s="24">
        <f t="shared" si="7"/>
        <v>48</v>
      </c>
    </row>
    <row r="60" customHeight="1" spans="1:15">
      <c r="A60" s="17">
        <v>1</v>
      </c>
      <c r="B60" s="17">
        <v>9002</v>
      </c>
      <c r="C60" s="17">
        <v>3</v>
      </c>
      <c r="D60" s="17" t="s">
        <v>308</v>
      </c>
      <c r="E60" s="17" t="s">
        <v>38</v>
      </c>
      <c r="F60" s="17" t="s">
        <v>309</v>
      </c>
      <c r="G60" s="17">
        <v>8</v>
      </c>
      <c r="H60" s="17" t="s">
        <v>46</v>
      </c>
      <c r="K60" s="17">
        <v>40</v>
      </c>
      <c r="L60" s="17" t="str">
        <f>_xlfn.DISPIMG("ID_D64A57B143D54B2199A9780E474C8FFE",1)</f>
        <v>=DISPIMG("ID_D64A57B143D54B2199A9780E474C8FFE",1)</v>
      </c>
      <c r="O60" s="24">
        <f t="shared" si="7"/>
        <v>12</v>
      </c>
    </row>
    <row r="61" customHeight="1" spans="1:15">
      <c r="A61" s="17">
        <v>1</v>
      </c>
      <c r="B61" s="17">
        <v>7003</v>
      </c>
      <c r="C61" s="17">
        <v>1</v>
      </c>
      <c r="D61" s="17" t="s">
        <v>310</v>
      </c>
      <c r="E61" s="17" t="s">
        <v>38</v>
      </c>
      <c r="F61" s="17" t="s">
        <v>311</v>
      </c>
      <c r="G61" s="17">
        <v>4</v>
      </c>
      <c r="H61" s="17" t="s">
        <v>40</v>
      </c>
      <c r="K61" s="17">
        <v>10</v>
      </c>
      <c r="L61" s="17" t="str">
        <f>_xlfn.DISPIMG("ID_EA798F6B55A240ECA9EBACA1BB98CDB1",1)</f>
        <v>=DISPIMG("ID_EA798F6B55A240ECA9EBACA1BB98CDB1",1)</v>
      </c>
      <c r="O61" s="24">
        <f t="shared" si="7"/>
        <v>24</v>
      </c>
    </row>
    <row r="62" customHeight="1" spans="1:15">
      <c r="A62" s="17">
        <v>1</v>
      </c>
      <c r="B62" s="17">
        <v>7003</v>
      </c>
      <c r="C62" s="17">
        <v>3</v>
      </c>
      <c r="D62" s="17" t="s">
        <v>310</v>
      </c>
      <c r="E62" s="17" t="s">
        <v>38</v>
      </c>
      <c r="F62" s="17" t="s">
        <v>311</v>
      </c>
      <c r="G62" s="17">
        <v>4</v>
      </c>
      <c r="H62" s="17" t="s">
        <v>40</v>
      </c>
      <c r="K62" s="17">
        <v>40</v>
      </c>
      <c r="L62" s="17" t="str">
        <f>_xlfn.DISPIMG("ID_657EF6A0BE6B4434A154097422C48E12",1)</f>
        <v>=DISPIMG("ID_657EF6A0BE6B4434A154097422C48E12",1)</v>
      </c>
      <c r="O62" s="24">
        <f t="shared" si="7"/>
        <v>6</v>
      </c>
    </row>
    <row r="63" customHeight="1" spans="1:15">
      <c r="A63" s="17">
        <v>1</v>
      </c>
      <c r="B63" s="17">
        <v>7006</v>
      </c>
      <c r="C63" s="17">
        <v>1</v>
      </c>
      <c r="D63" s="17" t="s">
        <v>312</v>
      </c>
      <c r="E63" s="17" t="s">
        <v>38</v>
      </c>
      <c r="F63" s="17" t="s">
        <v>313</v>
      </c>
      <c r="G63" s="17">
        <v>1</v>
      </c>
      <c r="H63" s="17" t="s">
        <v>40</v>
      </c>
      <c r="K63" s="17">
        <v>1</v>
      </c>
      <c r="L63" s="17" t="str">
        <f>_xlfn.DISPIMG("ID_DE9815A1C4734E4AA7CA1F770C587D86",1)</f>
        <v>=DISPIMG("ID_DE9815A1C4734E4AA7CA1F770C587D86",1)</v>
      </c>
      <c r="O63" s="24">
        <f t="shared" si="7"/>
        <v>60</v>
      </c>
    </row>
    <row r="64" customHeight="1" spans="1:15">
      <c r="A64" s="17">
        <v>1</v>
      </c>
      <c r="B64" s="17">
        <v>7006</v>
      </c>
      <c r="C64" s="17">
        <v>3</v>
      </c>
      <c r="D64" s="17" t="s">
        <v>312</v>
      </c>
      <c r="E64" s="17" t="s">
        <v>38</v>
      </c>
      <c r="F64" s="17" t="s">
        <v>313</v>
      </c>
      <c r="G64" s="17">
        <v>4</v>
      </c>
      <c r="H64" s="17" t="s">
        <v>40</v>
      </c>
      <c r="K64" s="17" t="s">
        <v>187</v>
      </c>
      <c r="L64" s="17" t="str">
        <f>_xlfn.DISPIMG("ID_DE9815A1C4734E4AA7CA1F770C587D86",1)</f>
        <v>=DISPIMG("ID_DE9815A1C4734E4AA7CA1F770C587D86",1)</v>
      </c>
      <c r="O64" s="24">
        <f t="shared" si="7"/>
        <v>24</v>
      </c>
    </row>
    <row r="65" customHeight="1" spans="1:15">
      <c r="A65" s="17">
        <v>1</v>
      </c>
      <c r="B65" s="17">
        <v>7009</v>
      </c>
      <c r="C65" s="17">
        <v>1</v>
      </c>
      <c r="D65" s="17" t="s">
        <v>314</v>
      </c>
      <c r="E65" s="17" t="s">
        <v>38</v>
      </c>
      <c r="F65" s="17" t="s">
        <v>315</v>
      </c>
      <c r="G65" s="17">
        <v>1</v>
      </c>
      <c r="H65" s="17" t="s">
        <v>316</v>
      </c>
      <c r="K65" s="17">
        <v>1</v>
      </c>
      <c r="L65" s="17" t="str">
        <f>_xlfn.DISPIMG("ID_FDE6F32F5254403EBD755CC4E90555B0",1)</f>
        <v>=DISPIMG("ID_FDE6F32F5254403EBD755CC4E90555B0",1)</v>
      </c>
      <c r="O65" s="24">
        <f t="shared" si="7"/>
        <v>60</v>
      </c>
    </row>
    <row r="66" customHeight="1" spans="1:15">
      <c r="A66" s="17">
        <v>1</v>
      </c>
      <c r="B66" s="17">
        <v>7009</v>
      </c>
      <c r="C66" s="17">
        <v>3</v>
      </c>
      <c r="D66" s="17" t="s">
        <v>314</v>
      </c>
      <c r="E66" s="17" t="s">
        <v>38</v>
      </c>
      <c r="F66" s="17" t="s">
        <v>315</v>
      </c>
      <c r="G66" s="17">
        <v>10</v>
      </c>
      <c r="H66" s="17" t="s">
        <v>316</v>
      </c>
      <c r="K66" s="17" t="s">
        <v>187</v>
      </c>
      <c r="L66" s="17" t="str">
        <f>_xlfn.DISPIMG("ID_FDE6F32F5254403EBD755CC4E90555B0",1)</f>
        <v>=DISPIMG("ID_FDE6F32F5254403EBD755CC4E90555B0",1)</v>
      </c>
      <c r="O66" s="24">
        <f t="shared" si="7"/>
        <v>60</v>
      </c>
    </row>
    <row r="67" customHeight="1" spans="1:15">
      <c r="A67" s="17">
        <v>1</v>
      </c>
      <c r="B67" s="17">
        <v>7010</v>
      </c>
      <c r="C67" s="17">
        <v>1</v>
      </c>
      <c r="D67" s="17" t="s">
        <v>317</v>
      </c>
      <c r="E67" s="17" t="s">
        <v>38</v>
      </c>
      <c r="F67" s="17" t="s">
        <v>45</v>
      </c>
      <c r="G67" s="17">
        <v>1</v>
      </c>
      <c r="H67" s="17" t="s">
        <v>64</v>
      </c>
      <c r="K67" s="17">
        <v>1</v>
      </c>
      <c r="L67" s="17" t="str">
        <f>_xlfn.DISPIMG("ID_986EA4D9337041F3AC381BD1EFB532C8",1)</f>
        <v>=DISPIMG("ID_986EA4D9337041F3AC381BD1EFB532C8",1)</v>
      </c>
      <c r="O67" s="24">
        <f t="shared" si="7"/>
        <v>60</v>
      </c>
    </row>
    <row r="68" customHeight="1" spans="1:15">
      <c r="A68" s="17">
        <v>1</v>
      </c>
      <c r="B68" s="17">
        <v>8001</v>
      </c>
      <c r="C68" s="17">
        <v>1</v>
      </c>
      <c r="D68" s="17" t="s">
        <v>318</v>
      </c>
      <c r="E68" s="17" t="s">
        <v>38</v>
      </c>
      <c r="F68" s="17" t="s">
        <v>319</v>
      </c>
      <c r="G68" s="17">
        <v>1</v>
      </c>
      <c r="H68" s="17" t="s">
        <v>45</v>
      </c>
      <c r="K68" s="17">
        <v>5</v>
      </c>
      <c r="L68" s="17" t="str">
        <f>_xlfn.DISPIMG("ID_805A7ED34A3246F3B9AC29123D5AA490",1)</f>
        <v>=DISPIMG("ID_805A7ED34A3246F3B9AC29123D5AA490",1)</v>
      </c>
      <c r="O68" s="24">
        <f t="shared" si="7"/>
        <v>12</v>
      </c>
    </row>
    <row r="69" customHeight="1" spans="1:15">
      <c r="A69" s="17">
        <v>1</v>
      </c>
      <c r="B69" s="17">
        <v>8002</v>
      </c>
      <c r="C69" s="17">
        <v>1</v>
      </c>
      <c r="D69" s="17" t="s">
        <v>320</v>
      </c>
      <c r="E69" s="17" t="s">
        <v>38</v>
      </c>
      <c r="F69" s="17" t="s">
        <v>321</v>
      </c>
      <c r="G69" s="17">
        <v>1</v>
      </c>
      <c r="H69" s="17" t="s">
        <v>45</v>
      </c>
      <c r="K69" s="17">
        <v>5</v>
      </c>
      <c r="L69" s="17" t="str">
        <f>_xlfn.DISPIMG("ID_5700143AD5AB49B58DFC7EE8DDA80D8A",1)</f>
        <v>=DISPIMG("ID_5700143AD5AB49B58DFC7EE8DDA80D8A",1)</v>
      </c>
      <c r="O69" s="24">
        <f t="shared" si="7"/>
        <v>12</v>
      </c>
    </row>
    <row r="70" customHeight="1" spans="1:15">
      <c r="A70" s="17">
        <v>1</v>
      </c>
      <c r="B70" s="17">
        <v>8003</v>
      </c>
      <c r="C70" s="17">
        <v>1</v>
      </c>
      <c r="D70" s="17" t="s">
        <v>322</v>
      </c>
      <c r="E70" s="17" t="s">
        <v>38</v>
      </c>
      <c r="F70" s="17" t="s">
        <v>323</v>
      </c>
      <c r="G70" s="17">
        <v>1</v>
      </c>
      <c r="H70" s="17" t="s">
        <v>46</v>
      </c>
      <c r="K70" s="17">
        <v>1</v>
      </c>
      <c r="L70" s="17" t="str">
        <f>_xlfn.DISPIMG("ID_7C5F954DB51949379CF840915963D7E8",1)</f>
        <v>=DISPIMG("ID_7C5F954DB51949379CF840915963D7E8",1)</v>
      </c>
      <c r="O70" s="24">
        <f t="shared" si="7"/>
        <v>60</v>
      </c>
    </row>
    <row r="71" customHeight="1" spans="1:15">
      <c r="A71" s="17">
        <v>1</v>
      </c>
      <c r="B71" s="17">
        <v>8003</v>
      </c>
      <c r="C71" s="17">
        <v>3</v>
      </c>
      <c r="D71" s="17" t="s">
        <v>322</v>
      </c>
      <c r="E71" s="17" t="s">
        <v>38</v>
      </c>
      <c r="F71" s="17" t="s">
        <v>323</v>
      </c>
      <c r="G71" s="17">
        <v>8</v>
      </c>
      <c r="H71" s="17" t="s">
        <v>46</v>
      </c>
      <c r="K71" s="17" t="s">
        <v>187</v>
      </c>
      <c r="L71" s="17" t="str">
        <f>_xlfn.DISPIMG("ID_F3456C1989534985BEF7CB73B71FAA61",1)</f>
        <v>=DISPIMG("ID_F3456C1989534985BEF7CB73B71FAA61",1)</v>
      </c>
      <c r="O71" s="24">
        <f t="shared" si="7"/>
        <v>48</v>
      </c>
    </row>
    <row r="72" s="17" customFormat="1" customHeight="1" spans="1:15">
      <c r="A72" s="17">
        <v>1</v>
      </c>
      <c r="B72" s="17">
        <v>8004</v>
      </c>
      <c r="C72" s="17">
        <v>1</v>
      </c>
      <c r="D72" s="17" t="s">
        <v>63</v>
      </c>
      <c r="E72" s="17" t="s">
        <v>38</v>
      </c>
      <c r="F72" s="17" t="s">
        <v>324</v>
      </c>
      <c r="G72" s="17">
        <v>4</v>
      </c>
      <c r="H72" s="17" t="s">
        <v>40</v>
      </c>
      <c r="K72" s="17">
        <v>5</v>
      </c>
      <c r="L72" s="17" t="str">
        <f>_xlfn.DISPIMG("ID_5516335BEE6943AC9778CF849C2F5547",1)</f>
        <v>=DISPIMG("ID_5516335BEE6943AC9778CF849C2F5547",1)</v>
      </c>
      <c r="O72" s="24">
        <f t="shared" si="7"/>
        <v>48</v>
      </c>
    </row>
    <row r="73" s="17" customFormat="1" customHeight="1" spans="1:15">
      <c r="A73" s="17">
        <v>1</v>
      </c>
      <c r="B73" s="17">
        <v>8004</v>
      </c>
      <c r="C73" s="17">
        <v>3</v>
      </c>
      <c r="D73" s="17" t="s">
        <v>325</v>
      </c>
      <c r="E73" s="17" t="s">
        <v>38</v>
      </c>
      <c r="F73" s="17" t="s">
        <v>324</v>
      </c>
      <c r="G73" s="17">
        <v>8</v>
      </c>
      <c r="H73" s="17" t="s">
        <v>46</v>
      </c>
      <c r="K73" s="17" t="s">
        <v>187</v>
      </c>
      <c r="L73" s="17" t="str">
        <f>_xlfn.DISPIMG("ID_416436A9E9D1400DA488D779429654F6",1)</f>
        <v>=DISPIMG("ID_416436A9E9D1400DA488D779429654F6",1)</v>
      </c>
      <c r="O73" s="24">
        <f t="shared" si="7"/>
        <v>48</v>
      </c>
    </row>
    <row r="74" customHeight="1" spans="1:15">
      <c r="A74" s="17">
        <v>1</v>
      </c>
      <c r="B74" s="17">
        <v>8005</v>
      </c>
      <c r="C74" s="17">
        <v>1</v>
      </c>
      <c r="D74" s="17" t="s">
        <v>59</v>
      </c>
      <c r="E74" s="17" t="s">
        <v>38</v>
      </c>
      <c r="F74" s="17" t="s">
        <v>326</v>
      </c>
      <c r="G74" s="17">
        <v>1</v>
      </c>
      <c r="H74" s="17" t="s">
        <v>45</v>
      </c>
      <c r="K74" s="17">
        <v>1</v>
      </c>
      <c r="L74" s="17" t="str">
        <f>_xlfn.DISPIMG("ID_9C0FB1F7CE7E400E8C3C5ED904F68E1C",1)</f>
        <v>=DISPIMG("ID_9C0FB1F7CE7E400E8C3C5ED904F68E1C",1)</v>
      </c>
      <c r="O74" s="24">
        <f t="shared" si="7"/>
        <v>60</v>
      </c>
    </row>
    <row r="75" customHeight="1" spans="1:15">
      <c r="A75" s="17">
        <v>1</v>
      </c>
      <c r="B75" s="17">
        <v>8006</v>
      </c>
      <c r="C75" s="17">
        <v>1</v>
      </c>
      <c r="D75" s="17" t="s">
        <v>61</v>
      </c>
      <c r="E75" s="17" t="s">
        <v>38</v>
      </c>
      <c r="F75" s="17" t="s">
        <v>327</v>
      </c>
      <c r="G75" s="17">
        <v>1</v>
      </c>
      <c r="H75" s="17" t="s">
        <v>260</v>
      </c>
      <c r="K75" s="17" t="s">
        <v>187</v>
      </c>
      <c r="L75" s="17" t="str">
        <f>_xlfn.DISPIMG("ID_3F3232838AB64434B782B9D68491E7AF",1)</f>
        <v>=DISPIMG("ID_3F3232838AB64434B782B9D68491E7AF",1)</v>
      </c>
      <c r="O75" s="24">
        <f t="shared" si="7"/>
        <v>6</v>
      </c>
    </row>
    <row r="76" customHeight="1" spans="1:15">
      <c r="A76" s="17">
        <v>1</v>
      </c>
      <c r="B76" s="17">
        <v>8006</v>
      </c>
      <c r="C76" s="17">
        <v>3</v>
      </c>
      <c r="D76" s="17" t="s">
        <v>61</v>
      </c>
      <c r="E76" s="17" t="s">
        <v>38</v>
      </c>
      <c r="F76" s="17" t="s">
        <v>327</v>
      </c>
      <c r="G76" s="17">
        <v>7</v>
      </c>
      <c r="H76" s="17" t="s">
        <v>260</v>
      </c>
      <c r="J76" s="17" t="s">
        <v>328</v>
      </c>
      <c r="K76" s="17" t="s">
        <v>187</v>
      </c>
      <c r="L76" s="17" t="str">
        <f>_xlfn.DISPIMG("ID_3F3232838AB64434B782B9D68491E7AF",1)</f>
        <v>=DISPIMG("ID_3F3232838AB64434B782B9D68491E7AF",1)</v>
      </c>
      <c r="O76" s="24">
        <f t="shared" si="7"/>
        <v>42</v>
      </c>
    </row>
    <row r="77" s="17" customFormat="1" customHeight="1" spans="1:15">
      <c r="A77" s="17">
        <v>1</v>
      </c>
      <c r="B77" s="17">
        <v>80071</v>
      </c>
      <c r="C77" s="17">
        <v>1</v>
      </c>
      <c r="D77" s="17" t="s">
        <v>329</v>
      </c>
      <c r="E77" s="17" t="s">
        <v>38</v>
      </c>
      <c r="F77" s="17" t="s">
        <v>330</v>
      </c>
      <c r="G77" s="17">
        <v>1</v>
      </c>
      <c r="H77" s="17" t="s">
        <v>45</v>
      </c>
      <c r="K77" s="17">
        <v>0</v>
      </c>
      <c r="L77" s="17" t="str">
        <f>_xlfn.DISPIMG("ID_DDF58A96E7FF4E45BA056A56C8BB49AF",1)</f>
        <v>=DISPIMG("ID_DDF58A96E7FF4E45BA056A56C8BB49AF",1)</v>
      </c>
      <c r="O77" s="24" t="e">
        <f t="shared" si="7"/>
        <v>#DIV/0!</v>
      </c>
    </row>
    <row r="78" s="17" customFormat="1" customHeight="1" spans="1:15">
      <c r="A78" s="17">
        <v>1</v>
      </c>
      <c r="B78" s="17">
        <v>80072</v>
      </c>
      <c r="C78" s="17">
        <v>1</v>
      </c>
      <c r="D78" s="17" t="s">
        <v>331</v>
      </c>
      <c r="E78" s="17" t="s">
        <v>38</v>
      </c>
      <c r="F78" s="17" t="s">
        <v>332</v>
      </c>
      <c r="G78" s="17">
        <v>1</v>
      </c>
      <c r="H78" s="17" t="s">
        <v>45</v>
      </c>
      <c r="K78" s="17">
        <v>0</v>
      </c>
      <c r="L78" s="17" t="str">
        <f>_xlfn.DISPIMG("ID_4ED01D654D6C462396F0F4657AAC1A58",1)</f>
        <v>=DISPIMG("ID_4ED01D654D6C462396F0F4657AAC1A58",1)</v>
      </c>
      <c r="O78" s="24" t="e">
        <f t="shared" si="7"/>
        <v>#DIV/0!</v>
      </c>
    </row>
    <row r="79" s="17" customFormat="1" ht="31.15" spans="1:15">
      <c r="A79" s="17">
        <v>1</v>
      </c>
      <c r="B79" s="17">
        <v>101101</v>
      </c>
      <c r="C79" s="17">
        <v>1</v>
      </c>
      <c r="D79" s="17" t="s">
        <v>333</v>
      </c>
      <c r="E79" s="17" t="s">
        <v>38</v>
      </c>
      <c r="F79" s="17" t="s">
        <v>334</v>
      </c>
      <c r="G79" s="17">
        <v>1</v>
      </c>
      <c r="H79" s="17" t="s">
        <v>242</v>
      </c>
      <c r="K79" s="17">
        <v>1</v>
      </c>
      <c r="L79" s="17" t="str">
        <f>_xlfn.DISPIMG("ID_99A4837A63BC4BEDBAE06AB5D33A1739",1)</f>
        <v>=DISPIMG("ID_99A4837A63BC4BEDBAE06AB5D33A1739",1)</v>
      </c>
      <c r="O79" s="24">
        <f t="shared" si="7"/>
        <v>60</v>
      </c>
    </row>
    <row r="80" customHeight="1" spans="1:15">
      <c r="A80" s="17">
        <v>1</v>
      </c>
      <c r="B80" s="17">
        <v>101101</v>
      </c>
      <c r="C80" s="17">
        <v>3</v>
      </c>
      <c r="D80" s="26" t="s">
        <v>333</v>
      </c>
      <c r="E80" s="17" t="s">
        <v>38</v>
      </c>
      <c r="F80" s="17" t="s">
        <v>334</v>
      </c>
      <c r="G80" s="17">
        <v>12</v>
      </c>
      <c r="H80" s="17" t="s">
        <v>242</v>
      </c>
      <c r="J80" s="17" t="s">
        <v>335</v>
      </c>
      <c r="K80" s="17" t="s">
        <v>81</v>
      </c>
      <c r="L80" s="17" t="str">
        <f>_xlfn.DISPIMG("ID_02BBAB7B64FF4DD4ADB18AD618827F48",1)</f>
        <v>=DISPIMG("ID_02BBAB7B64FF4DD4ADB18AD618827F48",1)</v>
      </c>
      <c r="O80" s="24">
        <f t="shared" si="7"/>
        <v>36</v>
      </c>
    </row>
    <row r="81" customHeight="1" spans="1:15">
      <c r="A81" s="17">
        <v>1</v>
      </c>
      <c r="B81" s="17">
        <v>101102</v>
      </c>
      <c r="C81" s="17">
        <v>1</v>
      </c>
      <c r="D81" s="26" t="s">
        <v>336</v>
      </c>
      <c r="E81" s="17" t="s">
        <v>38</v>
      </c>
      <c r="F81" s="17" t="s">
        <v>337</v>
      </c>
      <c r="G81" s="17">
        <v>1</v>
      </c>
      <c r="H81" s="17" t="s">
        <v>242</v>
      </c>
      <c r="K81" s="17">
        <v>1</v>
      </c>
      <c r="L81" s="17" t="str">
        <f>_xlfn.DISPIMG("ID_8121D34713B54E02804F6E9EC4BF7539",1)</f>
        <v>=DISPIMG("ID_8121D34713B54E02804F6E9EC4BF7539",1)</v>
      </c>
      <c r="O81" s="24">
        <f t="shared" si="7"/>
        <v>60</v>
      </c>
    </row>
    <row r="82" customHeight="1" spans="1:15">
      <c r="A82" s="17">
        <v>1</v>
      </c>
      <c r="B82" s="17">
        <v>101102</v>
      </c>
      <c r="C82" s="17">
        <v>3</v>
      </c>
      <c r="D82" s="26" t="s">
        <v>336</v>
      </c>
      <c r="E82" s="17" t="s">
        <v>38</v>
      </c>
      <c r="F82" s="17" t="s">
        <v>337</v>
      </c>
      <c r="G82" s="17">
        <v>12</v>
      </c>
      <c r="H82" s="17" t="s">
        <v>242</v>
      </c>
      <c r="J82" s="17" t="s">
        <v>335</v>
      </c>
      <c r="K82" s="17" t="s">
        <v>81</v>
      </c>
      <c r="L82" s="17" t="str">
        <f>_xlfn.DISPIMG("ID_28B7062ED11D480BA855AE7F6C0108BA",1)</f>
        <v>=DISPIMG("ID_28B7062ED11D480BA855AE7F6C0108BA",1)</v>
      </c>
      <c r="O82" s="24">
        <f t="shared" si="7"/>
        <v>36</v>
      </c>
    </row>
    <row r="83" customHeight="1" spans="1:15">
      <c r="A83" s="17">
        <v>1</v>
      </c>
      <c r="B83" s="17">
        <v>101103</v>
      </c>
      <c r="C83" s="17">
        <v>1</v>
      </c>
      <c r="D83" s="26" t="s">
        <v>338</v>
      </c>
      <c r="E83" s="17" t="s">
        <v>38</v>
      </c>
      <c r="F83" s="17" t="s">
        <v>337</v>
      </c>
      <c r="G83" s="17">
        <v>1</v>
      </c>
      <c r="H83" s="17" t="s">
        <v>242</v>
      </c>
      <c r="K83" s="17">
        <v>1</v>
      </c>
      <c r="L83" s="17" t="str">
        <f>_xlfn.DISPIMG("ID_5C5BB59DB0734471AAD8128682813C4F",1)</f>
        <v>=DISPIMG("ID_5C5BB59DB0734471AAD8128682813C4F",1)</v>
      </c>
      <c r="O83" s="24">
        <f t="shared" si="7"/>
        <v>60</v>
      </c>
    </row>
    <row r="84" customHeight="1" spans="1:15">
      <c r="A84" s="17">
        <v>1</v>
      </c>
      <c r="B84" s="17">
        <v>101103</v>
      </c>
      <c r="C84" s="17">
        <v>3</v>
      </c>
      <c r="D84" s="26" t="s">
        <v>338</v>
      </c>
      <c r="E84" s="17" t="s">
        <v>38</v>
      </c>
      <c r="F84" s="17" t="s">
        <v>337</v>
      </c>
      <c r="G84" s="17">
        <v>12</v>
      </c>
      <c r="H84" s="17" t="s">
        <v>242</v>
      </c>
      <c r="J84" s="17" t="s">
        <v>335</v>
      </c>
      <c r="K84" s="17" t="s">
        <v>81</v>
      </c>
      <c r="L84" s="17" t="str">
        <f>_xlfn.DISPIMG("ID_10F2BDC9ABB241A3A35FE902EEF515B1",1)</f>
        <v>=DISPIMG("ID_10F2BDC9ABB241A3A35FE902EEF515B1",1)</v>
      </c>
      <c r="O84" s="24">
        <f t="shared" si="7"/>
        <v>36</v>
      </c>
    </row>
    <row r="85" customHeight="1" spans="1:15">
      <c r="A85" s="17">
        <v>1</v>
      </c>
      <c r="B85" s="27">
        <v>100201</v>
      </c>
      <c r="C85" s="28">
        <v>1</v>
      </c>
      <c r="D85" s="27" t="s">
        <v>209</v>
      </c>
      <c r="E85" s="17" t="s">
        <v>38</v>
      </c>
      <c r="F85" s="17" t="s">
        <v>339</v>
      </c>
      <c r="G85" s="17">
        <v>1</v>
      </c>
      <c r="H85" s="17" t="s">
        <v>270</v>
      </c>
      <c r="K85" s="17">
        <v>0</v>
      </c>
      <c r="L85" s="17" t="str">
        <f>_xlfn.DISPIMG("ID_A89624B41F4545678FD158C123AD62FB",1)</f>
        <v>=DISPIMG("ID_A89624B41F4545678FD158C123AD62FB",1)</v>
      </c>
      <c r="O85" s="24" t="e">
        <f t="shared" si="7"/>
        <v>#DIV/0!</v>
      </c>
    </row>
    <row r="86" customHeight="1" spans="1:15">
      <c r="A86" s="17">
        <v>1</v>
      </c>
      <c r="B86" s="27">
        <v>100201</v>
      </c>
      <c r="C86" s="28" t="s">
        <v>108</v>
      </c>
      <c r="D86" s="27" t="s">
        <v>209</v>
      </c>
      <c r="E86" s="17" t="s">
        <v>38</v>
      </c>
      <c r="F86" s="17" t="s">
        <v>339</v>
      </c>
      <c r="G86" s="17">
        <v>5</v>
      </c>
      <c r="H86" s="17" t="s">
        <v>270</v>
      </c>
      <c r="K86" s="17" t="s">
        <v>81</v>
      </c>
      <c r="L86" s="17" t="str">
        <f>_xlfn.DISPIMG("ID_A89624B41F4545678FD158C123AD62FB",1)</f>
        <v>=DISPIMG("ID_A89624B41F4545678FD158C123AD62FB",1)</v>
      </c>
      <c r="O86" s="24">
        <f t="shared" si="7"/>
        <v>15</v>
      </c>
    </row>
    <row r="87" customHeight="1" spans="1:15">
      <c r="A87" s="17">
        <v>1</v>
      </c>
      <c r="B87" s="27" t="s">
        <v>210</v>
      </c>
      <c r="C87" s="28">
        <v>1</v>
      </c>
      <c r="D87" s="27" t="s">
        <v>211</v>
      </c>
      <c r="E87" s="17" t="s">
        <v>38</v>
      </c>
      <c r="F87" s="17" t="s">
        <v>339</v>
      </c>
      <c r="G87" s="17">
        <v>1</v>
      </c>
      <c r="H87" s="17" t="s">
        <v>270</v>
      </c>
      <c r="K87" s="17">
        <v>0</v>
      </c>
      <c r="L87" s="17" t="str">
        <f>_xlfn.DISPIMG("ID_B0A278889C3047E2B81791E30692AE6F",1)</f>
        <v>=DISPIMG("ID_B0A278889C3047E2B81791E30692AE6F",1)</v>
      </c>
      <c r="O87" s="24" t="e">
        <f t="shared" si="7"/>
        <v>#DIV/0!</v>
      </c>
    </row>
    <row r="88" customHeight="1" spans="1:15">
      <c r="A88" s="17">
        <v>1</v>
      </c>
      <c r="B88" s="27" t="s">
        <v>210</v>
      </c>
      <c r="C88" s="28" t="s">
        <v>108</v>
      </c>
      <c r="D88" s="27" t="s">
        <v>211</v>
      </c>
      <c r="E88" s="17" t="s">
        <v>38</v>
      </c>
      <c r="F88" s="17" t="s">
        <v>339</v>
      </c>
      <c r="G88" s="17">
        <v>5</v>
      </c>
      <c r="H88" s="17" t="s">
        <v>270</v>
      </c>
      <c r="K88" s="17" t="s">
        <v>81</v>
      </c>
      <c r="L88" s="17" t="str">
        <f>_xlfn.DISPIMG("ID_B0A278889C3047E2B81791E30692AE6F",1)</f>
        <v>=DISPIMG("ID_B0A278889C3047E2B81791E30692AE6F",1)</v>
      </c>
      <c r="O88" s="24">
        <f t="shared" ref="O88:O93" si="9">60/K88*G88</f>
        <v>15</v>
      </c>
    </row>
    <row r="89" customHeight="1" spans="1:15">
      <c r="A89" s="17">
        <v>1</v>
      </c>
      <c r="B89" s="27" t="s">
        <v>212</v>
      </c>
      <c r="C89" s="28" t="s">
        <v>65</v>
      </c>
      <c r="D89" s="27" t="s">
        <v>213</v>
      </c>
      <c r="E89" s="17" t="s">
        <v>38</v>
      </c>
      <c r="F89" s="17" t="s">
        <v>340</v>
      </c>
      <c r="G89" s="17">
        <v>1</v>
      </c>
      <c r="H89" s="17" t="s">
        <v>270</v>
      </c>
      <c r="K89" s="17">
        <v>0</v>
      </c>
      <c r="L89" s="17" t="str">
        <f>_xlfn.DISPIMG("ID_187D0648DE3146AEA9BDD2D4A0199FC3",1)</f>
        <v>=DISPIMG("ID_187D0648DE3146AEA9BDD2D4A0199FC3",1)</v>
      </c>
      <c r="O89" s="24" t="e">
        <f t="shared" si="9"/>
        <v>#DIV/0!</v>
      </c>
    </row>
    <row r="90" customHeight="1" spans="1:15">
      <c r="A90" s="17">
        <v>1</v>
      </c>
      <c r="B90" s="27" t="s">
        <v>212</v>
      </c>
      <c r="C90" s="28" t="s">
        <v>108</v>
      </c>
      <c r="D90" s="27" t="s">
        <v>213</v>
      </c>
      <c r="E90" s="17" t="s">
        <v>38</v>
      </c>
      <c r="F90" s="17" t="s">
        <v>340</v>
      </c>
      <c r="G90" s="17">
        <v>5</v>
      </c>
      <c r="H90" s="17" t="s">
        <v>270</v>
      </c>
      <c r="K90" s="17" t="s">
        <v>81</v>
      </c>
      <c r="L90" s="17" t="str">
        <f>_xlfn.DISPIMG("ID_187D0648DE3146AEA9BDD2D4A0199FC3",1)</f>
        <v>=DISPIMG("ID_187D0648DE3146AEA9BDD2D4A0199FC3",1)</v>
      </c>
      <c r="O90" s="24">
        <f t="shared" si="9"/>
        <v>15</v>
      </c>
    </row>
    <row r="91" customHeight="1" spans="1:15">
      <c r="A91" s="17">
        <v>1</v>
      </c>
      <c r="B91" s="27">
        <v>100101</v>
      </c>
      <c r="C91" s="28">
        <v>1</v>
      </c>
      <c r="D91" s="27" t="s">
        <v>341</v>
      </c>
      <c r="E91" s="17" t="s">
        <v>38</v>
      </c>
      <c r="F91" s="17" t="s">
        <v>342</v>
      </c>
      <c r="G91" s="17">
        <v>1</v>
      </c>
      <c r="H91" s="17" t="s">
        <v>316</v>
      </c>
      <c r="K91" s="17">
        <v>0</v>
      </c>
      <c r="L91" s="17" t="str">
        <f>_xlfn.DISPIMG("ID_EB846EFA8E744BBC97477EC45F4D23C9",1)</f>
        <v>=DISPIMG("ID_EB846EFA8E744BBC97477EC45F4D23C9",1)</v>
      </c>
      <c r="O91" s="24" t="e">
        <f t="shared" si="9"/>
        <v>#DIV/0!</v>
      </c>
    </row>
    <row r="92" customHeight="1" spans="1:15">
      <c r="A92" s="17">
        <v>1</v>
      </c>
      <c r="B92" s="27">
        <v>100101</v>
      </c>
      <c r="C92" s="28" t="s">
        <v>108</v>
      </c>
      <c r="D92" s="27" t="s">
        <v>341</v>
      </c>
      <c r="E92" s="17" t="s">
        <v>38</v>
      </c>
      <c r="F92" s="17" t="s">
        <v>342</v>
      </c>
      <c r="G92" s="17">
        <v>10</v>
      </c>
      <c r="H92" s="17" t="s">
        <v>316</v>
      </c>
      <c r="K92" s="17" t="s">
        <v>81</v>
      </c>
      <c r="L92" s="17" t="str">
        <f>_xlfn.DISPIMG("ID_D8812854D47A440699342E06DB0D89B1",1)</f>
        <v>=DISPIMG("ID_D8812854D47A440699342E06DB0D89B1",1)</v>
      </c>
      <c r="O92" s="24">
        <f t="shared" si="9"/>
        <v>30</v>
      </c>
    </row>
    <row r="93" customHeight="1" spans="1:15">
      <c r="A93" s="17">
        <v>1</v>
      </c>
      <c r="B93" s="27">
        <v>100101</v>
      </c>
      <c r="C93" s="28" t="s">
        <v>69</v>
      </c>
      <c r="D93" s="27" t="s">
        <v>341</v>
      </c>
      <c r="E93" s="17" t="s">
        <v>38</v>
      </c>
      <c r="F93" s="17" t="s">
        <v>342</v>
      </c>
      <c r="G93" s="17">
        <v>10</v>
      </c>
      <c r="H93" s="17" t="s">
        <v>316</v>
      </c>
      <c r="K93" s="17" t="s">
        <v>81</v>
      </c>
      <c r="L93" s="17" t="str">
        <f>_xlfn.DISPIMG("ID_D8812854D47A440699342E06DB0D89B1",1)</f>
        <v>=DISPIMG("ID_D8812854D47A440699342E06DB0D89B1",1)</v>
      </c>
      <c r="O93" s="24">
        <f t="shared" si="9"/>
        <v>30</v>
      </c>
    </row>
    <row r="94" customHeight="1" spans="1:15">
      <c r="A94" s="17">
        <v>1</v>
      </c>
      <c r="B94" s="27" t="s">
        <v>205</v>
      </c>
      <c r="C94" s="28">
        <v>1</v>
      </c>
      <c r="D94" s="27" t="s">
        <v>343</v>
      </c>
      <c r="E94" s="17" t="s">
        <v>38</v>
      </c>
      <c r="F94" s="17" t="s">
        <v>342</v>
      </c>
      <c r="G94" s="17">
        <v>1</v>
      </c>
      <c r="H94" s="17" t="s">
        <v>316</v>
      </c>
      <c r="K94" s="17">
        <v>0</v>
      </c>
      <c r="L94" s="17" t="str">
        <f>_xlfn.DISPIMG("ID_F3070FA5144F446AA445C5927180C077",1)</f>
        <v>=DISPIMG("ID_F3070FA5144F446AA445C5927180C077",1)</v>
      </c>
      <c r="O94" s="24" t="e">
        <f t="shared" ref="O94:O117" si="10">60/K94*G94</f>
        <v>#DIV/0!</v>
      </c>
    </row>
    <row r="95" customHeight="1" spans="1:15">
      <c r="A95" s="17">
        <v>1</v>
      </c>
      <c r="B95" s="27" t="s">
        <v>205</v>
      </c>
      <c r="C95" s="28" t="s">
        <v>108</v>
      </c>
      <c r="D95" s="27" t="s">
        <v>343</v>
      </c>
      <c r="E95" s="17" t="s">
        <v>38</v>
      </c>
      <c r="F95" s="17" t="s">
        <v>342</v>
      </c>
      <c r="G95" s="17">
        <v>10</v>
      </c>
      <c r="H95" s="17" t="s">
        <v>316</v>
      </c>
      <c r="K95" s="17" t="s">
        <v>81</v>
      </c>
      <c r="L95" s="17" t="str">
        <f>_xlfn.DISPIMG("ID_1DB669043698407792A4A3D4C75E15AD",1)</f>
        <v>=DISPIMG("ID_1DB669043698407792A4A3D4C75E15AD",1)</v>
      </c>
      <c r="O95" s="24">
        <f t="shared" si="10"/>
        <v>30</v>
      </c>
    </row>
    <row r="96" customHeight="1" spans="1:15">
      <c r="A96" s="17">
        <v>1</v>
      </c>
      <c r="B96" s="27" t="s">
        <v>207</v>
      </c>
      <c r="C96" s="28">
        <v>1</v>
      </c>
      <c r="D96" s="27" t="s">
        <v>344</v>
      </c>
      <c r="E96" s="17" t="s">
        <v>38</v>
      </c>
      <c r="F96" s="17" t="s">
        <v>342</v>
      </c>
      <c r="G96" s="17">
        <v>1</v>
      </c>
      <c r="H96" s="17" t="s">
        <v>316</v>
      </c>
      <c r="K96" s="17">
        <v>0</v>
      </c>
      <c r="L96" s="17" t="str">
        <f>_xlfn.DISPIMG("ID_5979A741E6774852B3BB05EEFBD6AB5A",1)</f>
        <v>=DISPIMG("ID_5979A741E6774852B3BB05EEFBD6AB5A",1)</v>
      </c>
      <c r="O96" s="24" t="e">
        <f t="shared" si="10"/>
        <v>#DIV/0!</v>
      </c>
    </row>
    <row r="97" customHeight="1" spans="1:15">
      <c r="A97" s="17">
        <v>1</v>
      </c>
      <c r="B97" s="27" t="s">
        <v>207</v>
      </c>
      <c r="C97" s="28" t="s">
        <v>108</v>
      </c>
      <c r="D97" s="27" t="s">
        <v>344</v>
      </c>
      <c r="E97" s="17" t="s">
        <v>38</v>
      </c>
      <c r="F97" s="17" t="s">
        <v>342</v>
      </c>
      <c r="G97" s="17">
        <v>10</v>
      </c>
      <c r="H97" s="17" t="s">
        <v>316</v>
      </c>
      <c r="K97" s="17" t="s">
        <v>81</v>
      </c>
      <c r="L97" s="17" t="str">
        <f>_xlfn.DISPIMG("ID_244E1F4DEE12430F9B35F45CCAD4172D",1)</f>
        <v>=DISPIMG("ID_244E1F4DEE12430F9B35F45CCAD4172D",1)</v>
      </c>
      <c r="O97" s="24">
        <f t="shared" si="10"/>
        <v>30</v>
      </c>
    </row>
    <row r="98" customHeight="1" spans="1:15">
      <c r="A98" s="28" t="s">
        <v>65</v>
      </c>
      <c r="B98" s="17" t="s">
        <v>220</v>
      </c>
      <c r="C98" s="28" t="s">
        <v>65</v>
      </c>
      <c r="D98" s="27" t="s">
        <v>221</v>
      </c>
      <c r="E98" s="28" t="s">
        <v>38</v>
      </c>
      <c r="F98" s="29" t="s">
        <v>345</v>
      </c>
      <c r="G98" s="29" t="s">
        <v>102</v>
      </c>
      <c r="H98" s="29" t="s">
        <v>346</v>
      </c>
      <c r="J98" s="30"/>
      <c r="K98" s="30" t="s">
        <v>222</v>
      </c>
      <c r="L98" s="17" t="str">
        <f>_xlfn.DISPIMG("ID_48BCE4F1CEEC4B6BAD6459C76956F712",1)</f>
        <v>=DISPIMG("ID_48BCE4F1CEEC4B6BAD6459C76956F712",1)</v>
      </c>
      <c r="O98" s="24" t="e">
        <f t="shared" si="10"/>
        <v>#DIV/0!</v>
      </c>
    </row>
    <row r="99" customHeight="1" spans="1:15">
      <c r="A99" s="28" t="s">
        <v>65</v>
      </c>
      <c r="B99" s="17" t="s">
        <v>220</v>
      </c>
      <c r="C99" s="28" t="s">
        <v>108</v>
      </c>
      <c r="D99" s="27" t="s">
        <v>347</v>
      </c>
      <c r="E99" s="28" t="s">
        <v>38</v>
      </c>
      <c r="F99" s="29" t="s">
        <v>345</v>
      </c>
      <c r="G99" s="29" t="s">
        <v>102</v>
      </c>
      <c r="H99" s="29" t="s">
        <v>346</v>
      </c>
      <c r="J99" s="30"/>
      <c r="K99" s="17" t="s">
        <v>81</v>
      </c>
      <c r="L99" s="17" t="str">
        <f>_xlfn.DISPIMG("ID_48BCE4F1CEEC4B6BAD6459C76956F712",1)</f>
        <v>=DISPIMG("ID_48BCE4F1CEEC4B6BAD6459C76956F712",1)</v>
      </c>
      <c r="O99" s="24">
        <f t="shared" si="10"/>
        <v>18</v>
      </c>
    </row>
    <row r="100" customHeight="1" spans="1:15">
      <c r="A100" s="28" t="s">
        <v>65</v>
      </c>
      <c r="B100" s="17" t="s">
        <v>223</v>
      </c>
      <c r="C100" s="28" t="s">
        <v>65</v>
      </c>
      <c r="D100" s="31" t="s">
        <v>224</v>
      </c>
      <c r="E100" s="28" t="s">
        <v>38</v>
      </c>
      <c r="F100" s="29" t="s">
        <v>348</v>
      </c>
      <c r="G100" s="29" t="s">
        <v>185</v>
      </c>
      <c r="H100" s="29" t="s">
        <v>186</v>
      </c>
      <c r="J100" s="30"/>
      <c r="K100" s="30" t="s">
        <v>187</v>
      </c>
      <c r="L100" s="17" t="str">
        <f>_xlfn.DISPIMG("ID_E1E4FCC7203644CEBB52CBDD055E4C93",1)</f>
        <v>=DISPIMG("ID_E1E4FCC7203644CEBB52CBDD055E4C93",1)</v>
      </c>
      <c r="O100" s="24">
        <f t="shared" si="10"/>
        <v>48</v>
      </c>
    </row>
    <row r="101" customHeight="1" spans="1:15">
      <c r="A101" s="28" t="s">
        <v>65</v>
      </c>
      <c r="B101" s="17" t="s">
        <v>223</v>
      </c>
      <c r="C101" s="28" t="s">
        <v>69</v>
      </c>
      <c r="D101" s="31" t="s">
        <v>349</v>
      </c>
      <c r="E101" s="28" t="s">
        <v>38</v>
      </c>
      <c r="F101" s="29" t="s">
        <v>348</v>
      </c>
      <c r="G101" s="29" t="s">
        <v>350</v>
      </c>
      <c r="H101" s="29" t="s">
        <v>351</v>
      </c>
      <c r="J101" s="30"/>
      <c r="K101" s="30" t="s">
        <v>187</v>
      </c>
      <c r="L101" s="17" t="str">
        <f>_xlfn.DISPIMG("ID_59E5DA084C064CA090398D389D84894B",1)</f>
        <v>=DISPIMG("ID_59E5DA084C064CA090398D389D84894B",1)</v>
      </c>
      <c r="O101" s="24">
        <f t="shared" si="10"/>
        <v>168</v>
      </c>
    </row>
    <row r="102" customHeight="1" spans="1:15">
      <c r="A102" s="28" t="s">
        <v>65</v>
      </c>
      <c r="B102" s="17">
        <v>101801</v>
      </c>
      <c r="C102" s="28" t="s">
        <v>65</v>
      </c>
      <c r="D102" s="17" t="s">
        <v>225</v>
      </c>
      <c r="E102" s="28" t="s">
        <v>38</v>
      </c>
      <c r="F102" s="17" t="s">
        <v>352</v>
      </c>
      <c r="G102" s="29" t="s">
        <v>65</v>
      </c>
      <c r="H102" s="17" t="s">
        <v>64</v>
      </c>
      <c r="J102" s="30"/>
      <c r="K102" s="30" t="s">
        <v>222</v>
      </c>
      <c r="L102" s="17" t="str">
        <f>_xlfn.DISPIMG("ID_0D727F2ACE2A414F88871F3D1F359ADF",1)</f>
        <v>=DISPIMG("ID_0D727F2ACE2A414F88871F3D1F359ADF",1)</v>
      </c>
      <c r="O102" s="24" t="e">
        <f t="shared" si="10"/>
        <v>#DIV/0!</v>
      </c>
    </row>
    <row r="103" customHeight="1" spans="1:15">
      <c r="A103" s="28" t="s">
        <v>65</v>
      </c>
      <c r="B103" s="17" t="s">
        <v>226</v>
      </c>
      <c r="C103" s="28" t="s">
        <v>65</v>
      </c>
      <c r="D103" s="32" t="s">
        <v>227</v>
      </c>
      <c r="E103" s="28" t="s">
        <v>38</v>
      </c>
      <c r="F103" s="29" t="s">
        <v>353</v>
      </c>
      <c r="G103" s="29" t="s">
        <v>69</v>
      </c>
      <c r="H103" s="17" t="s">
        <v>354</v>
      </c>
      <c r="J103" s="30"/>
      <c r="K103" s="30" t="s">
        <v>187</v>
      </c>
      <c r="L103" s="17" t="str">
        <f>_xlfn.DISPIMG("ID_733EE97FF5E64127B78BE2EF6281AD1B",1)</f>
        <v>=DISPIMG("ID_733EE97FF5E64127B78BE2EF6281AD1B",1)</v>
      </c>
      <c r="O103" s="24">
        <f t="shared" si="10"/>
        <v>24</v>
      </c>
    </row>
    <row r="104" customHeight="1" spans="1:15">
      <c r="A104" s="28" t="s">
        <v>65</v>
      </c>
      <c r="B104" s="17" t="s">
        <v>226</v>
      </c>
      <c r="C104" s="28" t="s">
        <v>108</v>
      </c>
      <c r="D104" s="32" t="s">
        <v>227</v>
      </c>
      <c r="E104" s="28" t="s">
        <v>38</v>
      </c>
      <c r="F104" s="29" t="s">
        <v>353</v>
      </c>
      <c r="G104" s="29" t="s">
        <v>185</v>
      </c>
      <c r="H104" s="17" t="s">
        <v>186</v>
      </c>
      <c r="J104" s="30"/>
      <c r="K104" s="17" t="s">
        <v>81</v>
      </c>
      <c r="L104" s="17" t="str">
        <f>_xlfn.DISPIMG("ID_DB914DF14CA747C1B4837AEC14372FDD",1)</f>
        <v>=DISPIMG("ID_DB914DF14CA747C1B4837AEC14372FDD",1)</v>
      </c>
      <c r="O104" s="24">
        <f t="shared" si="10"/>
        <v>24</v>
      </c>
    </row>
    <row r="105" customHeight="1" spans="1:15">
      <c r="A105" s="33" t="s">
        <v>65</v>
      </c>
      <c r="B105" s="34">
        <v>102101</v>
      </c>
      <c r="C105" s="34" t="s">
        <v>65</v>
      </c>
      <c r="D105" s="34" t="s">
        <v>228</v>
      </c>
      <c r="E105" s="33" t="s">
        <v>38</v>
      </c>
      <c r="F105" s="35" t="s">
        <v>355</v>
      </c>
      <c r="G105" s="35" t="s">
        <v>69</v>
      </c>
      <c r="H105" s="35" t="s">
        <v>354</v>
      </c>
      <c r="J105" s="30"/>
      <c r="K105" s="30" t="s">
        <v>187</v>
      </c>
      <c r="L105" s="24" t="str">
        <f>_xlfn.DISPIMG("ID_CCDAFC600A004D07982653F599D92ABF",1)</f>
        <v>=DISPIMG("ID_CCDAFC600A004D07982653F599D92ABF",1)</v>
      </c>
      <c r="O105" s="24">
        <f t="shared" si="10"/>
        <v>24</v>
      </c>
    </row>
    <row r="106" customHeight="1" spans="1:15">
      <c r="A106" s="33" t="s">
        <v>65</v>
      </c>
      <c r="B106" s="34">
        <v>102101</v>
      </c>
      <c r="C106" s="34">
        <v>3</v>
      </c>
      <c r="D106" s="34" t="s">
        <v>228</v>
      </c>
      <c r="E106" s="33" t="s">
        <v>38</v>
      </c>
      <c r="F106" s="35" t="s">
        <v>355</v>
      </c>
      <c r="G106" s="35" t="s">
        <v>185</v>
      </c>
      <c r="H106" s="35" t="s">
        <v>186</v>
      </c>
      <c r="J106" s="30"/>
      <c r="K106" s="17" t="s">
        <v>81</v>
      </c>
      <c r="L106" s="24" t="str">
        <f>_xlfn.DISPIMG("ID_D134C0EED1684D3796C76E361CDB83CC",1)</f>
        <v>=DISPIMG("ID_D134C0EED1684D3796C76E361CDB83CC",1)</v>
      </c>
      <c r="O106" s="24">
        <f t="shared" si="10"/>
        <v>24</v>
      </c>
    </row>
    <row r="107" customHeight="1" spans="1:15">
      <c r="A107" s="28">
        <v>1</v>
      </c>
      <c r="B107" s="27">
        <v>201101</v>
      </c>
      <c r="C107" s="28">
        <v>1</v>
      </c>
      <c r="D107" s="17" t="s">
        <v>230</v>
      </c>
      <c r="E107" s="28" t="s">
        <v>38</v>
      </c>
      <c r="F107" s="36" t="s">
        <v>64</v>
      </c>
      <c r="G107" s="29">
        <v>1</v>
      </c>
      <c r="H107" s="17" t="s">
        <v>64</v>
      </c>
      <c r="K107" s="17" t="s">
        <v>65</v>
      </c>
      <c r="L107" s="17" t="str">
        <f t="shared" ref="L107:L113" si="11">_xlfn.DISPIMG("ID_986EA4D9337041F3AC381BD1EFB532C8",1)</f>
        <v>=DISPIMG("ID_986EA4D9337041F3AC381BD1EFB532C8",1)</v>
      </c>
      <c r="O107" s="24">
        <f t="shared" si="10"/>
        <v>60</v>
      </c>
    </row>
    <row r="108" customHeight="1" spans="1:15">
      <c r="A108" s="28">
        <v>1</v>
      </c>
      <c r="B108" s="27">
        <v>201102</v>
      </c>
      <c r="C108" s="28">
        <v>1</v>
      </c>
      <c r="D108" s="17" t="s">
        <v>230</v>
      </c>
      <c r="E108" s="28" t="s">
        <v>38</v>
      </c>
      <c r="F108" s="36" t="s">
        <v>64</v>
      </c>
      <c r="G108" s="29">
        <v>1</v>
      </c>
      <c r="H108" s="17" t="s">
        <v>64</v>
      </c>
      <c r="K108" s="17" t="s">
        <v>65</v>
      </c>
      <c r="L108" s="17" t="str">
        <f t="shared" si="11"/>
        <v>=DISPIMG("ID_986EA4D9337041F3AC381BD1EFB532C8",1)</v>
      </c>
      <c r="O108" s="24">
        <f t="shared" si="10"/>
        <v>60</v>
      </c>
    </row>
    <row r="109" customHeight="1" spans="1:15">
      <c r="A109" s="17">
        <v>1</v>
      </c>
      <c r="B109" s="27">
        <v>201103</v>
      </c>
      <c r="C109" s="28">
        <v>1</v>
      </c>
      <c r="D109" s="17" t="s">
        <v>230</v>
      </c>
      <c r="E109" s="28" t="s">
        <v>38</v>
      </c>
      <c r="F109" s="36" t="s">
        <v>64</v>
      </c>
      <c r="G109" s="29">
        <v>1</v>
      </c>
      <c r="H109" s="17" t="s">
        <v>64</v>
      </c>
      <c r="K109" s="17" t="s">
        <v>65</v>
      </c>
      <c r="L109" s="17" t="str">
        <f t="shared" si="11"/>
        <v>=DISPIMG("ID_986EA4D9337041F3AC381BD1EFB532C8",1)</v>
      </c>
      <c r="O109" s="24">
        <f t="shared" si="10"/>
        <v>60</v>
      </c>
    </row>
    <row r="110" customHeight="1" spans="1:15">
      <c r="A110" s="17">
        <v>1</v>
      </c>
      <c r="B110" s="37">
        <v>10003</v>
      </c>
      <c r="C110" s="38">
        <v>1</v>
      </c>
      <c r="D110" s="39" t="s">
        <v>82</v>
      </c>
      <c r="E110" s="28" t="s">
        <v>38</v>
      </c>
      <c r="F110" s="36" t="s">
        <v>64</v>
      </c>
      <c r="G110" s="29">
        <v>1</v>
      </c>
      <c r="H110" s="17" t="s">
        <v>64</v>
      </c>
      <c r="K110" s="17" t="s">
        <v>65</v>
      </c>
      <c r="L110" s="17" t="str">
        <f t="shared" si="11"/>
        <v>=DISPIMG("ID_986EA4D9337041F3AC381BD1EFB532C8",1)</v>
      </c>
      <c r="O110" s="24">
        <f t="shared" si="10"/>
        <v>60</v>
      </c>
    </row>
    <row r="111" customHeight="1" spans="1:15">
      <c r="A111" s="17">
        <v>1</v>
      </c>
      <c r="B111" s="37">
        <v>10004</v>
      </c>
      <c r="C111" s="38">
        <v>1</v>
      </c>
      <c r="D111" s="39" t="s">
        <v>84</v>
      </c>
      <c r="E111" s="28" t="s">
        <v>38</v>
      </c>
      <c r="F111" s="36" t="s">
        <v>64</v>
      </c>
      <c r="G111" s="29">
        <v>1</v>
      </c>
      <c r="H111" s="17" t="s">
        <v>64</v>
      </c>
      <c r="K111" s="17" t="s">
        <v>65</v>
      </c>
      <c r="L111" s="17" t="str">
        <f t="shared" si="11"/>
        <v>=DISPIMG("ID_986EA4D9337041F3AC381BD1EFB532C8",1)</v>
      </c>
      <c r="O111" s="24">
        <f t="shared" si="10"/>
        <v>60</v>
      </c>
    </row>
    <row r="112" customHeight="1" spans="1:15">
      <c r="A112" s="17">
        <v>1</v>
      </c>
      <c r="B112" s="37">
        <v>10005</v>
      </c>
      <c r="C112" s="38">
        <v>1</v>
      </c>
      <c r="D112" s="39" t="s">
        <v>86</v>
      </c>
      <c r="E112" s="28" t="s">
        <v>38</v>
      </c>
      <c r="F112" s="36" t="s">
        <v>64</v>
      </c>
      <c r="G112" s="29">
        <v>1</v>
      </c>
      <c r="H112" s="17" t="s">
        <v>64</v>
      </c>
      <c r="K112" s="17" t="s">
        <v>65</v>
      </c>
      <c r="L112" s="17" t="str">
        <f t="shared" si="11"/>
        <v>=DISPIMG("ID_986EA4D9337041F3AC381BD1EFB532C8",1)</v>
      </c>
      <c r="O112" s="24">
        <f t="shared" si="10"/>
        <v>60</v>
      </c>
    </row>
    <row r="113" customHeight="1" spans="1:15">
      <c r="A113" s="17">
        <v>1</v>
      </c>
      <c r="B113" s="37">
        <v>10006</v>
      </c>
      <c r="C113" s="38">
        <v>1</v>
      </c>
      <c r="D113" s="40" t="s">
        <v>88</v>
      </c>
      <c r="E113" s="28" t="s">
        <v>38</v>
      </c>
      <c r="F113" s="36" t="s">
        <v>64</v>
      </c>
      <c r="G113" s="29">
        <v>1</v>
      </c>
      <c r="H113" s="17" t="s">
        <v>64</v>
      </c>
      <c r="K113" s="17" t="s">
        <v>65</v>
      </c>
      <c r="L113" s="17" t="str">
        <f t="shared" si="11"/>
        <v>=DISPIMG("ID_986EA4D9337041F3AC381BD1EFB532C8",1)</v>
      </c>
      <c r="O113" s="24">
        <f t="shared" si="10"/>
        <v>60</v>
      </c>
    </row>
    <row r="114" customHeight="1" spans="1:15">
      <c r="A114" s="17">
        <v>1</v>
      </c>
      <c r="B114" s="37">
        <v>10008</v>
      </c>
      <c r="C114" s="38">
        <v>1</v>
      </c>
      <c r="D114" s="37" t="s">
        <v>92</v>
      </c>
      <c r="E114" s="28" t="s">
        <v>38</v>
      </c>
      <c r="F114" s="17" t="s">
        <v>356</v>
      </c>
      <c r="G114" s="17">
        <v>4</v>
      </c>
      <c r="H114" s="17" t="s">
        <v>354</v>
      </c>
      <c r="K114" s="17" t="s">
        <v>187</v>
      </c>
      <c r="L114" s="17" t="str">
        <f>_xlfn.DISPIMG("ID_BA7B1FC6F2DC484F9C26EA1EEACD3B47",1)</f>
        <v>=DISPIMG("ID_BA7B1FC6F2DC484F9C26EA1EEACD3B47",1)</v>
      </c>
      <c r="O114" s="24">
        <f t="shared" si="10"/>
        <v>24</v>
      </c>
    </row>
    <row r="115" customHeight="1" spans="1:15">
      <c r="A115" s="17">
        <v>1</v>
      </c>
      <c r="B115" s="37">
        <v>10009</v>
      </c>
      <c r="C115" s="38">
        <v>1</v>
      </c>
      <c r="D115" s="41" t="s">
        <v>94</v>
      </c>
      <c r="E115" s="28" t="s">
        <v>38</v>
      </c>
      <c r="F115" s="17" t="s">
        <v>357</v>
      </c>
      <c r="G115" s="17">
        <v>4</v>
      </c>
      <c r="H115" s="17" t="s">
        <v>354</v>
      </c>
      <c r="K115" s="17" t="s">
        <v>187</v>
      </c>
      <c r="L115" s="17" t="str">
        <f>_xlfn.DISPIMG("ID_C8C4AE36C7EC492E9840AA2C9D45A9DD",1)</f>
        <v>=DISPIMG("ID_C8C4AE36C7EC492E9840AA2C9D45A9DD",1)</v>
      </c>
      <c r="O115" s="24">
        <f t="shared" si="10"/>
        <v>24</v>
      </c>
    </row>
    <row r="116" customHeight="1" spans="1:15">
      <c r="A116" s="17">
        <v>1</v>
      </c>
      <c r="B116" s="37">
        <v>10019</v>
      </c>
      <c r="C116" s="38">
        <v>1</v>
      </c>
      <c r="D116" s="39" t="s">
        <v>96</v>
      </c>
      <c r="E116" s="28" t="s">
        <v>38</v>
      </c>
      <c r="F116" s="17" t="s">
        <v>358</v>
      </c>
      <c r="G116" s="29">
        <v>1</v>
      </c>
      <c r="H116" s="17" t="s">
        <v>64</v>
      </c>
      <c r="K116" s="17">
        <v>1</v>
      </c>
      <c r="L116" s="17" t="str">
        <f>_xlfn.DISPIMG("ID_7F24943C83E0466E908E885DEEF60793",1)</f>
        <v>=DISPIMG("ID_7F24943C83E0466E908E885DEEF60793",1)</v>
      </c>
      <c r="O116" s="24">
        <f t="shared" si="10"/>
        <v>60</v>
      </c>
    </row>
    <row r="117" customHeight="1" spans="1:15">
      <c r="A117" s="17">
        <v>1</v>
      </c>
      <c r="B117" s="37">
        <v>10020</v>
      </c>
      <c r="C117" s="38">
        <v>1</v>
      </c>
      <c r="D117" s="39" t="s">
        <v>98</v>
      </c>
      <c r="E117" s="28" t="s">
        <v>38</v>
      </c>
      <c r="F117" s="17" t="s">
        <v>358</v>
      </c>
      <c r="G117" s="29">
        <v>1</v>
      </c>
      <c r="H117" s="17" t="s">
        <v>64</v>
      </c>
      <c r="K117" s="17">
        <v>1</v>
      </c>
      <c r="L117" s="17" t="str">
        <f>_xlfn.DISPIMG("ID_6F5473426F094FBBBFFAC8B7BC181E54",1)</f>
        <v>=DISPIMG("ID_6F5473426F094FBBBFFAC8B7BC181E54",1)</v>
      </c>
      <c r="O117" s="24">
        <f t="shared" si="10"/>
        <v>60</v>
      </c>
    </row>
  </sheetData>
  <dataValidations count="1">
    <dataValidation type="list" allowBlank="1" showInputMessage="1" showErrorMessage="1" sqref="C4:K4 M4:N4">
      <formula1>数据类型!$B$2:$B$51</formula1>
    </dataValidation>
  </dataValidations>
  <pageMargins left="0.75" right="0.75" top="1" bottom="1" header="0.5" footer="0.5"/>
  <headerFooter/>
  <ignoredErrors>
    <ignoredError sqref="M31:N32 A31:B32 D31:E32 I32 I31:J31 A28:B29 D28:E29 I29 I28:J28 M28:N29 A6:N14 L5:N5 A5:J5 A1:B1 M1:N1 I1 D1:F1 A2:N4 A15:E23 L15:N15 L16 N16 M17:N17 L18:N23 I15:J15 I16:I17 I18:J23 M34:N34 I34:J34 A34:D34 A24:N24 A25:E26 I26 I25:J25 M25:N26 D37 A37:B37 M36:N37 I36:J37 D40:E40 A40:B40 M39:N40 I39:J40 L104:N104 A104:J104 A102:N103 L99:N101 A99:J101 A98:N98 L97:N97 K96:N96 L95:N95 A95:I97 A94:N94 L92:N92 A92:I92 A91:N91 L90:N90 A90:J90 A89:N89 L88:N88 A88:J88 A87:N87 L86:N86 A86:J86 A85:N85 L84:N84 A84:J84 A83:N83 L82:N82 A82:J82 A81:N81 L80:N80 A80:J80 A77:N79 L75:N76 A75:J76 A74:N74 L73:N73 A73:J73 A72:N72 L71:N71 A71:J71 A67:N70 L66:N66 A66:J66 A65:N65 L64:N64 A64:J64 A51:N63 L50:N50 A50:J50 A48:N49 L44:N47 A44:J47 A43:N43 M42:N42 I42:J42 A116:N117 L114:N115 A114:J115 A107:N113" numberStoredAsText="1"/>
  </ignoredError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/>
  <dimension ref="A1:N4"/>
  <sheetViews>
    <sheetView zoomScale="115" zoomScaleNormal="115" topLeftCell="B1" workbookViewId="0">
      <selection activeCell="I20" sqref="I20"/>
    </sheetView>
  </sheetViews>
  <sheetFormatPr defaultColWidth="9" defaultRowHeight="13.5" outlineLevelRow="3"/>
  <cols>
    <col min="1" max="1" width="34.5666666666667" style="16" customWidth="1"/>
    <col min="2" max="2" width="16.6333333333333" style="16" customWidth="1"/>
    <col min="3" max="4" width="20.5" style="16" customWidth="1"/>
    <col min="5" max="5" width="16.75" style="16" customWidth="1"/>
    <col min="6" max="6" width="11.75" style="17" customWidth="1"/>
    <col min="7" max="7" width="22" style="16" customWidth="1"/>
    <col min="8" max="8" width="13.75" style="16" customWidth="1"/>
    <col min="9" max="9" width="19.5666666666667" style="16" customWidth="1"/>
    <col min="10" max="10" width="33.3666666666667" style="16" customWidth="1"/>
    <col min="11" max="11" width="22.3916666666667" style="16" customWidth="1"/>
    <col min="12" max="12" width="19.4833333333333" style="16" customWidth="1"/>
    <col min="13" max="14" width="13" style="16" customWidth="1"/>
    <col min="15" max="16384" width="9" style="16"/>
  </cols>
  <sheetData>
    <row r="1" ht="114" spans="1:14">
      <c r="A1" s="3" t="s">
        <v>359</v>
      </c>
      <c r="B1" s="4" t="s">
        <v>360</v>
      </c>
      <c r="C1" s="18" t="s">
        <v>2</v>
      </c>
      <c r="D1" s="5" t="s">
        <v>3</v>
      </c>
      <c r="E1" s="6" t="s">
        <v>4</v>
      </c>
      <c r="F1" s="19" t="s">
        <v>5</v>
      </c>
      <c r="G1" s="7" t="s">
        <v>6</v>
      </c>
      <c r="H1" s="7" t="s">
        <v>235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</row>
    <row r="2" ht="14.25" spans="1:14">
      <c r="A2" s="8" t="s">
        <v>14</v>
      </c>
      <c r="B2" s="9">
        <v>1</v>
      </c>
      <c r="C2" s="9">
        <v>1</v>
      </c>
      <c r="D2" s="9">
        <v>0</v>
      </c>
      <c r="E2" s="9">
        <v>2</v>
      </c>
      <c r="F2" s="20">
        <v>2</v>
      </c>
      <c r="G2" s="10">
        <v>2</v>
      </c>
      <c r="H2" s="10">
        <v>2</v>
      </c>
      <c r="I2" s="10">
        <v>2</v>
      </c>
      <c r="J2" s="10">
        <v>2</v>
      </c>
      <c r="K2" s="10">
        <v>2</v>
      </c>
      <c r="L2" s="10">
        <v>2</v>
      </c>
      <c r="M2" s="10">
        <v>2</v>
      </c>
      <c r="N2" s="10">
        <v>3</v>
      </c>
    </row>
    <row r="3" ht="14.25" spans="1:14">
      <c r="A3" s="8" t="s">
        <v>15</v>
      </c>
      <c r="B3" s="9" t="s">
        <v>16</v>
      </c>
      <c r="C3" s="9" t="s">
        <v>17</v>
      </c>
      <c r="D3" s="9" t="s">
        <v>18</v>
      </c>
      <c r="E3" s="9" t="s">
        <v>19</v>
      </c>
      <c r="F3" s="20" t="s">
        <v>20</v>
      </c>
      <c r="G3" s="10" t="s">
        <v>21</v>
      </c>
      <c r="H3" s="10" t="s">
        <v>22</v>
      </c>
      <c r="I3" s="10" t="s">
        <v>23</v>
      </c>
      <c r="J3" s="10" t="s">
        <v>24</v>
      </c>
      <c r="K3" s="10" t="s">
        <v>25</v>
      </c>
      <c r="L3" s="10" t="s">
        <v>26</v>
      </c>
      <c r="M3" s="10" t="s">
        <v>27</v>
      </c>
      <c r="N3" s="10" t="s">
        <v>28</v>
      </c>
    </row>
    <row r="4" ht="14.25" spans="1:14">
      <c r="A4" s="8" t="s">
        <v>29</v>
      </c>
      <c r="B4" s="8" t="s">
        <v>30</v>
      </c>
      <c r="C4" s="8" t="s">
        <v>30</v>
      </c>
      <c r="D4" s="8" t="s">
        <v>31</v>
      </c>
      <c r="E4" s="8" t="s">
        <v>32</v>
      </c>
      <c r="F4" s="8" t="s">
        <v>32</v>
      </c>
      <c r="G4" s="8" t="s">
        <v>30</v>
      </c>
      <c r="H4" s="8" t="s">
        <v>32</v>
      </c>
      <c r="I4" s="8" t="s">
        <v>33</v>
      </c>
      <c r="J4" s="8" t="s">
        <v>34</v>
      </c>
      <c r="K4" s="8" t="s">
        <v>30</v>
      </c>
      <c r="L4" s="10" t="s">
        <v>35</v>
      </c>
      <c r="M4" s="8" t="s">
        <v>36</v>
      </c>
      <c r="N4" s="8" t="s">
        <v>36</v>
      </c>
    </row>
  </sheetData>
  <dataValidations count="1">
    <dataValidation type="list" allowBlank="1" showInputMessage="1" showErrorMessage="1" sqref="C4:K4 M4:N4">
      <formula1>数据类型!$B$2:$B$51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N5"/>
  <sheetViews>
    <sheetView workbookViewId="0">
      <selection activeCell="D50" sqref="D50"/>
    </sheetView>
  </sheetViews>
  <sheetFormatPr defaultColWidth="9" defaultRowHeight="13.5" outlineLevelRow="4"/>
  <cols>
    <col min="1" max="1" width="43.375" customWidth="1"/>
    <col min="2" max="4" width="20.5" customWidth="1"/>
    <col min="5" max="5" width="16.75" customWidth="1"/>
    <col min="6" max="6" width="11.75" customWidth="1"/>
    <col min="7" max="7" width="22" customWidth="1"/>
    <col min="8" max="8" width="13.75" customWidth="1"/>
    <col min="9" max="9" width="28.25" customWidth="1"/>
    <col min="10" max="10" width="30.25" customWidth="1"/>
    <col min="11" max="11" width="24.625" customWidth="1"/>
    <col min="12" max="12" width="19.5" customWidth="1"/>
  </cols>
  <sheetData>
    <row r="1" ht="106" customHeight="1" spans="1:14">
      <c r="A1" s="3" t="s">
        <v>0</v>
      </c>
      <c r="B1" s="4" t="s">
        <v>361</v>
      </c>
      <c r="C1" s="5" t="s">
        <v>362</v>
      </c>
      <c r="D1" s="5" t="s">
        <v>3</v>
      </c>
      <c r="E1" s="6" t="s">
        <v>4</v>
      </c>
      <c r="F1" s="7" t="s">
        <v>5</v>
      </c>
      <c r="G1" s="7" t="s">
        <v>6</v>
      </c>
      <c r="H1" s="7" t="s">
        <v>8</v>
      </c>
      <c r="I1" s="7" t="s">
        <v>9</v>
      </c>
      <c r="J1" s="7" t="s">
        <v>363</v>
      </c>
      <c r="K1" s="7" t="s">
        <v>364</v>
      </c>
      <c r="L1" s="7" t="s">
        <v>11</v>
      </c>
      <c r="M1" s="7" t="s">
        <v>12</v>
      </c>
      <c r="N1" s="7" t="s">
        <v>13</v>
      </c>
    </row>
    <row r="2" ht="14.25" spans="1:14">
      <c r="A2" s="8" t="s">
        <v>14</v>
      </c>
      <c r="B2" s="9">
        <v>1</v>
      </c>
      <c r="C2" s="9">
        <v>1</v>
      </c>
      <c r="D2" s="9">
        <v>0</v>
      </c>
      <c r="E2" s="9">
        <v>2</v>
      </c>
      <c r="F2" s="10">
        <v>2</v>
      </c>
      <c r="G2" s="10">
        <v>2</v>
      </c>
      <c r="H2" s="10">
        <v>2</v>
      </c>
      <c r="I2" s="10">
        <v>2</v>
      </c>
      <c r="J2" s="10">
        <v>2</v>
      </c>
      <c r="K2" s="10">
        <v>2</v>
      </c>
      <c r="L2" s="10">
        <v>2</v>
      </c>
      <c r="M2" s="10">
        <v>2</v>
      </c>
      <c r="N2" s="10">
        <v>3</v>
      </c>
    </row>
    <row r="3" ht="14.25" spans="1:14">
      <c r="A3" s="8" t="s">
        <v>15</v>
      </c>
      <c r="B3" s="10" t="s">
        <v>365</v>
      </c>
      <c r="C3" s="9" t="s">
        <v>17</v>
      </c>
      <c r="D3" s="9" t="s">
        <v>18</v>
      </c>
      <c r="E3" s="9" t="s">
        <v>19</v>
      </c>
      <c r="F3" s="10" t="s">
        <v>20</v>
      </c>
      <c r="G3" s="10" t="s">
        <v>21</v>
      </c>
      <c r="H3" s="10" t="s">
        <v>23</v>
      </c>
      <c r="I3" s="10" t="s">
        <v>24</v>
      </c>
      <c r="J3" s="10" t="s">
        <v>366</v>
      </c>
      <c r="K3" s="10" t="s">
        <v>367</v>
      </c>
      <c r="L3" s="10" t="s">
        <v>26</v>
      </c>
      <c r="M3" s="10" t="s">
        <v>27</v>
      </c>
      <c r="N3" s="10" t="s">
        <v>28</v>
      </c>
    </row>
    <row r="4" ht="14.25" spans="1:14">
      <c r="A4" s="8" t="s">
        <v>29</v>
      </c>
      <c r="B4" s="8" t="s">
        <v>30</v>
      </c>
      <c r="C4" s="8" t="s">
        <v>30</v>
      </c>
      <c r="D4" s="8" t="s">
        <v>31</v>
      </c>
      <c r="E4" s="8" t="s">
        <v>32</v>
      </c>
      <c r="F4" s="8" t="s">
        <v>32</v>
      </c>
      <c r="G4" s="8" t="s">
        <v>30</v>
      </c>
      <c r="H4" s="8" t="s">
        <v>33</v>
      </c>
      <c r="I4" s="8" t="s">
        <v>34</v>
      </c>
      <c r="J4" s="8" t="s">
        <v>30</v>
      </c>
      <c r="K4" s="8" t="s">
        <v>30</v>
      </c>
      <c r="L4" s="10" t="s">
        <v>35</v>
      </c>
      <c r="M4" s="8" t="s">
        <v>36</v>
      </c>
      <c r="N4" s="8" t="s">
        <v>36</v>
      </c>
    </row>
    <row r="5" ht="98" customHeight="1" spans="1:14">
      <c r="A5" s="11">
        <v>2</v>
      </c>
      <c r="B5" s="11">
        <v>1</v>
      </c>
      <c r="C5" s="11">
        <v>1</v>
      </c>
      <c r="D5" s="11" t="s">
        <v>368</v>
      </c>
      <c r="E5" s="11" t="s">
        <v>38</v>
      </c>
      <c r="F5" s="12" t="s">
        <v>369</v>
      </c>
      <c r="G5" s="13">
        <v>1</v>
      </c>
      <c r="H5" s="14"/>
      <c r="I5" s="14"/>
      <c r="J5" s="14">
        <v>1</v>
      </c>
      <c r="K5" s="15">
        <v>3</v>
      </c>
      <c r="L5" s="15" t="str">
        <f>_xlfn.DISPIMG("ID_B1E5BBB75DF144E6BCE87AD7FFB08D41",1)</f>
        <v>=DISPIMG("ID_B1E5BBB75DF144E6BCE87AD7FFB08D41",1)</v>
      </c>
    </row>
  </sheetData>
  <dataValidations count="1">
    <dataValidation type="list" allowBlank="1" showInputMessage="1" showErrorMessage="1" sqref="C4:K4 M4:N4">
      <formula1>数据类型!$B$2:$B$51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A1:E38"/>
  <sheetViews>
    <sheetView workbookViewId="0">
      <selection activeCell="D25" sqref="D25"/>
    </sheetView>
  </sheetViews>
  <sheetFormatPr defaultColWidth="9" defaultRowHeight="13.5" outlineLevelCol="4"/>
  <cols>
    <col min="1" max="2" width="13.75" customWidth="1"/>
    <col min="3" max="3" width="10.375" customWidth="1"/>
    <col min="4" max="4" width="79.9166666666667" customWidth="1"/>
    <col min="5" max="5" width="28.25" customWidth="1"/>
  </cols>
  <sheetData>
    <row r="1" spans="1:5">
      <c r="A1" s="1" t="s">
        <v>370</v>
      </c>
      <c r="B1" s="1" t="s">
        <v>371</v>
      </c>
      <c r="C1" s="1" t="s">
        <v>372</v>
      </c>
      <c r="D1" s="1" t="s">
        <v>373</v>
      </c>
      <c r="E1" s="1" t="s">
        <v>374</v>
      </c>
    </row>
    <row r="2" spans="1:5">
      <c r="A2" s="2">
        <v>1</v>
      </c>
      <c r="B2" s="2" t="s">
        <v>36</v>
      </c>
      <c r="C2" s="2" t="s">
        <v>375</v>
      </c>
      <c r="D2" s="2" t="s">
        <v>376</v>
      </c>
      <c r="E2" s="2" t="s">
        <v>377</v>
      </c>
    </row>
    <row r="3" spans="1:5">
      <c r="A3" s="2">
        <v>2</v>
      </c>
      <c r="B3" s="2" t="s">
        <v>378</v>
      </c>
      <c r="C3" s="2" t="s">
        <v>222</v>
      </c>
      <c r="D3" s="2" t="s">
        <v>379</v>
      </c>
      <c r="E3" s="2" t="s">
        <v>380</v>
      </c>
    </row>
    <row r="4" spans="1:5">
      <c r="A4" s="2">
        <v>3</v>
      </c>
      <c r="B4" s="2" t="s">
        <v>30</v>
      </c>
      <c r="C4" s="2" t="s">
        <v>222</v>
      </c>
      <c r="D4" s="2" t="s">
        <v>381</v>
      </c>
      <c r="E4" s="2" t="s">
        <v>382</v>
      </c>
    </row>
    <row r="5" spans="1:5">
      <c r="A5" s="2">
        <v>4</v>
      </c>
      <c r="B5" s="2" t="s">
        <v>383</v>
      </c>
      <c r="C5" s="2" t="s">
        <v>222</v>
      </c>
      <c r="D5" s="2" t="s">
        <v>384</v>
      </c>
      <c r="E5" s="2" t="s">
        <v>385</v>
      </c>
    </row>
    <row r="6" spans="1:5">
      <c r="A6" s="2">
        <v>5</v>
      </c>
      <c r="B6" s="2" t="s">
        <v>386</v>
      </c>
      <c r="C6" s="2" t="s">
        <v>222</v>
      </c>
      <c r="D6" s="2" t="s">
        <v>387</v>
      </c>
      <c r="E6" s="2" t="s">
        <v>388</v>
      </c>
    </row>
    <row r="7" spans="1:5">
      <c r="A7" s="2">
        <v>6</v>
      </c>
      <c r="B7" s="2" t="s">
        <v>31</v>
      </c>
      <c r="C7" s="2"/>
      <c r="D7" s="2" t="s">
        <v>389</v>
      </c>
      <c r="E7" s="2" t="s">
        <v>390</v>
      </c>
    </row>
    <row r="8" spans="1:5">
      <c r="A8" s="2">
        <v>7</v>
      </c>
      <c r="B8" s="2" t="s">
        <v>391</v>
      </c>
      <c r="C8" s="2" t="s">
        <v>392</v>
      </c>
      <c r="D8" s="2" t="s">
        <v>393</v>
      </c>
      <c r="E8" s="2" t="s">
        <v>394</v>
      </c>
    </row>
    <row r="9" spans="1:5">
      <c r="A9" s="2">
        <v>8</v>
      </c>
      <c r="B9" s="2" t="s">
        <v>395</v>
      </c>
      <c r="C9" s="2" t="s">
        <v>392</v>
      </c>
      <c r="D9" s="2" t="s">
        <v>396</v>
      </c>
      <c r="E9" s="2" t="s">
        <v>397</v>
      </c>
    </row>
    <row r="10" spans="1:5">
      <c r="A10" s="2">
        <v>9</v>
      </c>
      <c r="B10" s="2" t="s">
        <v>398</v>
      </c>
      <c r="C10" s="2" t="s">
        <v>392</v>
      </c>
      <c r="D10" s="2" t="s">
        <v>399</v>
      </c>
      <c r="E10" s="2" t="s">
        <v>400</v>
      </c>
    </row>
    <row r="11" spans="1:5">
      <c r="A11" s="2">
        <v>10</v>
      </c>
      <c r="B11" s="2" t="s">
        <v>401</v>
      </c>
      <c r="C11" s="2" t="s">
        <v>392</v>
      </c>
      <c r="D11" s="2" t="s">
        <v>402</v>
      </c>
      <c r="E11" s="2" t="s">
        <v>403</v>
      </c>
    </row>
    <row r="12" spans="1:5">
      <c r="A12" s="2">
        <v>11</v>
      </c>
      <c r="B12" s="2" t="s">
        <v>404</v>
      </c>
      <c r="C12" s="2" t="s">
        <v>392</v>
      </c>
      <c r="D12" s="2" t="s">
        <v>405</v>
      </c>
      <c r="E12" s="2" t="s">
        <v>406</v>
      </c>
    </row>
    <row r="13" spans="1:5">
      <c r="A13" s="2">
        <v>12</v>
      </c>
      <c r="B13" s="2" t="s">
        <v>407</v>
      </c>
      <c r="C13" s="2" t="s">
        <v>392</v>
      </c>
      <c r="D13" s="2" t="s">
        <v>408</v>
      </c>
    </row>
    <row r="14" spans="1:5">
      <c r="A14" s="2">
        <v>13</v>
      </c>
      <c r="B14" s="2" t="s">
        <v>409</v>
      </c>
      <c r="C14" s="2" t="s">
        <v>410</v>
      </c>
    </row>
    <row r="15" spans="1:5">
      <c r="A15" s="2">
        <v>14</v>
      </c>
      <c r="B15" s="2" t="s">
        <v>411</v>
      </c>
      <c r="C15" s="2" t="s">
        <v>410</v>
      </c>
    </row>
    <row r="16" spans="1:5">
      <c r="A16" s="2">
        <v>15</v>
      </c>
      <c r="B16" s="2" t="s">
        <v>412</v>
      </c>
      <c r="C16" s="2" t="s">
        <v>410</v>
      </c>
    </row>
    <row r="17" spans="1:5">
      <c r="A17" s="2">
        <v>16</v>
      </c>
      <c r="B17" s="2" t="s">
        <v>413</v>
      </c>
      <c r="C17" s="2" t="s">
        <v>410</v>
      </c>
    </row>
    <row r="18" spans="1:5">
      <c r="A18" s="2">
        <v>17</v>
      </c>
      <c r="B18" s="2" t="s">
        <v>414</v>
      </c>
      <c r="C18" s="2" t="s">
        <v>410</v>
      </c>
    </row>
    <row r="19" spans="1:5">
      <c r="A19" s="2">
        <v>18</v>
      </c>
      <c r="B19" s="2" t="s">
        <v>415</v>
      </c>
      <c r="C19" s="2" t="s">
        <v>410</v>
      </c>
    </row>
    <row r="20" spans="1:5">
      <c r="A20" s="2">
        <v>19</v>
      </c>
      <c r="B20" s="2" t="s">
        <v>416</v>
      </c>
      <c r="C20" s="2" t="s">
        <v>392</v>
      </c>
    </row>
    <row r="21" spans="1:5">
      <c r="A21" s="2">
        <v>20</v>
      </c>
      <c r="B21" s="2" t="s">
        <v>417</v>
      </c>
      <c r="C21" s="2" t="s">
        <v>392</v>
      </c>
    </row>
    <row r="22" spans="1:5">
      <c r="A22" s="2">
        <v>21</v>
      </c>
      <c r="B22" s="2" t="s">
        <v>418</v>
      </c>
      <c r="C22" s="2" t="s">
        <v>392</v>
      </c>
    </row>
    <row r="23" spans="1:5">
      <c r="A23" s="2">
        <v>22</v>
      </c>
      <c r="B23" s="2" t="s">
        <v>419</v>
      </c>
      <c r="C23" s="2" t="s">
        <v>392</v>
      </c>
    </row>
    <row r="24" spans="1:5">
      <c r="A24" s="2">
        <v>23</v>
      </c>
      <c r="B24" s="2" t="s">
        <v>34</v>
      </c>
      <c r="C24" s="2" t="s">
        <v>392</v>
      </c>
    </row>
    <row r="25" spans="1:5">
      <c r="A25" s="2">
        <v>24</v>
      </c>
      <c r="B25" s="2" t="s">
        <v>420</v>
      </c>
      <c r="C25" s="2" t="s">
        <v>392</v>
      </c>
    </row>
    <row r="26" spans="1:5">
      <c r="A26" s="2">
        <v>25</v>
      </c>
      <c r="B26" s="2" t="s">
        <v>421</v>
      </c>
      <c r="C26" s="2" t="s">
        <v>422</v>
      </c>
      <c r="D26" s="2" t="s">
        <v>423</v>
      </c>
      <c r="E26" s="2" t="s">
        <v>65</v>
      </c>
    </row>
    <row r="27" spans="1:5">
      <c r="A27" s="2">
        <v>26</v>
      </c>
      <c r="B27" s="2" t="s">
        <v>33</v>
      </c>
      <c r="C27" s="2" t="s">
        <v>424</v>
      </c>
      <c r="D27" s="2" t="s">
        <v>425</v>
      </c>
      <c r="E27" s="2" t="s">
        <v>426</v>
      </c>
    </row>
    <row r="28" spans="1:5">
      <c r="A28" s="2">
        <v>27</v>
      </c>
      <c r="B28" s="2" t="s">
        <v>427</v>
      </c>
      <c r="C28" s="2" t="s">
        <v>392</v>
      </c>
      <c r="D28" s="2" t="s">
        <v>428</v>
      </c>
      <c r="E28" s="2" t="s">
        <v>429</v>
      </c>
    </row>
    <row r="29" spans="1:5">
      <c r="A29" s="2">
        <v>28</v>
      </c>
      <c r="B29" s="2" t="s">
        <v>430</v>
      </c>
      <c r="C29" s="2" t="s">
        <v>392</v>
      </c>
      <c r="D29" s="2" t="s">
        <v>431</v>
      </c>
      <c r="E29" s="2" t="s">
        <v>432</v>
      </c>
    </row>
    <row r="30" spans="1:5">
      <c r="A30" s="2">
        <v>29</v>
      </c>
      <c r="B30" s="2" t="s">
        <v>35</v>
      </c>
      <c r="C30" s="2" t="s">
        <v>433</v>
      </c>
      <c r="D30" s="2" t="s">
        <v>434</v>
      </c>
    </row>
    <row r="31" spans="1:5">
      <c r="A31" s="2">
        <v>30</v>
      </c>
      <c r="B31" s="2" t="s">
        <v>32</v>
      </c>
      <c r="C31" s="2" t="s">
        <v>424</v>
      </c>
      <c r="D31" s="2" t="s">
        <v>435</v>
      </c>
      <c r="E31" s="2" t="s">
        <v>436</v>
      </c>
    </row>
    <row r="32" spans="1:5">
      <c r="A32" s="2">
        <v>31</v>
      </c>
      <c r="B32" s="2" t="s">
        <v>437</v>
      </c>
      <c r="C32" s="2" t="s">
        <v>222</v>
      </c>
      <c r="D32" s="2" t="s">
        <v>438</v>
      </c>
      <c r="E32" s="2" t="s">
        <v>439</v>
      </c>
    </row>
    <row r="33" spans="1:5">
      <c r="A33" s="2">
        <v>32</v>
      </c>
      <c r="B33" s="2" t="s">
        <v>440</v>
      </c>
      <c r="C33" s="2" t="s">
        <v>441</v>
      </c>
      <c r="D33" s="2" t="s">
        <v>442</v>
      </c>
      <c r="E33" s="2" t="s">
        <v>441</v>
      </c>
    </row>
    <row r="34" spans="1:5">
      <c r="A34" s="2">
        <v>33</v>
      </c>
      <c r="B34" s="2" t="s">
        <v>443</v>
      </c>
      <c r="C34" s="2" t="s">
        <v>444</v>
      </c>
      <c r="D34" s="2" t="s">
        <v>445</v>
      </c>
      <c r="E34" s="2" t="s">
        <v>444</v>
      </c>
    </row>
    <row r="35" spans="1:5">
      <c r="A35" s="2">
        <v>34</v>
      </c>
      <c r="B35" s="2" t="s">
        <v>446</v>
      </c>
      <c r="C35" s="2" t="s">
        <v>392</v>
      </c>
      <c r="D35" s="2" t="s">
        <v>447</v>
      </c>
      <c r="E35" s="2" t="s">
        <v>436</v>
      </c>
    </row>
    <row r="36" spans="1:5">
      <c r="A36" s="2">
        <v>35</v>
      </c>
      <c r="B36" s="2" t="s">
        <v>448</v>
      </c>
      <c r="C36" s="2"/>
      <c r="D36" s="2" t="s">
        <v>449</v>
      </c>
      <c r="E36" s="2" t="s">
        <v>450</v>
      </c>
    </row>
    <row r="37" spans="1:5">
      <c r="A37" s="2">
        <v>36</v>
      </c>
      <c r="B37" s="2" t="s">
        <v>451</v>
      </c>
      <c r="C37" s="2"/>
      <c r="D37" s="2" t="s">
        <v>452</v>
      </c>
    </row>
    <row r="38" spans="1:5">
      <c r="A38" s="2">
        <v>37</v>
      </c>
      <c r="B38" s="2" t="s">
        <v>453</v>
      </c>
      <c r="C38" s="2" t="s">
        <v>392</v>
      </c>
      <c r="D38" s="2" t="s">
        <v>454</v>
      </c>
      <c r="E38" s="2" t="s">
        <v>455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cfg_AnimaUnit_单位帧动画配置</vt:lpstr>
      <vt:lpstr>cfg_AnimaBuild_建筑动画</vt:lpstr>
      <vt:lpstr>cfg_AnimaTower_炮塔动画</vt:lpstr>
      <vt:lpstr>cfg_AnimaWeapon_武器动画</vt:lpstr>
      <vt:lpstr>cfg_AnimaWorker_无人机动画</vt:lpstr>
      <vt:lpstr>cfg_AnimaExplode_爆炸动画</vt:lpstr>
      <vt:lpstr>数据类型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NO</cp:lastModifiedBy>
  <dcterms:created xsi:type="dcterms:W3CDTF">2023-05-12T11:15:00Z</dcterms:created>
  <dcterms:modified xsi:type="dcterms:W3CDTF">2026-02-01T02:55:46Z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D618D8C7923F446D88F8F55AE3288232_12</vt:lpwstr>
  </property>
  <property fmtid="{D5CDD505-2E9C-101B-9397-08002B2CF9AE}" pid="4" name="CalculationRule">
    <vt:i4>0</vt:i4>
  </property>
</Properties>
</file>