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200" windowHeight="7130" activeTab="1"/>
  </bookViews>
  <sheets>
    <sheet name="汇总表" sheetId="2" r:id="rId1"/>
    <sheet name="细化表" sheetId="1" r:id="rId2"/>
    <sheet name="25年收入要求（以此总收入盘细化收入和成本）" sheetId="3" r:id="rId3"/>
  </sheets>
  <definedNames>
    <definedName name="_xlnm._FilterDatabase" localSheetId="1" hidden="1">细化表!$A$3:$J$50</definedName>
  </definedNames>
  <calcPr calcId="144525"/>
</workbook>
</file>

<file path=xl/comments1.xml><?xml version="1.0" encoding="utf-8"?>
<comments xmlns="http://schemas.openxmlformats.org/spreadsheetml/2006/main">
  <authors>
    <author>Administrator</author>
    <author>luzhihua1</author>
  </authors>
  <commentList>
    <comment ref="C4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是创新院大数据产品：智慧民生890万，大数据创新产品226万，大数据集中运营614万</t>
        </r>
      </text>
    </comment>
    <comment ref="C5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24年结算型业务由于效益不高，控制发展，其收入主要室23年包年递延1950万左右形成。</t>
        </r>
      </text>
    </comment>
    <comment ref="R13" authorId="1">
      <text>
        <r>
          <rPr>
            <b/>
            <sz val="9"/>
            <rFont val="宋体"/>
            <charset val="134"/>
          </rPr>
          <t>luzhihua1:</t>
        </r>
        <r>
          <rPr>
            <sz val="9"/>
            <rFont val="宋体"/>
            <charset val="134"/>
          </rPr>
          <t xml:space="preserve">
考虑下24年递延至25年的成本</t>
        </r>
      </text>
    </comment>
  </commentList>
</comments>
</file>

<file path=xl/sharedStrings.xml><?xml version="1.0" encoding="utf-8"?>
<sst xmlns="http://schemas.openxmlformats.org/spreadsheetml/2006/main" count="342" uniqueCount="203">
  <si>
    <t>业务</t>
  </si>
  <si>
    <t>分类</t>
  </si>
  <si>
    <t>收入</t>
  </si>
  <si>
    <t>成本（未含坏账）</t>
  </si>
  <si>
    <t>其中：本地成本</t>
  </si>
  <si>
    <t>其中：省摊成本</t>
  </si>
  <si>
    <t>24年收入</t>
  </si>
  <si>
    <t>25年收入</t>
  </si>
  <si>
    <t>收入增量</t>
  </si>
  <si>
    <t>同比</t>
  </si>
  <si>
    <t>24年成本</t>
  </si>
  <si>
    <t>25年成本</t>
  </si>
  <si>
    <t>其中：递延成本</t>
  </si>
  <si>
    <t>成本增量</t>
  </si>
  <si>
    <t>B收入</t>
  </si>
  <si>
    <t>项目</t>
  </si>
  <si>
    <t>其中：数科</t>
  </si>
  <si>
    <t>其中：直签</t>
  </si>
  <si>
    <t>产品</t>
  </si>
  <si>
    <t>公有云</t>
  </si>
  <si>
    <t>其中：集中运营</t>
  </si>
  <si>
    <t>IDC</t>
  </si>
  <si>
    <t>专线</t>
  </si>
  <si>
    <t>其中：网络成本</t>
  </si>
  <si>
    <t>物联网</t>
  </si>
  <si>
    <t>/</t>
  </si>
  <si>
    <t>短彩信</t>
  </si>
  <si>
    <t>5G</t>
  </si>
  <si>
    <t>和教育</t>
  </si>
  <si>
    <t>网络云</t>
  </si>
  <si>
    <t>其他</t>
  </si>
  <si>
    <t>非业务类成本</t>
  </si>
  <si>
    <t>政企网格承包费</t>
  </si>
  <si>
    <t>政企营销支撑费</t>
  </si>
  <si>
    <t>政企外包费</t>
  </si>
  <si>
    <t>客户服务费</t>
  </si>
  <si>
    <t>填写不含税金额，单位：万</t>
  </si>
  <si>
    <t>大类</t>
  </si>
  <si>
    <t>24年收入成本</t>
  </si>
  <si>
    <t>25年收入成本</t>
  </si>
  <si>
    <t>24年收入预计</t>
  </si>
  <si>
    <t>24年成本预计</t>
  </si>
  <si>
    <t>24年成本计提</t>
  </si>
  <si>
    <t>费用名称</t>
  </si>
  <si>
    <t>24年成本说明（含本地及省摊）</t>
  </si>
  <si>
    <t>25年收入预计</t>
  </si>
  <si>
    <t>收入同比</t>
  </si>
  <si>
    <t>收入提升举措</t>
  </si>
  <si>
    <t>25年成本预计</t>
  </si>
  <si>
    <t>成本同比</t>
  </si>
  <si>
    <r>
      <rPr>
        <b/>
        <sz val="11"/>
        <rFont val="微软雅黑"/>
        <charset val="134"/>
      </rPr>
      <t xml:space="preserve">25年成本说明（含本地及省摊）
</t>
    </r>
    <r>
      <rPr>
        <sz val="14"/>
        <rFont val="微软雅黑"/>
        <charset val="134"/>
      </rPr>
      <t>详细说明成本压降举措（砍降增）</t>
    </r>
  </si>
  <si>
    <t>云</t>
  </si>
  <si>
    <t>大数据（不含能开）</t>
  </si>
  <si>
    <t>业务技术支撑费</t>
  </si>
  <si>
    <t>本地成本：2024年1-11月集中运营新媒体产品合计619万，按照支撑费比例34%测算，共计需支撑费619*34%=210.46万，但暂无法计提。
省摊成本：（1）智慧民生、客流等高效益产品890万，省摊成本比例60%：890*0.6=534万；（2）数据安全产品及服务72.9万，省摊成本比例49%：72.9*0.49=35.7万；（3）其他产品1123万，省摊成本比例80%：1123*0.8=898.4万；</t>
  </si>
  <si>
    <t>2025年强化大数据场景变现能力智慧民生800万，攻坚AI产品400万，集中运营1800万</t>
  </si>
  <si>
    <t>本地成本：2025年预计收入3000万，其中智慧民生、文旅数智通等本地发展收入1200万，集中运营1800万，按照支撑费34%测算，预计需支撑费1800*34%=612万；另补24年无法计提的210.46万，合计822.46万
省摊成本：（1）智慧民生、客流等高效益产品800万，省摊成本比例60%：800*0.6=480万；（2）AI等其他产品2200万，省摊成本比例80%：2200*0.8=1760万；合计2240万
成本压降举措：提升产品拓展能力，加强AI等创新产品签约推广，力争创新产品翻一倍，减少集中运营，收入提升提升73%，成本提升70%，对比24年如果按照25年收入成本下降92万。</t>
  </si>
  <si>
    <t>直管资源池-按实结算型</t>
  </si>
  <si>
    <t>本地成本：无
省摊成本：24年响应公司高质量发展要求号召，减少结算型业推广，24年结算型业务收入主要是23年集中运营包年的递延收入，涉及1950万，由于结算型业务云能和省公司按照15：85量价结算，故成本按照85%测算。
包年分摊成本，按85%测算</t>
  </si>
  <si>
    <t xml:space="preserve">根据经营要求，24年基本没有发展包年结算型业务，故到25年的分摊收入没有，通过推广朋友圈广告等saas产品贡献收入。全年预估100万。
</t>
  </si>
  <si>
    <t>本地成本：无
省摊成本：省公司根据地市发展按量价结算，成本占收入比85%。</t>
  </si>
  <si>
    <t>直管资源池-固定比例结算型</t>
  </si>
  <si>
    <r>
      <rPr>
        <sz val="10"/>
        <rFont val="微软雅黑"/>
        <charset val="134"/>
      </rPr>
      <t xml:space="preserve">本地成本：
1、政企渠道费用：根据24年业务清单，酬金从50%-60%不等，总共需酬金2346万
2、业务平台维护支撑费：根据24年业务清单，需支撑费2217/0.92=2463万，其中8%为专业公司收取的管理费比例。
</t>
    </r>
    <r>
      <rPr>
        <sz val="10"/>
        <color rgb="FFFF0000"/>
        <rFont val="微软雅黑"/>
        <charset val="134"/>
      </rPr>
      <t>3.23年业务递延至24年成本为860万</t>
    </r>
    <r>
      <rPr>
        <sz val="10"/>
        <rFont val="微软雅黑"/>
        <charset val="134"/>
      </rPr>
      <t xml:space="preserve">
省摊成本：全省固定成本6.85亿，按23年通服收入占比分摊给嘉兴，共计4920万。</t>
    </r>
  </si>
  <si>
    <t>聚焦云主机、云电脑等移动云重点产品，拉单列表商机挖掘，细分场景复制推广；攻坚全栈、小站、EIS大单商机转化；加强云代理渠道培训、管理，督促收入产能提升。</t>
  </si>
  <si>
    <t>本地成本：
1、政企渠道费用：根据目前集中运营产品，酬金基本维持在订单金额的50%，故按照50%测算。
2、业务平台维护支撑费：根据集中运营中涉及的垫资成本5%，下单客户管理费3%，专业公司管理费8%的损耗测算，支撑费暂按50%+12%=62%的比例。
省摊成本：依据24年分摊成本测算4920万。
成本压降：直管资源池固定比例产品县市产能提升100万，集中运营可少做100万，25年聚焦云主机、云电脑场景化推广，攻坚全栈专属云大单，争取增收300万同比提升23%，可节省成本330万。</t>
  </si>
  <si>
    <t>直管资源池-固定比例结算型（集中运营）</t>
  </si>
  <si>
    <t>政企渠道费用</t>
  </si>
  <si>
    <t>根据全省各地市集中运营情况寻找合理产品，并向云能争取集中运营产品资源</t>
  </si>
  <si>
    <t>CDN</t>
  </si>
  <si>
    <t>省摊成本：成本约为收入的50%，1680*0.5=840万</t>
  </si>
  <si>
    <t>对接省公司专业部门，配合全省CDN分摊业务开展</t>
  </si>
  <si>
    <t>省摊成本：成本约为收入的50%，1900*0.5=950万</t>
  </si>
  <si>
    <t>国际云（含国际CDN）</t>
  </si>
  <si>
    <r>
      <rPr>
        <sz val="10"/>
        <rFont val="微软雅黑"/>
        <charset val="134"/>
      </rPr>
      <t xml:space="preserve">本地成本：集中运营国际云地市15%的补贴。
</t>
    </r>
    <r>
      <rPr>
        <sz val="10"/>
        <color rgb="FFFF0000"/>
        <rFont val="微软雅黑"/>
        <charset val="134"/>
      </rPr>
      <t>23年业务成本递延至24年82万</t>
    </r>
    <r>
      <rPr>
        <sz val="10"/>
        <rFont val="微软雅黑"/>
        <charset val="134"/>
      </rPr>
      <t xml:space="preserve">
省摊成本：此业务向国际公司争取到的集中运营业务，成本100%分摊。</t>
    </r>
  </si>
  <si>
    <t>寻找本中资出海企业、以及海外有分公司或者办事机构企业拓展海外云业务拓展100万；同时向专业公司寻找业务资源集中运营1400万。</t>
  </si>
  <si>
    <t>本地成本：集中运营1400万按照15%补贴测算210万；
省摊成本：县市拓展部门按照95%成本，集中运营按照100%成本测算1495万。</t>
  </si>
  <si>
    <t>政务云</t>
  </si>
  <si>
    <t>抢夺地方政务云份额，借助信创迁移提升政务云收入，同时对接业务使用部门加强政务云配套安全产品推广。</t>
  </si>
  <si>
    <t>智云领航-云安</t>
  </si>
  <si>
    <t>省摊成本：智云领航安全服务套餐成本按实际发生分摊给地市，成本预估在65%左右。</t>
  </si>
  <si>
    <t>对接网信等相关执法部门，了解最新动态，获取监管清单做好业务推广；加强存量到期用户走访，确保100%续签。</t>
  </si>
  <si>
    <t>IDC带宽</t>
  </si>
  <si>
    <r>
      <rPr>
        <sz val="10"/>
        <color rgb="FFFF0000"/>
        <rFont val="微软雅黑"/>
        <charset val="134"/>
      </rPr>
      <t>23年成本递延至24年432.5/0.9=480.5万。</t>
    </r>
    <r>
      <rPr>
        <sz val="10"/>
        <rFont val="微软雅黑"/>
        <charset val="134"/>
      </rPr>
      <t>IDC带宽补贴在出账收入的50%左右，交换中心管理费10%左右，24年业务需成本7500*0.5/0.9=4166万。其中2440万无法计提。</t>
    </r>
  </si>
  <si>
    <t>强化带宽运营，推进省间、地市间结算收入为正；</t>
  </si>
  <si>
    <r>
      <rPr>
        <sz val="10"/>
        <rFont val="微软雅黑"/>
        <charset val="134"/>
      </rPr>
      <t>本地成本：IDC带宽补贴在出账收入的50%左右，交换中心管理费10%左右，测算25年需成本5900*0.5/0.9=3277万。</t>
    </r>
    <r>
      <rPr>
        <sz val="10"/>
        <color rgb="FFFF0000"/>
        <rFont val="微软雅黑"/>
        <charset val="134"/>
      </rPr>
      <t>其中24年无法计提成本2440万</t>
    </r>
    <r>
      <rPr>
        <sz val="10"/>
        <rFont val="微软雅黑"/>
        <charset val="134"/>
      </rPr>
      <t>，需在25年支付，合计5717万</t>
    </r>
  </si>
  <si>
    <t>IDC机柜</t>
  </si>
  <si>
    <t>合作机房结算成本</t>
  </si>
  <si>
    <t>结合域外拓展、借力合作机房，进一步突破机柜收入</t>
  </si>
  <si>
    <t>本地成本：根据现在上架在合作机房的机柜测算，25年的结算成本100万左右。</t>
  </si>
  <si>
    <t>通道收入</t>
  </si>
  <si>
    <t>合同履约成本</t>
  </si>
  <si>
    <t>本地成本：24年模组已采购164.8万套，合计使用成本2167万元；24年物联卡已制卡200万张，采购价格1.5元/张，合计使用成本300万元；支撑费468万；
省摊成本：物联卡结算业务245万元；</t>
  </si>
  <si>
    <t>卡+模组基于2024年破零客户扩大合作面，并深化域外合作成果，与模组厂家、生态伙伴建立更加紧密的合作关系；
存量递延：每月存量递延250万元（含日常零星物联网卡发展），全年合计贡献收入3000万元；
增量发展：计划2025年发展卡+模组160万套，每套贡献收入16元，合计约2560万元；</t>
  </si>
  <si>
    <t>成本压降举措：从裸卡销售转向卡+模组销售，提升收规模和用卡粘性，延长客户使用周期贡献收入。
本地成本：
（1）25年预计考核净增用户数预计180万户，其中计划销户60万户，故合计需新增240万户，采购价格1.5元/张，整体预计需要成本360万。
（2）25年预计预计发展卡+模组业务160万套，单片模组成本按照14.5元测算，成本预计2320万。
（3）2025年预计申请集中运营140万套，每套贡献收入16元，合计2240万元，每套需支撑费18%，合计403.2万元
省摊成本：物联卡结算业务，预估与2024年一致，仍为245万；</t>
  </si>
  <si>
    <t>SIM卡成本</t>
  </si>
  <si>
    <t>云IOT</t>
  </si>
  <si>
    <t>本地成本：2024年成本使用2013万元，另有2023年递延成本140万元；
省摊成本：无。</t>
  </si>
  <si>
    <t>打造涉物应用产品库，引入行业热点及优势的个性化产品，联动商客市场发展。</t>
  </si>
  <si>
    <t>成本压降举措：引入行业热点及优势的个性化产品，主导新品开发和营销，提高云IOT占收比。
25年收入预估2000万，成本占收比参考24年93.3%，成本约1866万。</t>
  </si>
  <si>
    <t>本地成本：无。
省摊成本（财务提供数据）：
OneNet基础服务按23年B市场收入占比分摊，合计54万元；
OneNet增值服务按实分摊，合计-79万；
OnePark基础服务按23年B市场收入占比分摊，合计79万元；
OnePark增值服务按实分摊，合计-52万；
OnePoint高精度定位按23年B市场收入占比分摊，合计110万元；
OneTraffic智慧交通按23年B市场收入占比分摊，84万元；
中移车队按实分摊7万；
定位通按实分摊13万；</t>
  </si>
  <si>
    <t>与DICT项目联动开展9One融合，开展交通场景、园区场景融OneTraffice和OnePark。
OnePark计划发展100万元；
OneNet计划发展50万元；</t>
  </si>
  <si>
    <t>本地成本：无。
省摊成本：
OneNet基础服务按23年B市场收入占比分摊，合计54万元；
OneNet增值服务按实分摊，按占收比94.5%计算，合计47.25万；
OnePark基础服务按23年B市场收入占比分摊，合计79万元；
OnePark增值服务按实分摊，按占收比94.5%计算，合计94.5万；
OnePoint高精度定位按23年B市场收入占比分摊，合计110万元；
OneTraffic智慧交通按23年B市场收入占比分摊，84万元；
中移车队按实分摊7万；
定位通按实分摊13万；
2024年财务数据异常（部分负值），导致成本增幅较大。</t>
  </si>
  <si>
    <t>视联网</t>
  </si>
  <si>
    <t>千里眼产品</t>
  </si>
  <si>
    <t>本地成本：24年摄像头已采购4300套，合计使用成本58.5万元；
省摊成本：千里眼基础服务按23年B市场收入占比分摊，合计70万元，主要是物联网公司NVR、视频分析、存储等相关服务的统结成本；</t>
  </si>
  <si>
    <t>视频监控协同商客做好小微视频发展，打通代理商通道，谋划无线视频监控规模发展；
存量递延：每月贡献15万，全年合计贡献收入180万；
增量发展：25年月新增发展行业视频450路（行业版100路、小微版300路，无线摄像头50路），其中自有发展4000路，渠道发展1400路，单路收入450元，收入预计新增243万；</t>
  </si>
  <si>
    <t>成本压降举措：提升千里眼标品发展规模，做大标品收入比例，降低高结算、低利润的增值服务包收入。
摄像头平均单价180元，5400台合计成本97.2万元；
千里眼基础服务暂按与2024年保持一致，合计70万元（目前了解2025年的结算规则将会调整，但还未明确）；</t>
  </si>
  <si>
    <t>2024年无渠道，无费用；</t>
  </si>
  <si>
    <t>2025年计划渠道发展1400路，每路收入450元，按20%发放渠道酬金，合计12.6万元；</t>
  </si>
  <si>
    <t>千里眼DICT</t>
  </si>
  <si>
    <t>本地成本：无
省摊成本：财务提供数据77万（数据异常），本地测算191.84万；</t>
  </si>
  <si>
    <t>基于视频存储、视频分析、视频收编、园区组网等场景开展基于视频的个性化项目营销，作为基础产品发展外的收入补充。</t>
  </si>
  <si>
    <t>25年收入预估500万，成本占收比参考24年94.5%，成本约472.5万;</t>
  </si>
  <si>
    <t>和对讲产品</t>
  </si>
  <si>
    <t>本地成本：24年和对讲专用终端及工作机和对讲净增4117户，合计已使用446万元，另有283万元，因合同额度满无法下单；
省摊成本：无。</t>
  </si>
  <si>
    <t>和对讲继续开展场景化营销，面向各行业也做好需求深挖；
存量递延约30万/月，合计360万；
专用终端新增3600户，收入480元/户，收入173万
工作机新增1400户，收入1516元/户，收入212万
以上收入累计745万。
收入同比增幅仅5%，主要原因2024年有2个重点项目致2023年收入增幅大（重客高速交警项目175万收入和嘉禾流管通73万收入）。</t>
  </si>
  <si>
    <t>成本压降举措：提升和对讲标品发展规模，特别是和对讲专用终端发展，抬高专用终端占收比，做大标品收入比例，降低高结算、低利润的增值服务包收入。
专用终端新增3600户，成本340元/户，新增成本122万
工作机新增1400户，成本1213元/户，新增成本170万
2024年底因省公司合同问题无法下单向终端公司及厂家借货的283万
以上收入累计745万，成本575万。</t>
  </si>
  <si>
    <t>和对讲DICT</t>
  </si>
  <si>
    <t>本地成本：无
省摊成本：财务提供数据3+493万（数据异常），本地测算约17万。
与省政企沟通，省摊成本中和对讲成本493万，仍为按B市场比例分摊数据，非按实分摊数据，数据存在异常，已向财务和省政企反馈相关问题。</t>
  </si>
  <si>
    <t>2024年和对讲服务包未发展，2025年计划发展800万，故增幅较大。
按照成本占收比参考24年94.5%，成本约756万</t>
  </si>
  <si>
    <t>25年收入预估500万，成本占收比参考24年94.5%，成本约472.5万</t>
  </si>
  <si>
    <t>5G产品</t>
  </si>
  <si>
    <t>本地成本：5G快线预计发展28套，每套成本按1200元测算，成本共计2.97万；Onecyber未发展，无成本；
省摊成本：5G专网（OneCyber平台）统结，按23年B市场收入占比分摊，嘉兴约86万元；</t>
  </si>
  <si>
    <t>5G重点发展5G入驻专网、5G OneCyber收入，推动5G-A、Redcap等新技术落地；
核电递延收入2400万元；
5G入驻式专网100万元；
OneCyebr一次性收入210万元；
5G快线发展450台，每台2000元，合计90万元；
5G双域专网发展40万元</t>
  </si>
  <si>
    <t>本地成本：预计5G快线发展450套，每套成本按1200元测算，25年成本预计47.79万；Onecyber按占收比95%测算，需成本199.5万元；
省摊成本：5G专网（OneCyber平台）统结，与2024年保持一致，嘉兴约86万元；</t>
  </si>
  <si>
    <t>政企专线</t>
  </si>
  <si>
    <t>内网增值</t>
  </si>
  <si>
    <t>本地成本：内网增值业务 ，移动6%的利润率
省摊成本：无</t>
  </si>
  <si>
    <t>聚焦综合布线、视频安防、网络集成等，紧抓新装修、新开业、新招聘必拓延伸服务</t>
  </si>
  <si>
    <t>本地成本：内网增值业务 ，移动6%的利润率 则成本为6580万；由于铁通过单费用需要6%的额外损耗为395万，申请支撑费395万
省摊成本：无</t>
  </si>
  <si>
    <t>线路收入</t>
  </si>
  <si>
    <t>网络成本</t>
  </si>
  <si>
    <r>
      <rPr>
        <sz val="10"/>
        <rFont val="微软雅黑"/>
        <charset val="134"/>
      </rPr>
      <t>本地：集客代维费1225万，集客装移机施工费用1128万，集客装移机设备及材料费940万，集客后台支撑175万，集客协维服务费216万，IPPBX设备维保费50万，合计3734万
省摊成本：国际专线支撑费用3</t>
    </r>
    <r>
      <rPr>
        <sz val="10"/>
        <color rgb="FFFF0000"/>
        <rFont val="微软雅黑"/>
        <charset val="134"/>
      </rPr>
      <t>5</t>
    </r>
    <r>
      <rPr>
        <sz val="10"/>
        <rFont val="微软雅黑"/>
        <charset val="134"/>
      </rPr>
      <t>0万</t>
    </r>
  </si>
  <si>
    <t>稳定存量业务1500万/月，2025年可递延贡献18000万
1、净增专线1万线，企宽2.4万线，增收 1100万
2、创新产品卫士1200台 ，FTT03600台，增收200万 
3、高价值带宽型业务200G，预计下半年开通，增收600万
4、国际专线及组网业务拓展增收100万</t>
  </si>
  <si>
    <t>本地：集客代维费1330万，集客装移机施工费用1248万，集客装移机设备及材料费1053万，集客后台支撑175万，集客协维服务费200万，IPPBX设备维保费50万，合计4056万
带宽型业务支撑费按收入的50%申请成本300万
省摊成本：国际专线支撑费350万</t>
  </si>
  <si>
    <t>语音专线</t>
  </si>
  <si>
    <t>本地成本：
1、业务技术支撑费：存量C端用户留存3.5万户，带动收入420万/年，结算按照4：6分是252万；CP存量预计240万，按3：7结算是72万；存量电子学生证0.3万户，分成5元/台，结算18万/年合计成本252+72+18=342万
2、合同履约成本：电子学生证采购成本169元，采购5250台，成本合计89万.
3、低值易耗品：更新设备新和教育话机50台，单价900元/台，4.5万；更新校园插卡话机140台，单价380/台，5.5万，合计10万。
省摊成本：成研和宝贝结算按照87%结算比例，24年收入98万，结算85.26万；CP业务按照40%分成费用，24年收入预计96万，合计184万。</t>
  </si>
  <si>
    <t>稳定存量业务，全年递延收入约780万。
1、C端用户新增10000户，预计带动收入65万；
2、CP新增目标10000户，预计带动收入65万；
3、电子学生证目标3000户，预计带动收入35.1万；
4、B端项目收入255万。合计新增收入420万。</t>
  </si>
  <si>
    <t>本地成本：
1、业务技术支撑费：C端用户4.2万户，预计带动收入504万/年，结算按照4：6分是302.4万；CP3.8万户，预计带动收入456；万，按3：7结算是136.8万；电子学生证0.6万户，分成5元/台，结算36万/年合计成本302.4+136.8+36=475.2万
2、合同履约成本：电子学生证采购成本220元，预计发展3000台，库存1000台，需要采购2000台，采购成本44万。
3、低值易耗品：据目前2024年存量计费学校150家，预计更新设备新和教育话机30台，单价900元/台，合计2.7万；校园插卡话机预计新增400台，单价380元/台，合计15.2万。小计17.9万。
省摊成本：项目目标255万，按照87%省侧结算221.85万</t>
  </si>
  <si>
    <t>低值易耗品</t>
  </si>
  <si>
    <t>结算收入</t>
  </si>
  <si>
    <t>省间结算不变，地市结算增加300万</t>
  </si>
  <si>
    <t>-</t>
  </si>
  <si>
    <t>1、省网代理支撑费：每条补贴0.017元，中间损耗8%，涉及1552万（7000*12*0.017/0.92）
2、本地支撑人员与湖州共用，承担一半费用13.5万
3、5G消息支撑按收入比例提升，30万
省摊成本：异网短彩发送费用、5G消息解析费用、DICT服务包费用等按比例提升，400万。</t>
  </si>
  <si>
    <t>代理商发展</t>
  </si>
  <si>
    <t>实际：24年使用成本790万，其中今年产生支撑费680万（贡献收入1255万），其中110万为23年递延至24年的成本。790万中364万通过支撑费计提，426万通过网格承包费计提。</t>
  </si>
  <si>
    <t>入围优秀代理商，月发送省网7000万条</t>
  </si>
  <si>
    <t>传统短彩业务直签</t>
  </si>
  <si>
    <t>政企部维修</t>
  </si>
  <si>
    <t>本地信息机维护人员一名</t>
  </si>
  <si>
    <t>强化本地直签，拓展企业市场</t>
  </si>
  <si>
    <t>5G消息拓展</t>
  </si>
  <si>
    <t>5G消息个性化海报、展示效果支撑费用</t>
  </si>
  <si>
    <t>加快传统短彩向5G消息升级</t>
  </si>
  <si>
    <t>其他产品</t>
  </si>
  <si>
    <t>信息化项目</t>
  </si>
  <si>
    <t>信息化-集成</t>
  </si>
  <si>
    <t>信息化费用</t>
  </si>
  <si>
    <t>1、一季度开展商机排摸专项竞赛，做大商机规模，提升项目拓展目标。
2、12月项目拓展签约冲刺，力争新增签约主营9000万以上，做大存量收入；
2、加强项目售中跟进，保障重点项目建设进展，确保项目快速转收；</t>
  </si>
  <si>
    <t>提升项目效益（毛利率较24年提升0.4pp至9.4%），日常严格执行计提流程，提升数据准确性。</t>
  </si>
  <si>
    <t>信息化-维护</t>
  </si>
  <si>
    <t>信息化-其他</t>
  </si>
  <si>
    <t>包含ICT支撑费（数科）、项目投标费用和标书打印费
1-11月：2095万元（其中ICT支撑费1876.92万元，项目投标费用和标书打印费218.08）
12月：ICT费用150万元，项目投标费用和标书打印费按前11个月的平均值20万计算，合计：170万元
全年合计：2265万元</t>
  </si>
  <si>
    <t>项目支撑-人员</t>
  </si>
  <si>
    <t>运营支撑费</t>
  </si>
  <si>
    <t>根据2024年9月上会决策，通过精简人员6名，通过新的省公司框架协议，实现压降各级人员单价，全年费用降低至约270万，较24年压降成本173万。</t>
  </si>
  <si>
    <t>项目支撑-直签</t>
  </si>
  <si>
    <t>根据全省调研统计，预计25年全省为1亿元成本，其中，嘉兴根据各项收入预估计算，需要直签成本约为1500万元。</t>
  </si>
  <si>
    <t>项目支撑-其他</t>
  </si>
  <si>
    <t>省分摊：数字政府运营支撑、OnePower等按B收入占比刚性结算</t>
  </si>
  <si>
    <r>
      <rPr>
        <sz val="10"/>
        <rFont val="微软雅黑"/>
        <charset val="134"/>
      </rPr>
      <t xml:space="preserve">嘉兴学院大数据项目支撑费，列入24年预算。25年无新增。
</t>
    </r>
    <r>
      <rPr>
        <sz val="10"/>
        <color rgb="FFFF0000"/>
        <rFont val="微软雅黑"/>
        <charset val="134"/>
      </rPr>
      <t>省分摊：数字政府运营支撑、OnePower等按B收入占比刚性结算</t>
    </r>
  </si>
  <si>
    <t>信息安全协维人员费用</t>
  </si>
  <si>
    <t>网站备案人员1名，互联网防止骚扰1名</t>
  </si>
  <si>
    <t>网格运营承包费</t>
  </si>
  <si>
    <t>1-10月已发起报账，11-12月按合计186万预估</t>
  </si>
  <si>
    <t>1、相比24年，砍掉了管理团队等支出，进一步压降低效业务占比，实现降本增效。
2、25年进一步推动直销团队人力和业务发展，目标人力和业务量提升20%，月均预算110万。</t>
  </si>
  <si>
    <t>营销支撑费</t>
  </si>
  <si>
    <t>1-10月已发起报账，11-12月按374.3万预估</t>
  </si>
  <si>
    <t>根据24年9月-26年8月最新合同，嘉兴支撑天数为62625元/人天，每天单价750元，金额共为4696.88万。25年将进一步推动客户经理（外包）队伍业务发展，月均支撑预计为2600人天左右，单月成本为195万，25年预算2350万。</t>
  </si>
  <si>
    <t>政企营销支撑费（满意度）</t>
  </si>
  <si>
    <t>活动类客户服务费104.24万、绿植203.21万、实物100万、两会50万</t>
  </si>
  <si>
    <t>因金币资源管控集中，绿植增加100万预算</t>
  </si>
  <si>
    <t>外包费</t>
  </si>
  <si>
    <t>2024年1月新签署在线录入与稽核合同金额7393020（不含税),结束时间为2025年12月31日，2024年前10个月结算业务量月均4万笔，支付月均21.3万元，预计2024年去业务需结算255.6万元（不含税），2025年省公司会加大AI能力，订单员仅做订单审核操作，不做其它审核，按照2024年预判可节省8万元，2025年省公司将开展印章库建设与稽核，地市需要对集团进行印章全量稽核，预计新增印章库稽核量8万笔，单价7.8元，结算需要新增62.4万元。合计需要310万元。</t>
  </si>
  <si>
    <t>24年政企收入目标（B市场通服）</t>
  </si>
  <si>
    <t>24年收入目标</t>
  </si>
  <si>
    <t>25年收入目标</t>
  </si>
  <si>
    <t>收入增幅</t>
  </si>
  <si>
    <t>收入情况</t>
  </si>
  <si>
    <t xml:space="preserve"> ICT </t>
  </si>
  <si>
    <t xml:space="preserve"> 公有云（含云定制化，不含IDC带宽，大数据，OneEDU，云IoT,能开，云视讯） </t>
  </si>
  <si>
    <t xml:space="preserve"> 大数据（产品） </t>
  </si>
  <si>
    <t xml:space="preserve"> IDC（含IDC带宽） </t>
  </si>
  <si>
    <t>物联网产品（含云IoT，不含千里眼、和对讲、ICT-IoT）</t>
  </si>
  <si>
    <t>视联网（仅含千里眼与和对讲）</t>
  </si>
  <si>
    <t xml:space="preserve"> 短彩信（不含能开/大数据中短信）</t>
  </si>
  <si>
    <t xml:space="preserve">5G产品(不含ICT-5G) </t>
  </si>
  <si>
    <t xml:space="preserve">和教育（含OneEDU双算） </t>
  </si>
  <si>
    <t xml:space="preserve">集团语音（含语音专线，传统语音） </t>
  </si>
  <si>
    <t xml:space="preserve"> 能开（双算，含能开PAAS中短信部分）</t>
  </si>
  <si>
    <t xml:space="preserve"> 云视讯</t>
  </si>
  <si>
    <t xml:space="preserve">  网络云</t>
  </si>
  <si>
    <t xml:space="preserve">  其他</t>
  </si>
</sst>
</file>

<file path=xl/styles.xml><?xml version="1.0" encoding="utf-8"?>
<styleSheet xmlns="http://schemas.openxmlformats.org/spreadsheetml/2006/main">
  <numFmts count="10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  <numFmt numFmtId="177" formatCode="0.0_ "/>
    <numFmt numFmtId="178" formatCode="_ [$€-2]\ * #,##0.000_ ;_ [$€-2]\ * \-#,##0.000_ ;_ [$€-2]\ * &quot;-&quot;??_ ;_ @_ "/>
    <numFmt numFmtId="179" formatCode="0.0%"/>
    <numFmt numFmtId="180" formatCode="0.00_ "/>
    <numFmt numFmtId="181" formatCode="0.000_ "/>
  </numFmts>
  <fonts count="36">
    <font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sz val="11"/>
      <color theme="1"/>
      <name val="微软雅黑"/>
      <charset val="134"/>
    </font>
    <font>
      <sz val="11"/>
      <name val="宋体"/>
      <charset val="134"/>
      <scheme val="minor"/>
    </font>
    <font>
      <sz val="10"/>
      <color theme="1"/>
      <name val="微软雅黑"/>
      <charset val="134"/>
    </font>
    <font>
      <b/>
      <sz val="14"/>
      <name val="微软雅黑"/>
      <charset val="134"/>
    </font>
    <font>
      <b/>
      <sz val="11"/>
      <name val="微软雅黑"/>
      <charset val="134"/>
    </font>
    <font>
      <b/>
      <sz val="10"/>
      <name val="微软雅黑"/>
      <charset val="134"/>
    </font>
    <font>
      <sz val="10"/>
      <name val="微软雅黑"/>
      <charset val="134"/>
    </font>
    <font>
      <sz val="11"/>
      <name val="微软雅黑"/>
      <charset val="134"/>
    </font>
    <font>
      <sz val="10"/>
      <color rgb="FFFF0000"/>
      <name val="微软雅黑"/>
      <charset val="134"/>
    </font>
    <font>
      <sz val="10"/>
      <name val="微软雅黑"/>
      <charset val="134"/>
    </font>
    <font>
      <b/>
      <sz val="12"/>
      <color theme="0"/>
      <name val="微软雅黑"/>
      <charset val="134"/>
    </font>
    <font>
      <b/>
      <sz val="12"/>
      <color theme="1"/>
      <name val="微软雅黑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4"/>
      <name val="微软雅黑"/>
      <charset val="134"/>
    </font>
    <font>
      <b/>
      <sz val="9"/>
      <name val="宋体"/>
      <charset val="134"/>
    </font>
    <font>
      <sz val="9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399975585192419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0" tint="-0.149967955565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5" fillId="7" borderId="1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11" borderId="16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17" applyNumberFormat="0" applyFill="0" applyAlignment="0" applyProtection="0">
      <alignment vertical="center"/>
    </xf>
    <xf numFmtId="0" fontId="25" fillId="0" borderId="17" applyNumberFormat="0" applyFill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0" fillId="0" borderId="18" applyNumberFormat="0" applyFill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6" fillId="15" borderId="19" applyNumberFormat="0" applyAlignment="0" applyProtection="0">
      <alignment vertical="center"/>
    </xf>
    <xf numFmtId="0" fontId="27" fillId="15" borderId="15" applyNumberFormat="0" applyAlignment="0" applyProtection="0">
      <alignment vertical="center"/>
    </xf>
    <xf numFmtId="0" fontId="28" fillId="16" borderId="20" applyNumberFormat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29" fillId="0" borderId="21" applyNumberFormat="0" applyFill="0" applyAlignment="0" applyProtection="0">
      <alignment vertical="center"/>
    </xf>
    <xf numFmtId="0" fontId="30" fillId="0" borderId="22" applyNumberFormat="0" applyFill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178" fontId="0" fillId="0" borderId="0">
      <alignment vertical="center"/>
    </xf>
  </cellStyleXfs>
  <cellXfs count="10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43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179" fontId="2" fillId="0" borderId="1" xfId="11" applyNumberFormat="1" applyFont="1" applyFill="1" applyBorder="1" applyAlignment="1">
      <alignment horizontal="center" vertical="center"/>
    </xf>
    <xf numFmtId="43" fontId="2" fillId="0" borderId="1" xfId="0" applyNumberFormat="1" applyFont="1" applyBorder="1" applyAlignment="1">
      <alignment horizontal="left" vertical="center" wrapText="1" indent="1"/>
    </xf>
    <xf numFmtId="176" fontId="2" fillId="0" borderId="2" xfId="0" applyNumberFormat="1" applyFont="1" applyBorder="1" applyAlignment="1">
      <alignment horizontal="center" vertical="center"/>
    </xf>
    <xf numFmtId="43" fontId="2" fillId="0" borderId="1" xfId="0" applyNumberFormat="1" applyFont="1" applyBorder="1" applyAlignment="1">
      <alignment horizontal="left" vertical="center" indent="1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 wrapText="1"/>
    </xf>
    <xf numFmtId="9" fontId="4" fillId="0" borderId="0" xfId="11" applyFont="1" applyFill="1" applyAlignment="1">
      <alignment horizontal="center" vertical="center" wrapText="1"/>
    </xf>
    <xf numFmtId="9" fontId="2" fillId="0" borderId="0" xfId="11" applyFont="1" applyFill="1" applyAlignment="1">
      <alignment horizontal="center" vertical="center"/>
    </xf>
    <xf numFmtId="0" fontId="5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6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180" fontId="8" fillId="2" borderId="1" xfId="0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7" fillId="0" borderId="6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76" fontId="8" fillId="0" borderId="7" xfId="0" applyNumberFormat="1" applyFont="1" applyBorder="1" applyAlignment="1">
      <alignment horizontal="center" vertical="center"/>
    </xf>
    <xf numFmtId="176" fontId="8" fillId="0" borderId="1" xfId="0" applyNumberFormat="1" applyFont="1" applyBorder="1" applyAlignment="1">
      <alignment horizontal="center" vertical="center"/>
    </xf>
    <xf numFmtId="180" fontId="8" fillId="0" borderId="1" xfId="0" applyNumberFormat="1" applyFont="1" applyBorder="1" applyAlignment="1">
      <alignment horizontal="center" vertical="center"/>
    </xf>
    <xf numFmtId="180" fontId="8" fillId="0" borderId="4" xfId="0" applyNumberFormat="1" applyFont="1" applyBorder="1" applyAlignment="1">
      <alignment horizontal="center" vertical="center"/>
    </xf>
    <xf numFmtId="180" fontId="8" fillId="0" borderId="6" xfId="0" applyNumberFormat="1" applyFont="1" applyBorder="1" applyAlignment="1">
      <alignment horizontal="center" vertical="center"/>
    </xf>
    <xf numFmtId="180" fontId="8" fillId="0" borderId="5" xfId="0" applyNumberFormat="1" applyFont="1" applyBorder="1" applyAlignment="1">
      <alignment horizontal="center" vertical="center"/>
    </xf>
    <xf numFmtId="177" fontId="8" fillId="0" borderId="1" xfId="0" applyNumberFormat="1" applyFont="1" applyBorder="1" applyAlignment="1">
      <alignment horizontal="center" vertical="center"/>
    </xf>
    <xf numFmtId="0" fontId="8" fillId="0" borderId="1" xfId="0" applyFont="1" applyBorder="1">
      <alignment vertical="center"/>
    </xf>
    <xf numFmtId="0" fontId="8" fillId="2" borderId="1" xfId="0" applyFont="1" applyFill="1" applyBorder="1">
      <alignment vertical="center"/>
    </xf>
    <xf numFmtId="0" fontId="7" fillId="0" borderId="1" xfId="49" applyNumberFormat="1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0" borderId="0" xfId="0" applyFont="1" applyAlignment="1">
      <alignment vertical="center" wrapText="1"/>
    </xf>
    <xf numFmtId="9" fontId="8" fillId="0" borderId="0" xfId="11" applyFont="1" applyFill="1" applyAlignment="1">
      <alignment vertical="center" wrapText="1"/>
    </xf>
    <xf numFmtId="0" fontId="9" fillId="0" borderId="0" xfId="0" applyFont="1">
      <alignment vertical="center"/>
    </xf>
    <xf numFmtId="9" fontId="9" fillId="0" borderId="0" xfId="11" applyFont="1" applyFill="1" applyAlignment="1">
      <alignment vertical="center"/>
    </xf>
    <xf numFmtId="0" fontId="5" fillId="0" borderId="7" xfId="0" applyFont="1" applyBorder="1" applyAlignment="1">
      <alignment horizontal="center" vertical="center"/>
    </xf>
    <xf numFmtId="9" fontId="5" fillId="0" borderId="3" xfId="11" applyFont="1" applyFill="1" applyBorder="1" applyAlignment="1">
      <alignment horizontal="center" vertical="center"/>
    </xf>
    <xf numFmtId="9" fontId="6" fillId="0" borderId="1" xfId="11" applyFont="1" applyFill="1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0" fontId="8" fillId="0" borderId="4" xfId="0" applyFont="1" applyBorder="1" applyAlignment="1">
      <alignment horizontal="left" vertical="center" wrapText="1"/>
    </xf>
    <xf numFmtId="9" fontId="8" fillId="0" borderId="1" xfId="11" applyFont="1" applyFill="1" applyBorder="1" applyAlignment="1">
      <alignment horizontal="center" vertical="center"/>
    </xf>
    <xf numFmtId="9" fontId="8" fillId="0" borderId="1" xfId="11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 wrapText="1"/>
    </xf>
    <xf numFmtId="0" fontId="10" fillId="0" borderId="1" xfId="0" applyFont="1" applyBorder="1" applyAlignment="1">
      <alignment horizontal="left" vertical="center" wrapText="1"/>
    </xf>
    <xf numFmtId="9" fontId="8" fillId="0" borderId="1" xfId="11" applyFont="1" applyFill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/>
    </xf>
    <xf numFmtId="0" fontId="8" fillId="0" borderId="6" xfId="0" applyFont="1" applyBorder="1" applyAlignment="1">
      <alignment horizontal="left" vertical="center"/>
    </xf>
    <xf numFmtId="180" fontId="8" fillId="0" borderId="1" xfId="0" applyNumberFormat="1" applyFont="1" applyBorder="1" applyAlignment="1">
      <alignment horizontal="left" vertical="center" wrapText="1"/>
    </xf>
    <xf numFmtId="9" fontId="8" fillId="0" borderId="4" xfId="11" applyFont="1" applyFill="1" applyBorder="1" applyAlignment="1">
      <alignment horizontal="center" vertical="center"/>
    </xf>
    <xf numFmtId="9" fontId="11" fillId="0" borderId="4" xfId="11" applyFont="1" applyFill="1" applyBorder="1" applyAlignment="1">
      <alignment horizontal="left" vertical="center" wrapText="1"/>
    </xf>
    <xf numFmtId="9" fontId="8" fillId="0" borderId="5" xfId="11" applyFont="1" applyFill="1" applyBorder="1" applyAlignment="1">
      <alignment horizontal="center" vertical="center"/>
    </xf>
    <xf numFmtId="9" fontId="8" fillId="0" borderId="5" xfId="11" applyFont="1" applyFill="1" applyBorder="1" applyAlignment="1">
      <alignment horizontal="left" vertical="center"/>
    </xf>
    <xf numFmtId="9" fontId="8" fillId="0" borderId="4" xfId="11" applyFont="1" applyFill="1" applyBorder="1" applyAlignment="1">
      <alignment horizontal="center" vertical="center" wrapText="1"/>
    </xf>
    <xf numFmtId="9" fontId="8" fillId="0" borderId="6" xfId="11" applyFont="1" applyFill="1" applyBorder="1" applyAlignment="1">
      <alignment horizontal="center" vertical="center"/>
    </xf>
    <xf numFmtId="0" fontId="7" fillId="0" borderId="1" xfId="0" applyFont="1" applyBorder="1" applyAlignment="1">
      <alignment horizontal="left" vertical="center" wrapText="1"/>
    </xf>
    <xf numFmtId="9" fontId="8" fillId="0" borderId="1" xfId="11" applyFont="1" applyFill="1" applyBorder="1" applyAlignment="1">
      <alignment vertical="center"/>
    </xf>
    <xf numFmtId="0" fontId="8" fillId="0" borderId="1" xfId="49" applyNumberFormat="1" applyFont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/>
    </xf>
    <xf numFmtId="176" fontId="8" fillId="0" borderId="2" xfId="0" applyNumberFormat="1" applyFont="1" applyBorder="1" applyAlignment="1">
      <alignment horizontal="center" vertical="center"/>
    </xf>
    <xf numFmtId="179" fontId="8" fillId="0" borderId="1" xfId="11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181" fontId="8" fillId="0" borderId="1" xfId="0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horizontal="left" vertical="center"/>
    </xf>
    <xf numFmtId="0" fontId="11" fillId="0" borderId="4" xfId="0" applyFont="1" applyBorder="1" applyAlignment="1">
      <alignment horizontal="left" vertical="center" wrapText="1"/>
    </xf>
    <xf numFmtId="0" fontId="7" fillId="0" borderId="1" xfId="49" applyNumberFormat="1" applyFont="1" applyBorder="1" applyAlignment="1">
      <alignment horizontal="left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2" fillId="3" borderId="8" xfId="0" applyFont="1" applyFill="1" applyBorder="1" applyAlignment="1">
      <alignment horizontal="center" vertical="center"/>
    </xf>
    <xf numFmtId="0" fontId="13" fillId="4" borderId="9" xfId="0" applyFont="1" applyFill="1" applyBorder="1" applyAlignment="1">
      <alignment horizontal="center" vertical="center"/>
    </xf>
    <xf numFmtId="0" fontId="13" fillId="4" borderId="10" xfId="0" applyFont="1" applyFill="1" applyBorder="1" applyAlignment="1">
      <alignment horizontal="center" vertical="center"/>
    </xf>
    <xf numFmtId="0" fontId="13" fillId="4" borderId="11" xfId="0" applyFont="1" applyFill="1" applyBorder="1" applyAlignment="1">
      <alignment horizontal="center" vertical="center"/>
    </xf>
    <xf numFmtId="0" fontId="13" fillId="4" borderId="8" xfId="0" applyFont="1" applyFill="1" applyBorder="1" applyAlignment="1">
      <alignment horizontal="center" vertical="center"/>
    </xf>
    <xf numFmtId="9" fontId="13" fillId="4" borderId="8" xfId="11" applyFont="1" applyFill="1" applyBorder="1" applyAlignment="1">
      <alignment horizontal="center" vertical="center"/>
    </xf>
    <xf numFmtId="43" fontId="2" fillId="4" borderId="8" xfId="0" applyNumberFormat="1" applyFont="1" applyFill="1" applyBorder="1" applyAlignment="1">
      <alignment horizontal="center" vertical="center" wrapText="1"/>
    </xf>
    <xf numFmtId="176" fontId="2" fillId="5" borderId="8" xfId="0" applyNumberFormat="1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9" fontId="2" fillId="5" borderId="8" xfId="11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9" fontId="2" fillId="4" borderId="8" xfId="11" applyFont="1" applyFill="1" applyBorder="1" applyAlignment="1">
      <alignment horizontal="center" vertical="center"/>
    </xf>
    <xf numFmtId="176" fontId="2" fillId="4" borderId="8" xfId="0" applyNumberFormat="1" applyFont="1" applyFill="1" applyBorder="1" applyAlignment="1">
      <alignment horizontal="center" vertical="center"/>
    </xf>
    <xf numFmtId="43" fontId="2" fillId="4" borderId="12" xfId="0" applyNumberFormat="1" applyFont="1" applyFill="1" applyBorder="1" applyAlignment="1">
      <alignment horizontal="center" vertical="center" wrapText="1"/>
    </xf>
    <xf numFmtId="43" fontId="2" fillId="4" borderId="13" xfId="0" applyNumberFormat="1" applyFont="1" applyFill="1" applyBorder="1" applyAlignment="1">
      <alignment horizontal="center" vertical="center" wrapText="1"/>
    </xf>
    <xf numFmtId="43" fontId="2" fillId="4" borderId="9" xfId="0" applyNumberFormat="1" applyFont="1" applyFill="1" applyBorder="1" applyAlignment="1">
      <alignment horizontal="center" vertical="center" wrapText="1"/>
    </xf>
    <xf numFmtId="43" fontId="2" fillId="4" borderId="11" xfId="0" applyNumberFormat="1" applyFont="1" applyFill="1" applyBorder="1" applyAlignment="1">
      <alignment horizontal="center" vertical="center" wrapText="1"/>
    </xf>
    <xf numFmtId="43" fontId="2" fillId="4" borderId="14" xfId="0" applyNumberFormat="1" applyFont="1" applyFill="1" applyBorder="1" applyAlignment="1">
      <alignment horizontal="center" vertical="center" wrapText="1"/>
    </xf>
    <xf numFmtId="0" fontId="12" fillId="3" borderId="8" xfId="0" applyFont="1" applyFill="1" applyBorder="1" applyAlignment="1">
      <alignment horizontal="center" vertical="center" wrapText="1"/>
    </xf>
    <xf numFmtId="179" fontId="2" fillId="5" borderId="8" xfId="11" applyNumberFormat="1" applyFont="1" applyFill="1" applyBorder="1" applyAlignment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colors>
    <mruColors>
      <color rgb="00FF0000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>
    <pageSetUpPr fitToPage="1"/>
  </sheetPr>
  <dimension ref="A1:T26"/>
  <sheetViews>
    <sheetView view="pageBreakPreview" zoomScale="90" zoomScaleNormal="85" topLeftCell="D1" workbookViewId="0">
      <pane ySplit="2" topLeftCell="A3" activePane="bottomLeft" state="frozen"/>
      <selection/>
      <selection pane="bottomLeft" activeCell="O11" sqref="O11"/>
    </sheetView>
  </sheetViews>
  <sheetFormatPr defaultColWidth="9" defaultRowHeight="16.5"/>
  <cols>
    <col min="1" max="1" width="9" style="12"/>
    <col min="2" max="2" width="18.7272727272727" style="12" customWidth="1"/>
    <col min="3" max="3" width="18.8636363636364" style="12" customWidth="1"/>
    <col min="4" max="9" width="10.4" style="12" customWidth="1"/>
    <col min="10" max="10" width="9.72727272727273" style="12" customWidth="1"/>
    <col min="11" max="20" width="10.4" style="12" customWidth="1"/>
    <col min="21" max="16384" width="9" style="12"/>
  </cols>
  <sheetData>
    <row r="1" spans="1:20">
      <c r="A1" s="89" t="s">
        <v>0</v>
      </c>
      <c r="B1" s="89"/>
      <c r="C1" s="89" t="s">
        <v>1</v>
      </c>
      <c r="D1" s="89" t="s">
        <v>2</v>
      </c>
      <c r="E1" s="89"/>
      <c r="F1" s="89"/>
      <c r="G1" s="89"/>
      <c r="H1" s="89" t="s">
        <v>3</v>
      </c>
      <c r="I1" s="89"/>
      <c r="J1" s="89"/>
      <c r="K1" s="89"/>
      <c r="L1" s="89"/>
      <c r="M1" s="89" t="s">
        <v>4</v>
      </c>
      <c r="N1" s="89"/>
      <c r="O1" s="89"/>
      <c r="P1" s="89"/>
      <c r="Q1" s="89" t="s">
        <v>5</v>
      </c>
      <c r="R1" s="89"/>
      <c r="S1" s="89"/>
      <c r="T1" s="89"/>
    </row>
    <row r="2" ht="33" spans="1:20">
      <c r="A2" s="89"/>
      <c r="B2" s="89"/>
      <c r="C2" s="89"/>
      <c r="D2" s="89" t="s">
        <v>6</v>
      </c>
      <c r="E2" s="89" t="s">
        <v>7</v>
      </c>
      <c r="F2" s="89" t="s">
        <v>8</v>
      </c>
      <c r="G2" s="89" t="s">
        <v>9</v>
      </c>
      <c r="H2" s="89" t="s">
        <v>10</v>
      </c>
      <c r="I2" s="89" t="s">
        <v>11</v>
      </c>
      <c r="J2" s="107" t="s">
        <v>12</v>
      </c>
      <c r="K2" s="89" t="s">
        <v>13</v>
      </c>
      <c r="L2" s="89" t="s">
        <v>9</v>
      </c>
      <c r="M2" s="89" t="s">
        <v>10</v>
      </c>
      <c r="N2" s="89" t="s">
        <v>11</v>
      </c>
      <c r="O2" s="89" t="s">
        <v>13</v>
      </c>
      <c r="P2" s="89" t="s">
        <v>9</v>
      </c>
      <c r="Q2" s="89" t="s">
        <v>10</v>
      </c>
      <c r="R2" s="89" t="s">
        <v>11</v>
      </c>
      <c r="S2" s="89" t="s">
        <v>13</v>
      </c>
      <c r="T2" s="89" t="s">
        <v>9</v>
      </c>
    </row>
    <row r="3" spans="1:20">
      <c r="A3" s="90" t="s">
        <v>14</v>
      </c>
      <c r="B3" s="91"/>
      <c r="C3" s="92"/>
      <c r="D3" s="93">
        <f>D4+D7+D9+D11+D13+D15+D17+D18+D19+D20</f>
        <v>11391</v>
      </c>
      <c r="E3" s="93">
        <f>E4+E7+E9+E11+E13+E15+E17+E18+E19+E20</f>
        <v>12678</v>
      </c>
      <c r="F3" s="93">
        <f>E3-D3</f>
        <v>1287</v>
      </c>
      <c r="G3" s="94">
        <f>F3/D3</f>
        <v>0.112983934685278</v>
      </c>
      <c r="H3" s="93">
        <f>H4+H7+H9+H11+H13+H15+H17+H18+H19+H20-426+H21+H22+H23+H24</f>
        <v>6278.7</v>
      </c>
      <c r="I3" s="93">
        <f>I4+I7+I9+I11+I13+I15+I17+I18+I19+I20+I21+I22+I23+I24</f>
        <v>7716.04</v>
      </c>
      <c r="J3" s="93">
        <f>J4+J7+J9+J11+J13+J15+J17+J18+J19+J20</f>
        <v>283</v>
      </c>
      <c r="K3" s="93">
        <f>I3-H3</f>
        <v>1437.34</v>
      </c>
      <c r="L3" s="94">
        <f>K3/H3</f>
        <v>0.228923184735694</v>
      </c>
      <c r="M3" s="93">
        <f>M4+M7+M9+M11+M13+M15+M17+M18+M19+M20-426+M21+M22+M23+M24</f>
        <v>5169.86</v>
      </c>
      <c r="N3" s="93">
        <f>N4+N7+N9+N11+N13+N15+N17+N18+N19+N20+N21+N22+N23+N24</f>
        <v>5306.29</v>
      </c>
      <c r="O3" s="93">
        <f>N3-M3</f>
        <v>136.43</v>
      </c>
      <c r="P3" s="94">
        <f>O3/M3</f>
        <v>0.0263894960405118</v>
      </c>
      <c r="Q3" s="93">
        <f>Q4+Q7+Q9+Q11+Q13+Q15+Q17+Q18+Q19+Q20+Q22</f>
        <v>825.84</v>
      </c>
      <c r="R3" s="93">
        <f>R4+R7+R9+R11+R13+R15+R17+R18+R19+R20+R22</f>
        <v>2409.75</v>
      </c>
      <c r="S3" s="93">
        <f>R3-Q3</f>
        <v>1583.91</v>
      </c>
      <c r="T3" s="94">
        <f>S3/Q3</f>
        <v>1.91793809938971</v>
      </c>
    </row>
    <row r="4" spans="1:20">
      <c r="A4" s="95" t="s">
        <v>15</v>
      </c>
      <c r="B4" s="95"/>
      <c r="C4" s="95" t="s">
        <v>15</v>
      </c>
      <c r="D4" s="96"/>
      <c r="E4" s="97"/>
      <c r="F4" s="96"/>
      <c r="G4" s="98"/>
      <c r="H4" s="96"/>
      <c r="I4" s="96"/>
      <c r="J4" s="97"/>
      <c r="K4" s="96"/>
      <c r="L4" s="98"/>
      <c r="M4" s="97"/>
      <c r="N4" s="97"/>
      <c r="O4" s="97"/>
      <c r="P4" s="108"/>
      <c r="Q4" s="97"/>
      <c r="R4" s="97"/>
      <c r="S4" s="97"/>
      <c r="T4" s="98"/>
    </row>
    <row r="5" spans="1:20">
      <c r="A5" s="95"/>
      <c r="B5" s="95"/>
      <c r="C5" s="95" t="s">
        <v>16</v>
      </c>
      <c r="D5" s="97"/>
      <c r="E5" s="97"/>
      <c r="F5" s="97"/>
      <c r="G5" s="98"/>
      <c r="H5" s="98"/>
      <c r="I5" s="98"/>
      <c r="J5" s="98"/>
      <c r="K5" s="98"/>
      <c r="L5" s="98"/>
      <c r="M5" s="98"/>
      <c r="N5" s="98"/>
      <c r="O5" s="98"/>
      <c r="P5" s="98"/>
      <c r="Q5" s="98"/>
      <c r="R5" s="98"/>
      <c r="S5" s="98"/>
      <c r="T5" s="98"/>
    </row>
    <row r="6" spans="1:20">
      <c r="A6" s="95"/>
      <c r="B6" s="95"/>
      <c r="C6" s="95" t="s">
        <v>17</v>
      </c>
      <c r="D6" s="97"/>
      <c r="E6" s="97"/>
      <c r="F6" s="97"/>
      <c r="G6" s="98"/>
      <c r="H6" s="97"/>
      <c r="I6" s="97"/>
      <c r="J6" s="97"/>
      <c r="K6" s="97"/>
      <c r="L6" s="98"/>
      <c r="M6" s="97"/>
      <c r="N6" s="97"/>
      <c r="O6" s="97"/>
      <c r="P6" s="98"/>
      <c r="Q6" s="97"/>
      <c r="R6" s="97"/>
      <c r="S6" s="97"/>
      <c r="T6" s="98"/>
    </row>
    <row r="7" spans="1:20">
      <c r="A7" s="99" t="s">
        <v>18</v>
      </c>
      <c r="B7" s="95" t="s">
        <v>19</v>
      </c>
      <c r="C7" s="95" t="s">
        <v>19</v>
      </c>
      <c r="D7" s="99"/>
      <c r="E7" s="99"/>
      <c r="F7" s="99"/>
      <c r="G7" s="100"/>
      <c r="H7" s="101"/>
      <c r="I7" s="101"/>
      <c r="J7" s="99"/>
      <c r="K7" s="99"/>
      <c r="L7" s="100"/>
      <c r="M7" s="99"/>
      <c r="N7" s="101"/>
      <c r="O7" s="99"/>
      <c r="P7" s="100"/>
      <c r="Q7" s="99"/>
      <c r="R7" s="99"/>
      <c r="S7" s="99"/>
      <c r="T7" s="100"/>
    </row>
    <row r="8" spans="1:20">
      <c r="A8" s="99"/>
      <c r="B8" s="95"/>
      <c r="C8" s="95" t="s">
        <v>20</v>
      </c>
      <c r="D8" s="99"/>
      <c r="E8" s="99"/>
      <c r="F8" s="99"/>
      <c r="G8" s="100"/>
      <c r="H8" s="99"/>
      <c r="I8" s="99"/>
      <c r="J8" s="99"/>
      <c r="K8" s="99"/>
      <c r="L8" s="100"/>
      <c r="M8" s="99"/>
      <c r="N8" s="101"/>
      <c r="O8" s="99"/>
      <c r="P8" s="100"/>
      <c r="Q8" s="99"/>
      <c r="R8" s="99"/>
      <c r="S8" s="99"/>
      <c r="T8" s="100"/>
    </row>
    <row r="9" spans="1:20">
      <c r="A9" s="99"/>
      <c r="B9" s="95" t="s">
        <v>21</v>
      </c>
      <c r="C9" s="95" t="s">
        <v>21</v>
      </c>
      <c r="D9" s="99"/>
      <c r="E9" s="99"/>
      <c r="F9" s="99"/>
      <c r="G9" s="100"/>
      <c r="H9" s="99"/>
      <c r="I9" s="99"/>
      <c r="J9" s="99"/>
      <c r="K9" s="99"/>
      <c r="L9" s="100"/>
      <c r="M9" s="99"/>
      <c r="N9" s="99"/>
      <c r="O9" s="99"/>
      <c r="P9" s="100"/>
      <c r="Q9" s="99"/>
      <c r="R9" s="99"/>
      <c r="S9" s="99"/>
      <c r="T9" s="100"/>
    </row>
    <row r="10" spans="1:20">
      <c r="A10" s="99"/>
      <c r="B10" s="95"/>
      <c r="C10" s="95" t="s">
        <v>20</v>
      </c>
      <c r="D10" s="99"/>
      <c r="E10" s="99"/>
      <c r="F10" s="99"/>
      <c r="G10" s="100"/>
      <c r="H10" s="99"/>
      <c r="I10" s="99"/>
      <c r="J10" s="99"/>
      <c r="K10" s="99"/>
      <c r="L10" s="100"/>
      <c r="M10" s="99"/>
      <c r="N10" s="99"/>
      <c r="O10" s="99"/>
      <c r="P10" s="100"/>
      <c r="Q10" s="99"/>
      <c r="R10" s="99"/>
      <c r="S10" s="99"/>
      <c r="T10" s="100"/>
    </row>
    <row r="11" spans="1:20">
      <c r="A11" s="99"/>
      <c r="B11" s="102" t="s">
        <v>22</v>
      </c>
      <c r="C11" s="95" t="s">
        <v>22</v>
      </c>
      <c r="D11" s="101"/>
      <c r="E11" s="99"/>
      <c r="F11" s="99"/>
      <c r="G11" s="100"/>
      <c r="H11" s="99"/>
      <c r="I11" s="99"/>
      <c r="J11" s="99"/>
      <c r="K11" s="99"/>
      <c r="L11" s="100"/>
      <c r="M11" s="99"/>
      <c r="N11" s="99"/>
      <c r="O11" s="99"/>
      <c r="P11" s="100"/>
      <c r="Q11" s="99"/>
      <c r="R11" s="99"/>
      <c r="S11" s="99"/>
      <c r="T11" s="100"/>
    </row>
    <row r="12" spans="1:20">
      <c r="A12" s="99"/>
      <c r="B12" s="103"/>
      <c r="C12" s="95" t="s">
        <v>23</v>
      </c>
      <c r="D12" s="99"/>
      <c r="E12" s="99"/>
      <c r="F12" s="99"/>
      <c r="G12" s="99"/>
      <c r="H12" s="99"/>
      <c r="I12" s="99"/>
      <c r="J12" s="99"/>
      <c r="K12" s="99"/>
      <c r="L12" s="100"/>
      <c r="M12" s="99"/>
      <c r="N12" s="99"/>
      <c r="O12" s="99"/>
      <c r="P12" s="100"/>
      <c r="Q12" s="99"/>
      <c r="R12" s="99"/>
      <c r="S12" s="99"/>
      <c r="T12" s="99"/>
    </row>
    <row r="13" spans="1:20">
      <c r="A13" s="99"/>
      <c r="B13" s="95" t="s">
        <v>24</v>
      </c>
      <c r="C13" s="95" t="s">
        <v>24</v>
      </c>
      <c r="D13" s="99">
        <f>SUM(细化表!C15:C24)</f>
        <v>8836</v>
      </c>
      <c r="E13" s="99">
        <f>SUM(细化表!J15:J24)</f>
        <v>9878</v>
      </c>
      <c r="F13" s="99">
        <f>E13-D13</f>
        <v>1042</v>
      </c>
      <c r="G13" s="100">
        <f>E13/D13-1</f>
        <v>0.11792666364871</v>
      </c>
      <c r="H13" s="101">
        <f>SUM(细化表!D15:D24)</f>
        <v>6615.34</v>
      </c>
      <c r="I13" s="99">
        <f>SUM(细化表!M15:M24)</f>
        <v>7382.75</v>
      </c>
      <c r="J13" s="99">
        <v>283</v>
      </c>
      <c r="K13" s="99">
        <f>I13-H13</f>
        <v>767.41</v>
      </c>
      <c r="L13" s="100">
        <f>I13/H13-1</f>
        <v>0.116004619566039</v>
      </c>
      <c r="M13" s="99">
        <f>SUM(细化表!F15:F24)</f>
        <v>5592.5</v>
      </c>
      <c r="N13" s="99">
        <f>SUM(细化表!O15:O24)</f>
        <v>5059</v>
      </c>
      <c r="O13" s="99">
        <f>N13-M13</f>
        <v>-533.5</v>
      </c>
      <c r="P13" s="100">
        <f>N13/M13-1</f>
        <v>-0.0953956191327671</v>
      </c>
      <c r="Q13" s="99">
        <f>SUM(细化表!G15:G24)</f>
        <v>739.84</v>
      </c>
      <c r="R13" s="99">
        <f>SUM(细化表!P15:P24)</f>
        <v>2323.75</v>
      </c>
      <c r="S13" s="99">
        <f>R13-Q13</f>
        <v>1583.91</v>
      </c>
      <c r="T13" s="100">
        <f>R13/Q13-1</f>
        <v>2.14088181228374</v>
      </c>
    </row>
    <row r="14" spans="1:20">
      <c r="A14" s="99"/>
      <c r="B14" s="95"/>
      <c r="C14" s="95" t="s">
        <v>20</v>
      </c>
      <c r="D14" s="99">
        <v>1936</v>
      </c>
      <c r="E14" s="99">
        <v>3200</v>
      </c>
      <c r="F14" s="99">
        <f>E14-D14</f>
        <v>1264</v>
      </c>
      <c r="G14" s="100">
        <f>E14/D14-1</f>
        <v>0.652892561983471</v>
      </c>
      <c r="H14" s="99">
        <f>细化表!F17</f>
        <v>468</v>
      </c>
      <c r="I14" s="99">
        <v>640</v>
      </c>
      <c r="J14" s="99">
        <v>0</v>
      </c>
      <c r="K14" s="99">
        <f>I14-H14</f>
        <v>172</v>
      </c>
      <c r="L14" s="100">
        <f>I14/H14-1</f>
        <v>0.367521367521368</v>
      </c>
      <c r="M14" s="99">
        <f>细化表!F17</f>
        <v>468</v>
      </c>
      <c r="N14" s="99">
        <v>640</v>
      </c>
      <c r="O14" s="99">
        <f>N14-M14</f>
        <v>172</v>
      </c>
      <c r="P14" s="100">
        <f>N14/M14-1</f>
        <v>0.367521367521368</v>
      </c>
      <c r="Q14" s="99">
        <v>0</v>
      </c>
      <c r="R14" s="99">
        <v>0</v>
      </c>
      <c r="S14" s="99">
        <v>0</v>
      </c>
      <c r="T14" s="100" t="s">
        <v>25</v>
      </c>
    </row>
    <row r="15" spans="1:20">
      <c r="A15" s="99"/>
      <c r="B15" s="95" t="s">
        <v>26</v>
      </c>
      <c r="C15" s="95" t="s">
        <v>26</v>
      </c>
      <c r="D15" s="99"/>
      <c r="E15" s="99"/>
      <c r="F15" s="99"/>
      <c r="G15" s="100"/>
      <c r="H15" s="99"/>
      <c r="I15" s="101"/>
      <c r="J15" s="99"/>
      <c r="K15" s="101"/>
      <c r="L15" s="100"/>
      <c r="M15" s="99"/>
      <c r="N15" s="101"/>
      <c r="O15" s="101"/>
      <c r="P15" s="100"/>
      <c r="Q15" s="99"/>
      <c r="R15" s="99"/>
      <c r="S15" s="99"/>
      <c r="T15" s="100"/>
    </row>
    <row r="16" spans="1:20">
      <c r="A16" s="99"/>
      <c r="B16" s="95"/>
      <c r="C16" s="95" t="s">
        <v>20</v>
      </c>
      <c r="D16" s="99"/>
      <c r="E16" s="99"/>
      <c r="F16" s="99"/>
      <c r="G16" s="100"/>
      <c r="H16" s="99"/>
      <c r="I16" s="101"/>
      <c r="J16" s="99"/>
      <c r="K16" s="101"/>
      <c r="L16" s="100"/>
      <c r="M16" s="99"/>
      <c r="N16" s="101"/>
      <c r="O16" s="101"/>
      <c r="P16" s="100"/>
      <c r="Q16" s="99"/>
      <c r="R16" s="99"/>
      <c r="S16" s="99"/>
      <c r="T16" s="99"/>
    </row>
    <row r="17" spans="1:20">
      <c r="A17" s="99"/>
      <c r="B17" s="95" t="s">
        <v>27</v>
      </c>
      <c r="C17" s="95" t="s">
        <v>27</v>
      </c>
      <c r="D17" s="99">
        <f>细化表!C25</f>
        <v>2555</v>
      </c>
      <c r="E17" s="99">
        <f>细化表!J25</f>
        <v>2800</v>
      </c>
      <c r="F17" s="99">
        <f>E17-D17</f>
        <v>245</v>
      </c>
      <c r="G17" s="100">
        <f>E17/D17-1</f>
        <v>0.095890410958904</v>
      </c>
      <c r="H17" s="99">
        <f>细化表!D25</f>
        <v>89.36</v>
      </c>
      <c r="I17" s="99">
        <f>细化表!M25</f>
        <v>333.29</v>
      </c>
      <c r="J17" s="99">
        <v>0</v>
      </c>
      <c r="K17" s="99">
        <f>I17-H17</f>
        <v>243.93</v>
      </c>
      <c r="L17" s="100">
        <f>I17/H17-1</f>
        <v>2.7297448522829</v>
      </c>
      <c r="M17" s="99">
        <f>SUM(细化表!F25:F26)</f>
        <v>3.36</v>
      </c>
      <c r="N17" s="99">
        <f>SUM(细化表!O25:O26)</f>
        <v>247.29</v>
      </c>
      <c r="O17" s="99">
        <f>N17-M17</f>
        <v>243.93</v>
      </c>
      <c r="P17" s="100">
        <f>N17/M17-1</f>
        <v>72.5982142857143</v>
      </c>
      <c r="Q17" s="99">
        <f>细化表!G25</f>
        <v>86</v>
      </c>
      <c r="R17" s="99">
        <f>细化表!P25</f>
        <v>86</v>
      </c>
      <c r="S17" s="99">
        <f>R17-Q17</f>
        <v>0</v>
      </c>
      <c r="T17" s="100">
        <f>R17/Q17-1</f>
        <v>0</v>
      </c>
    </row>
    <row r="18" spans="1:20">
      <c r="A18" s="99"/>
      <c r="B18" s="95" t="s">
        <v>28</v>
      </c>
      <c r="C18" s="95" t="s">
        <v>28</v>
      </c>
      <c r="D18" s="99"/>
      <c r="E18" s="99"/>
      <c r="F18" s="99"/>
      <c r="G18" s="100"/>
      <c r="H18" s="99"/>
      <c r="I18" s="99"/>
      <c r="J18" s="99"/>
      <c r="K18" s="99"/>
      <c r="L18" s="100"/>
      <c r="M18" s="99"/>
      <c r="N18" s="99"/>
      <c r="O18" s="99"/>
      <c r="P18" s="100"/>
      <c r="Q18" s="99"/>
      <c r="R18" s="99"/>
      <c r="S18" s="99"/>
      <c r="T18" s="100"/>
    </row>
    <row r="19" spans="1:20">
      <c r="A19" s="99"/>
      <c r="B19" s="95" t="s">
        <v>29</v>
      </c>
      <c r="C19" s="95" t="s">
        <v>29</v>
      </c>
      <c r="D19" s="101"/>
      <c r="E19" s="101"/>
      <c r="F19" s="99"/>
      <c r="G19" s="100"/>
      <c r="H19" s="99"/>
      <c r="I19" s="99"/>
      <c r="J19" s="99"/>
      <c r="K19" s="99"/>
      <c r="L19" s="100"/>
      <c r="M19" s="99"/>
      <c r="N19" s="99"/>
      <c r="O19" s="99"/>
      <c r="P19" s="100"/>
      <c r="Q19" s="99"/>
      <c r="R19" s="99"/>
      <c r="S19" s="99"/>
      <c r="T19" s="100"/>
    </row>
    <row r="20" spans="1:20">
      <c r="A20" s="99"/>
      <c r="B20" s="95" t="s">
        <v>30</v>
      </c>
      <c r="C20" s="95" t="s">
        <v>30</v>
      </c>
      <c r="D20" s="101"/>
      <c r="E20" s="101"/>
      <c r="F20" s="99"/>
      <c r="G20" s="100"/>
      <c r="H20" s="99"/>
      <c r="I20" s="99"/>
      <c r="J20" s="99"/>
      <c r="K20" s="99"/>
      <c r="L20" s="100"/>
      <c r="M20" s="99"/>
      <c r="N20" s="99"/>
      <c r="O20" s="99"/>
      <c r="P20" s="100"/>
      <c r="Q20" s="99"/>
      <c r="R20" s="99"/>
      <c r="S20" s="99"/>
      <c r="T20" s="100"/>
    </row>
    <row r="21" spans="1:20">
      <c r="A21" s="102" t="s">
        <v>31</v>
      </c>
      <c r="B21" s="104" t="s">
        <v>32</v>
      </c>
      <c r="C21" s="105"/>
      <c r="D21" s="95"/>
      <c r="E21" s="95"/>
      <c r="F21" s="95"/>
      <c r="G21" s="95"/>
      <c r="H21" s="101"/>
      <c r="I21" s="99"/>
      <c r="J21" s="99"/>
      <c r="K21" s="99"/>
      <c r="L21" s="100"/>
      <c r="M21" s="101"/>
      <c r="N21" s="99"/>
      <c r="O21" s="101"/>
      <c r="P21" s="100"/>
      <c r="Q21" s="95"/>
      <c r="R21" s="95"/>
      <c r="S21" s="95"/>
      <c r="T21" s="95"/>
    </row>
    <row r="22" spans="1:20">
      <c r="A22" s="106"/>
      <c r="B22" s="104" t="s">
        <v>33</v>
      </c>
      <c r="C22" s="105"/>
      <c r="D22" s="95"/>
      <c r="E22" s="95"/>
      <c r="F22" s="95"/>
      <c r="G22" s="95"/>
      <c r="H22" s="101"/>
      <c r="I22" s="99"/>
      <c r="J22" s="99"/>
      <c r="K22" s="99"/>
      <c r="L22" s="100"/>
      <c r="M22" s="101"/>
      <c r="N22" s="99"/>
      <c r="O22" s="101"/>
      <c r="P22" s="100"/>
      <c r="Q22" s="95"/>
      <c r="R22" s="95"/>
      <c r="S22" s="95"/>
      <c r="T22" s="95"/>
    </row>
    <row r="23" spans="1:20">
      <c r="A23" s="106"/>
      <c r="B23" s="104" t="s">
        <v>34</v>
      </c>
      <c r="C23" s="105"/>
      <c r="D23" s="95"/>
      <c r="E23" s="95"/>
      <c r="F23" s="95"/>
      <c r="G23" s="95"/>
      <c r="H23" s="99"/>
      <c r="I23" s="99"/>
      <c r="J23" s="99"/>
      <c r="K23" s="99"/>
      <c r="L23" s="100"/>
      <c r="M23" s="101"/>
      <c r="N23" s="99"/>
      <c r="O23" s="101"/>
      <c r="P23" s="100"/>
      <c r="Q23" s="95"/>
      <c r="R23" s="95"/>
      <c r="S23" s="95"/>
      <c r="T23" s="95"/>
    </row>
    <row r="24" spans="1:20">
      <c r="A24" s="103"/>
      <c r="B24" s="104" t="s">
        <v>35</v>
      </c>
      <c r="C24" s="105"/>
      <c r="D24" s="95"/>
      <c r="E24" s="95"/>
      <c r="F24" s="95"/>
      <c r="G24" s="95"/>
      <c r="H24" s="99"/>
      <c r="I24" s="99"/>
      <c r="J24" s="99"/>
      <c r="K24" s="99"/>
      <c r="L24" s="100"/>
      <c r="M24" s="101"/>
      <c r="N24" s="99"/>
      <c r="O24" s="101"/>
      <c r="P24" s="100"/>
      <c r="Q24" s="95"/>
      <c r="R24" s="95"/>
      <c r="S24" s="99"/>
      <c r="T24" s="100"/>
    </row>
    <row r="26" spans="11:12">
      <c r="K26" s="12">
        <f>K4+K7+K9+K11+K13+K15+K17+K18+K19+K20</f>
        <v>1011.34</v>
      </c>
      <c r="L26" s="12">
        <f>K26-J3</f>
        <v>728.34</v>
      </c>
    </row>
  </sheetData>
  <mergeCells count="19">
    <mergeCell ref="D1:G1"/>
    <mergeCell ref="H1:L1"/>
    <mergeCell ref="M1:P1"/>
    <mergeCell ref="Q1:T1"/>
    <mergeCell ref="A3:C3"/>
    <mergeCell ref="B21:C21"/>
    <mergeCell ref="B22:C22"/>
    <mergeCell ref="B23:C23"/>
    <mergeCell ref="B24:C24"/>
    <mergeCell ref="A7:A20"/>
    <mergeCell ref="A21:A24"/>
    <mergeCell ref="B7:B8"/>
    <mergeCell ref="B9:B10"/>
    <mergeCell ref="B11:B12"/>
    <mergeCell ref="B13:B14"/>
    <mergeCell ref="B15:B16"/>
    <mergeCell ref="C1:C2"/>
    <mergeCell ref="A4:B6"/>
    <mergeCell ref="A1:B2"/>
  </mergeCells>
  <pageMargins left="0.7" right="0.7" top="0.75" bottom="0.75" header="0.3" footer="0.3"/>
  <pageSetup paperSize="9" scale="59" fitToHeight="0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>
    <pageSetUpPr fitToPage="1"/>
  </sheetPr>
  <dimension ref="A1:R52"/>
  <sheetViews>
    <sheetView tabSelected="1" zoomScale="85" zoomScaleNormal="85" zoomScaleSheetLayoutView="55" workbookViewId="0">
      <pane xSplit="1" ySplit="3" topLeftCell="J4" activePane="bottomRight" state="frozen"/>
      <selection/>
      <selection pane="topRight"/>
      <selection pane="bottomLeft"/>
      <selection pane="bottomRight" activeCell="H22" sqref="H22"/>
    </sheetView>
  </sheetViews>
  <sheetFormatPr defaultColWidth="9" defaultRowHeight="16.5"/>
  <cols>
    <col min="1" max="1" width="12.8636363636364" style="11" customWidth="1"/>
    <col min="2" max="2" width="20.1363636363636" style="12" customWidth="1"/>
    <col min="3" max="4" width="9.26363636363636" style="12" customWidth="1"/>
    <col min="5" max="5" width="8.6" style="12" customWidth="1"/>
    <col min="6" max="6" width="9" style="12" customWidth="1"/>
    <col min="7" max="7" width="8" style="12" customWidth="1"/>
    <col min="8" max="8" width="17.4" style="13" customWidth="1"/>
    <col min="9" max="9" width="52.8636363636364" style="12" customWidth="1"/>
    <col min="10" max="10" width="10.4" style="14" customWidth="1"/>
    <col min="11" max="11" width="9.4" style="15" customWidth="1"/>
    <col min="12" max="12" width="40.2636363636364" style="12" customWidth="1"/>
    <col min="13" max="13" width="10.4" style="12" customWidth="1"/>
    <col min="14" max="14" width="9.6" style="16" customWidth="1"/>
    <col min="15" max="15" width="10.4" style="12" customWidth="1"/>
    <col min="16" max="16" width="11.1363636363636" style="12" customWidth="1"/>
    <col min="17" max="17" width="15.4" style="12" customWidth="1"/>
    <col min="18" max="18" width="58.8636363636364" style="12" customWidth="1"/>
    <col min="19" max="19" width="15.2636363636364" style="12"/>
    <col min="20" max="16384" width="9" style="12"/>
  </cols>
  <sheetData>
    <row r="1" s="9" customFormat="1" ht="20" spans="1:18">
      <c r="A1" s="17" t="s">
        <v>36</v>
      </c>
      <c r="B1" s="17"/>
      <c r="C1" s="17"/>
      <c r="D1" s="17"/>
      <c r="E1" s="17"/>
      <c r="F1" s="18"/>
      <c r="G1" s="17"/>
      <c r="H1" s="19"/>
      <c r="I1" s="17"/>
      <c r="J1" s="48"/>
      <c r="K1" s="49"/>
      <c r="L1" s="50"/>
      <c r="M1" s="50"/>
      <c r="N1" s="51"/>
      <c r="O1" s="50"/>
      <c r="P1" s="50"/>
      <c r="Q1" s="50"/>
      <c r="R1" s="50"/>
    </row>
    <row r="2" s="10" customFormat="1" ht="20" spans="1:18">
      <c r="A2" s="20" t="s">
        <v>37</v>
      </c>
      <c r="B2" s="20" t="s">
        <v>0</v>
      </c>
      <c r="C2" s="21" t="s">
        <v>38</v>
      </c>
      <c r="D2" s="22"/>
      <c r="E2" s="22"/>
      <c r="F2" s="22"/>
      <c r="G2" s="22"/>
      <c r="H2" s="22"/>
      <c r="I2" s="52"/>
      <c r="J2" s="21" t="s">
        <v>39</v>
      </c>
      <c r="K2" s="53"/>
      <c r="L2" s="22"/>
      <c r="M2" s="22"/>
      <c r="N2" s="53"/>
      <c r="O2" s="22"/>
      <c r="P2" s="22"/>
      <c r="Q2" s="22"/>
      <c r="R2" s="52"/>
    </row>
    <row r="3" s="11" customFormat="1" ht="49.5" spans="1:18">
      <c r="A3" s="20"/>
      <c r="B3" s="20"/>
      <c r="C3" s="20" t="s">
        <v>40</v>
      </c>
      <c r="D3" s="20" t="s">
        <v>41</v>
      </c>
      <c r="E3" s="20" t="s">
        <v>42</v>
      </c>
      <c r="F3" s="20" t="s">
        <v>4</v>
      </c>
      <c r="G3" s="20" t="s">
        <v>5</v>
      </c>
      <c r="H3" s="20" t="s">
        <v>43</v>
      </c>
      <c r="I3" s="20" t="s">
        <v>44</v>
      </c>
      <c r="J3" s="20" t="s">
        <v>45</v>
      </c>
      <c r="K3" s="54" t="s">
        <v>46</v>
      </c>
      <c r="L3" s="55" t="s">
        <v>47</v>
      </c>
      <c r="M3" s="20" t="s">
        <v>48</v>
      </c>
      <c r="N3" s="54" t="s">
        <v>49</v>
      </c>
      <c r="O3" s="20" t="s">
        <v>4</v>
      </c>
      <c r="P3" s="20" t="s">
        <v>5</v>
      </c>
      <c r="Q3" s="55" t="s">
        <v>43</v>
      </c>
      <c r="R3" s="20" t="s">
        <v>50</v>
      </c>
    </row>
    <row r="4" ht="128.1" hidden="1" customHeight="1" spans="1:18">
      <c r="A4" s="23" t="s">
        <v>51</v>
      </c>
      <c r="B4" s="24" t="s">
        <v>52</v>
      </c>
      <c r="C4" s="25">
        <v>1730</v>
      </c>
      <c r="D4" s="26">
        <f>E4+210.46</f>
        <v>1678.56</v>
      </c>
      <c r="E4" s="26">
        <f>F4+G4</f>
        <v>1468.1</v>
      </c>
      <c r="F4" s="26">
        <v>0</v>
      </c>
      <c r="G4" s="26">
        <v>1468.1</v>
      </c>
      <c r="H4" s="24" t="s">
        <v>53</v>
      </c>
      <c r="I4" s="56" t="s">
        <v>54</v>
      </c>
      <c r="J4" s="26">
        <v>3000</v>
      </c>
      <c r="K4" s="57">
        <f>(J4-C4)/C4</f>
        <v>0.734104046242775</v>
      </c>
      <c r="L4" s="58" t="s">
        <v>55</v>
      </c>
      <c r="M4" s="26">
        <f>O4+P4</f>
        <v>3062.46</v>
      </c>
      <c r="N4" s="57">
        <f>M4/E4-1</f>
        <v>1.08600231591853</v>
      </c>
      <c r="O4" s="26">
        <f>612+210.46</f>
        <v>822.46</v>
      </c>
      <c r="P4" s="26">
        <v>2240</v>
      </c>
      <c r="Q4" s="73" t="s">
        <v>53</v>
      </c>
      <c r="R4" s="56" t="s">
        <v>56</v>
      </c>
    </row>
    <row r="5" ht="45" hidden="1" customHeight="1" spans="1:18">
      <c r="A5" s="27"/>
      <c r="B5" s="24" t="s">
        <v>57</v>
      </c>
      <c r="C5" s="26">
        <v>1995</v>
      </c>
      <c r="D5" s="26">
        <f>E5</f>
        <v>1695.75</v>
      </c>
      <c r="E5" s="26">
        <f>F5+G5</f>
        <v>1695.75</v>
      </c>
      <c r="F5" s="26">
        <v>0</v>
      </c>
      <c r="G5" s="26">
        <v>1695.75</v>
      </c>
      <c r="H5" s="24"/>
      <c r="I5" s="59" t="s">
        <v>58</v>
      </c>
      <c r="J5" s="26">
        <v>100</v>
      </c>
      <c r="K5" s="57">
        <f>(J5-C5)/C5</f>
        <v>-0.949874686716792</v>
      </c>
      <c r="L5" s="58" t="s">
        <v>59</v>
      </c>
      <c r="M5" s="26">
        <f>O5+P5</f>
        <v>85</v>
      </c>
      <c r="N5" s="57">
        <f>M5/E5-1</f>
        <v>-0.949874686716792</v>
      </c>
      <c r="O5" s="26">
        <v>0</v>
      </c>
      <c r="P5" s="26">
        <v>85</v>
      </c>
      <c r="Q5" s="73"/>
      <c r="R5" s="59" t="s">
        <v>60</v>
      </c>
    </row>
    <row r="6" ht="58" hidden="1" spans="1:18">
      <c r="A6" s="27"/>
      <c r="B6" s="24" t="s">
        <v>61</v>
      </c>
      <c r="C6" s="26">
        <v>977</v>
      </c>
      <c r="D6" s="25">
        <f t="shared" ref="D6:D15" si="0">E6</f>
        <v>10589</v>
      </c>
      <c r="E6" s="25">
        <f>F6+G6+F7+F8</f>
        <v>10589</v>
      </c>
      <c r="F6" s="26">
        <v>0</v>
      </c>
      <c r="G6" s="25">
        <v>4920</v>
      </c>
      <c r="H6" s="24"/>
      <c r="I6" s="56" t="s">
        <v>62</v>
      </c>
      <c r="J6" s="26">
        <v>1200</v>
      </c>
      <c r="K6" s="57">
        <f>(J6-C6)/C6</f>
        <v>0.228249744114637</v>
      </c>
      <c r="L6" s="58" t="s">
        <v>63</v>
      </c>
      <c r="M6" s="25">
        <f>O6+P6+O7+O8</f>
        <v>11640</v>
      </c>
      <c r="N6" s="57">
        <f>M6/E6-1</f>
        <v>0.0992539427707999</v>
      </c>
      <c r="O6" s="26">
        <v>0</v>
      </c>
      <c r="P6" s="25">
        <v>4920</v>
      </c>
      <c r="Q6" s="73"/>
      <c r="R6" s="56" t="s">
        <v>64</v>
      </c>
    </row>
    <row r="7" ht="24.95" hidden="1" customHeight="1" spans="1:18">
      <c r="A7" s="27"/>
      <c r="B7" s="24" t="s">
        <v>65</v>
      </c>
      <c r="C7" s="26">
        <v>4326</v>
      </c>
      <c r="D7" s="28"/>
      <c r="E7" s="28"/>
      <c r="F7" s="26">
        <v>2346</v>
      </c>
      <c r="G7" s="28"/>
      <c r="H7" s="24" t="s">
        <v>66</v>
      </c>
      <c r="I7" s="60"/>
      <c r="J7" s="26">
        <v>6000</v>
      </c>
      <c r="K7" s="57">
        <f>(J7-C7)/C7</f>
        <v>0.386962552011096</v>
      </c>
      <c r="L7" s="58" t="s">
        <v>67</v>
      </c>
      <c r="M7" s="28"/>
      <c r="N7" s="57"/>
      <c r="O7" s="26">
        <v>3000</v>
      </c>
      <c r="P7" s="28"/>
      <c r="Q7" s="73" t="s">
        <v>66</v>
      </c>
      <c r="R7" s="60"/>
    </row>
    <row r="8" ht="38.1" hidden="1" customHeight="1" spans="1:18">
      <c r="A8" s="27"/>
      <c r="B8" s="24"/>
      <c r="C8" s="26"/>
      <c r="D8" s="29"/>
      <c r="E8" s="29"/>
      <c r="F8" s="30">
        <f>2463+860</f>
        <v>3323</v>
      </c>
      <c r="G8" s="29"/>
      <c r="H8" s="24" t="s">
        <v>53</v>
      </c>
      <c r="I8" s="61"/>
      <c r="J8" s="26"/>
      <c r="K8" s="57"/>
      <c r="L8" s="58"/>
      <c r="M8" s="29"/>
      <c r="N8" s="57"/>
      <c r="O8" s="37">
        <v>3720</v>
      </c>
      <c r="P8" s="29"/>
      <c r="Q8" s="73" t="s">
        <v>53</v>
      </c>
      <c r="R8" s="61"/>
    </row>
    <row r="9" ht="14.5" hidden="1" spans="1:18">
      <c r="A9" s="27"/>
      <c r="B9" s="24" t="s">
        <v>68</v>
      </c>
      <c r="C9" s="26">
        <v>1680</v>
      </c>
      <c r="D9" s="26">
        <f t="shared" si="0"/>
        <v>840</v>
      </c>
      <c r="E9" s="26">
        <f t="shared" ref="E9:E12" si="1">F9+G9</f>
        <v>840</v>
      </c>
      <c r="F9" s="26">
        <v>0</v>
      </c>
      <c r="G9" s="26">
        <v>840</v>
      </c>
      <c r="H9" s="24"/>
      <c r="I9" s="59" t="s">
        <v>69</v>
      </c>
      <c r="J9" s="26">
        <v>1900</v>
      </c>
      <c r="K9" s="57">
        <f t="shared" ref="K9:K14" si="2">(J9-C9)/C9</f>
        <v>0.130952380952381</v>
      </c>
      <c r="L9" s="57" t="s">
        <v>70</v>
      </c>
      <c r="M9" s="26">
        <v>950</v>
      </c>
      <c r="N9" s="57">
        <f t="shared" ref="N9:N14" si="3">M9/E9-1</f>
        <v>0.130952380952381</v>
      </c>
      <c r="O9" s="26">
        <v>0</v>
      </c>
      <c r="P9" s="26">
        <v>950</v>
      </c>
      <c r="Q9" s="73"/>
      <c r="R9" s="59" t="s">
        <v>71</v>
      </c>
    </row>
    <row r="10" ht="58" hidden="1" spans="1:18">
      <c r="A10" s="27"/>
      <c r="B10" s="24" t="s">
        <v>72</v>
      </c>
      <c r="C10" s="26">
        <v>575</v>
      </c>
      <c r="D10" s="26">
        <f t="shared" si="0"/>
        <v>743</v>
      </c>
      <c r="E10" s="26">
        <f t="shared" si="1"/>
        <v>743</v>
      </c>
      <c r="F10" s="31">
        <f>86+82</f>
        <v>168</v>
      </c>
      <c r="G10" s="26">
        <v>575</v>
      </c>
      <c r="H10" s="24" t="s">
        <v>53</v>
      </c>
      <c r="I10" s="59" t="s">
        <v>73</v>
      </c>
      <c r="J10" s="26">
        <v>1500</v>
      </c>
      <c r="K10" s="57">
        <f t="shared" si="2"/>
        <v>1.60869565217391</v>
      </c>
      <c r="L10" s="58" t="s">
        <v>74</v>
      </c>
      <c r="M10" s="26">
        <f>O10+P10</f>
        <v>1705</v>
      </c>
      <c r="N10" s="57">
        <f t="shared" si="3"/>
        <v>1.29475100942127</v>
      </c>
      <c r="O10" s="26">
        <v>210</v>
      </c>
      <c r="P10" s="26">
        <v>1495</v>
      </c>
      <c r="Q10" s="73" t="s">
        <v>53</v>
      </c>
      <c r="R10" s="59" t="s">
        <v>75</v>
      </c>
    </row>
    <row r="11" ht="43.5" hidden="1" spans="1:18">
      <c r="A11" s="32"/>
      <c r="B11" s="24" t="s">
        <v>76</v>
      </c>
      <c r="C11" s="26">
        <v>1550</v>
      </c>
      <c r="D11" s="26">
        <f t="shared" si="0"/>
        <v>0</v>
      </c>
      <c r="E11" s="26">
        <v>0</v>
      </c>
      <c r="F11" s="26">
        <v>0</v>
      </c>
      <c r="G11" s="26">
        <v>0</v>
      </c>
      <c r="H11" s="24" t="s">
        <v>25</v>
      </c>
      <c r="I11" s="26" t="s">
        <v>25</v>
      </c>
      <c r="J11" s="26">
        <v>2000</v>
      </c>
      <c r="K11" s="57">
        <f t="shared" si="2"/>
        <v>0.290322580645161</v>
      </c>
      <c r="L11" s="58" t="s">
        <v>77</v>
      </c>
      <c r="M11" s="26">
        <v>0</v>
      </c>
      <c r="N11" s="57" t="s">
        <v>25</v>
      </c>
      <c r="O11" s="26">
        <v>0</v>
      </c>
      <c r="P11" s="26">
        <v>0</v>
      </c>
      <c r="Q11" s="73" t="s">
        <v>25</v>
      </c>
      <c r="R11" s="26" t="s">
        <v>25</v>
      </c>
    </row>
    <row r="12" ht="43.5" hidden="1" spans="1:18">
      <c r="A12" s="27"/>
      <c r="B12" s="24" t="s">
        <v>78</v>
      </c>
      <c r="C12" s="26">
        <v>190</v>
      </c>
      <c r="D12" s="26">
        <f t="shared" si="0"/>
        <v>122</v>
      </c>
      <c r="E12" s="26">
        <f t="shared" si="1"/>
        <v>122</v>
      </c>
      <c r="F12" s="26">
        <v>0</v>
      </c>
      <c r="G12" s="26">
        <v>122</v>
      </c>
      <c r="H12" s="24"/>
      <c r="I12" s="46" t="s">
        <v>79</v>
      </c>
      <c r="J12" s="26">
        <v>300</v>
      </c>
      <c r="K12" s="57">
        <f t="shared" si="2"/>
        <v>0.578947368421053</v>
      </c>
      <c r="L12" s="58" t="s">
        <v>80</v>
      </c>
      <c r="M12" s="26">
        <f>O12+P12</f>
        <v>195</v>
      </c>
      <c r="N12" s="57">
        <f t="shared" si="3"/>
        <v>0.598360655737705</v>
      </c>
      <c r="O12" s="26">
        <v>0</v>
      </c>
      <c r="P12" s="26">
        <v>195</v>
      </c>
      <c r="Q12" s="73"/>
      <c r="R12" s="46" t="s">
        <v>79</v>
      </c>
    </row>
    <row r="13" ht="43.5" hidden="1" spans="1:18">
      <c r="A13" s="24" t="s">
        <v>21</v>
      </c>
      <c r="B13" s="33" t="s">
        <v>81</v>
      </c>
      <c r="C13" s="26">
        <v>7500</v>
      </c>
      <c r="D13" s="26">
        <f>E13+2440</f>
        <v>4646.5</v>
      </c>
      <c r="E13" s="26">
        <f>4166-2440+480.5</f>
        <v>2206.5</v>
      </c>
      <c r="F13" s="31">
        <f>E13</f>
        <v>2206.5</v>
      </c>
      <c r="G13" s="26">
        <v>0</v>
      </c>
      <c r="H13" s="24" t="s">
        <v>53</v>
      </c>
      <c r="I13" s="62" t="s">
        <v>82</v>
      </c>
      <c r="J13" s="26">
        <v>5900</v>
      </c>
      <c r="K13" s="57">
        <f t="shared" si="2"/>
        <v>-0.213333333333333</v>
      </c>
      <c r="L13" s="58" t="s">
        <v>83</v>
      </c>
      <c r="M13" s="26">
        <f>O13+P13</f>
        <v>5717</v>
      </c>
      <c r="N13" s="57">
        <f t="shared" si="3"/>
        <v>1.59098119193293</v>
      </c>
      <c r="O13" s="26">
        <f>3277+2440</f>
        <v>5717</v>
      </c>
      <c r="P13" s="26">
        <v>0</v>
      </c>
      <c r="Q13" s="73" t="s">
        <v>53</v>
      </c>
      <c r="R13" s="81" t="s">
        <v>84</v>
      </c>
    </row>
    <row r="14" ht="29" hidden="1" spans="1:18">
      <c r="A14" s="24"/>
      <c r="B14" s="33" t="s">
        <v>85</v>
      </c>
      <c r="C14" s="26">
        <v>500</v>
      </c>
      <c r="D14" s="26">
        <f t="shared" si="0"/>
        <v>50</v>
      </c>
      <c r="E14" s="26">
        <v>50</v>
      </c>
      <c r="F14" s="26">
        <v>50</v>
      </c>
      <c r="G14" s="26">
        <v>0</v>
      </c>
      <c r="H14" s="24" t="s">
        <v>53</v>
      </c>
      <c r="I14" s="26" t="s">
        <v>86</v>
      </c>
      <c r="J14" s="26">
        <v>600</v>
      </c>
      <c r="K14" s="57">
        <f t="shared" si="2"/>
        <v>0.2</v>
      </c>
      <c r="L14" s="58" t="s">
        <v>87</v>
      </c>
      <c r="M14" s="26">
        <v>100</v>
      </c>
      <c r="N14" s="57">
        <f t="shared" si="3"/>
        <v>1</v>
      </c>
      <c r="O14" s="26">
        <v>100</v>
      </c>
      <c r="P14" s="26">
        <v>0</v>
      </c>
      <c r="Q14" s="73" t="s">
        <v>53</v>
      </c>
      <c r="R14" s="46" t="s">
        <v>88</v>
      </c>
    </row>
    <row r="15" ht="41.1" customHeight="1" spans="1:18">
      <c r="A15" s="23" t="s">
        <v>24</v>
      </c>
      <c r="B15" s="24" t="s">
        <v>89</v>
      </c>
      <c r="C15" s="26">
        <v>5360</v>
      </c>
      <c r="D15" s="26">
        <f t="shared" si="0"/>
        <v>3180</v>
      </c>
      <c r="E15" s="26">
        <v>3180</v>
      </c>
      <c r="F15" s="34">
        <v>2167</v>
      </c>
      <c r="G15" s="26">
        <v>245</v>
      </c>
      <c r="H15" s="35" t="s">
        <v>90</v>
      </c>
      <c r="I15" s="56" t="s">
        <v>91</v>
      </c>
      <c r="J15" s="26">
        <v>5560</v>
      </c>
      <c r="K15" s="57">
        <f>J15/C15-1</f>
        <v>0.0373134328358209</v>
      </c>
      <c r="L15" s="63" t="s">
        <v>92</v>
      </c>
      <c r="M15" s="26">
        <f>O15+O16+O17+P15</f>
        <v>3328.2</v>
      </c>
      <c r="N15" s="57">
        <f>M15/D15-1</f>
        <v>0.0466037735849056</v>
      </c>
      <c r="O15" s="26">
        <v>2320</v>
      </c>
      <c r="P15" s="26">
        <v>245</v>
      </c>
      <c r="Q15" s="82" t="s">
        <v>90</v>
      </c>
      <c r="R15" s="56" t="s">
        <v>93</v>
      </c>
    </row>
    <row r="16" ht="41.1" customHeight="1" spans="1:18">
      <c r="A16" s="27"/>
      <c r="B16" s="24"/>
      <c r="C16" s="26"/>
      <c r="D16" s="26"/>
      <c r="E16" s="26"/>
      <c r="F16" s="34">
        <v>300</v>
      </c>
      <c r="G16" s="26"/>
      <c r="H16" s="35" t="s">
        <v>94</v>
      </c>
      <c r="I16" s="64"/>
      <c r="J16" s="26"/>
      <c r="K16" s="57"/>
      <c r="L16" s="63"/>
      <c r="M16" s="26"/>
      <c r="N16" s="57"/>
      <c r="O16" s="26">
        <v>360</v>
      </c>
      <c r="P16" s="26"/>
      <c r="Q16" s="82" t="s">
        <v>94</v>
      </c>
      <c r="R16" s="64"/>
    </row>
    <row r="17" ht="63.95" customHeight="1" spans="1:18">
      <c r="A17" s="27"/>
      <c r="B17" s="24"/>
      <c r="C17" s="26"/>
      <c r="D17" s="26"/>
      <c r="E17" s="26"/>
      <c r="F17" s="36">
        <v>468</v>
      </c>
      <c r="G17" s="26"/>
      <c r="H17" s="35" t="s">
        <v>53</v>
      </c>
      <c r="I17" s="65"/>
      <c r="J17" s="26"/>
      <c r="K17" s="57"/>
      <c r="L17" s="63"/>
      <c r="M17" s="26"/>
      <c r="N17" s="57"/>
      <c r="O17" s="37">
        <v>403.2</v>
      </c>
      <c r="P17" s="26"/>
      <c r="Q17" s="82" t="s">
        <v>53</v>
      </c>
      <c r="R17" s="65"/>
    </row>
    <row r="18" ht="73.5" customHeight="1" spans="1:18">
      <c r="A18" s="27"/>
      <c r="B18" s="35" t="s">
        <v>95</v>
      </c>
      <c r="C18" s="37">
        <v>2165</v>
      </c>
      <c r="D18" s="37">
        <f>E18</f>
        <v>2153</v>
      </c>
      <c r="E18" s="37">
        <v>2153</v>
      </c>
      <c r="F18" s="26">
        <v>2153</v>
      </c>
      <c r="G18" s="38">
        <v>0</v>
      </c>
      <c r="H18" s="35" t="s">
        <v>53</v>
      </c>
      <c r="I18" s="66" t="s">
        <v>96</v>
      </c>
      <c r="J18" s="37">
        <v>2000</v>
      </c>
      <c r="K18" s="57">
        <f>J18/C18-1</f>
        <v>-0.0762124711316398</v>
      </c>
      <c r="L18" s="63" t="s">
        <v>97</v>
      </c>
      <c r="M18" s="38">
        <f>J18*0.933</f>
        <v>1866</v>
      </c>
      <c r="N18" s="57">
        <f>M18/D18-1</f>
        <v>-0.133302368787738</v>
      </c>
      <c r="O18" s="38">
        <f>M18</f>
        <v>1866</v>
      </c>
      <c r="P18" s="38">
        <v>0</v>
      </c>
      <c r="Q18" s="82" t="s">
        <v>53</v>
      </c>
      <c r="R18" s="66" t="s">
        <v>98</v>
      </c>
    </row>
    <row r="19" ht="159.5" spans="1:18">
      <c r="A19" s="32"/>
      <c r="B19" s="35" t="s">
        <v>30</v>
      </c>
      <c r="C19" s="26">
        <v>105</v>
      </c>
      <c r="D19" s="38">
        <f t="shared" ref="D19:D30" si="4">E19</f>
        <v>216</v>
      </c>
      <c r="E19" s="38">
        <f t="shared" ref="E19:E24" si="5">F19+G19</f>
        <v>216</v>
      </c>
      <c r="F19" s="38">
        <v>0</v>
      </c>
      <c r="G19" s="26">
        <v>216</v>
      </c>
      <c r="H19" s="35" t="s">
        <v>53</v>
      </c>
      <c r="I19" s="59" t="s">
        <v>99</v>
      </c>
      <c r="J19" s="26">
        <v>150</v>
      </c>
      <c r="K19" s="57" t="s">
        <v>25</v>
      </c>
      <c r="L19" s="63" t="s">
        <v>100</v>
      </c>
      <c r="M19" s="26">
        <v>488.75</v>
      </c>
      <c r="N19" s="57">
        <f>M19/D19</f>
        <v>2.26273148148148</v>
      </c>
      <c r="O19" s="26">
        <v>0</v>
      </c>
      <c r="P19" s="26">
        <v>488.75</v>
      </c>
      <c r="Q19" s="82" t="s">
        <v>53</v>
      </c>
      <c r="R19" s="59" t="s">
        <v>101</v>
      </c>
    </row>
    <row r="20" ht="72.5" spans="1:18">
      <c r="A20" s="23" t="s">
        <v>102</v>
      </c>
      <c r="B20" s="23" t="s">
        <v>103</v>
      </c>
      <c r="C20" s="25">
        <v>320</v>
      </c>
      <c r="D20" s="39">
        <f t="shared" si="4"/>
        <v>128.5</v>
      </c>
      <c r="E20" s="39">
        <v>128.5</v>
      </c>
      <c r="F20" s="25">
        <v>58.5</v>
      </c>
      <c r="G20" s="25">
        <v>70</v>
      </c>
      <c r="H20" s="35" t="s">
        <v>90</v>
      </c>
      <c r="I20" s="59" t="s">
        <v>104</v>
      </c>
      <c r="J20" s="25">
        <v>423</v>
      </c>
      <c r="K20" s="57">
        <f>J20/C20-1</f>
        <v>0.321875</v>
      </c>
      <c r="L20" s="63" t="s">
        <v>105</v>
      </c>
      <c r="M20" s="26">
        <f>O20+P20</f>
        <v>167.2</v>
      </c>
      <c r="N20" s="57">
        <f>M20/D20-1</f>
        <v>0.301167315175097</v>
      </c>
      <c r="O20" s="26">
        <v>97.2</v>
      </c>
      <c r="P20" s="26">
        <v>70</v>
      </c>
      <c r="Q20" s="82" t="s">
        <v>90</v>
      </c>
      <c r="R20" s="59" t="s">
        <v>106</v>
      </c>
    </row>
    <row r="21" ht="51" customHeight="1" spans="1:18">
      <c r="A21" s="27"/>
      <c r="B21" s="32"/>
      <c r="C21" s="29"/>
      <c r="D21" s="40"/>
      <c r="E21" s="40"/>
      <c r="F21" s="29"/>
      <c r="G21" s="29"/>
      <c r="H21" s="35" t="s">
        <v>66</v>
      </c>
      <c r="I21" s="59" t="s">
        <v>107</v>
      </c>
      <c r="J21" s="29"/>
      <c r="K21" s="57"/>
      <c r="L21" s="63"/>
      <c r="M21" s="26">
        <v>12.6</v>
      </c>
      <c r="N21" s="57" t="s">
        <v>25</v>
      </c>
      <c r="O21" s="26">
        <v>12.6</v>
      </c>
      <c r="P21" s="26">
        <v>0</v>
      </c>
      <c r="Q21" s="82" t="s">
        <v>66</v>
      </c>
      <c r="R21" s="59" t="s">
        <v>108</v>
      </c>
    </row>
    <row r="22" ht="43.5" spans="1:18">
      <c r="A22" s="27"/>
      <c r="B22" s="24" t="s">
        <v>109</v>
      </c>
      <c r="C22" s="26">
        <v>203</v>
      </c>
      <c r="D22" s="38">
        <f t="shared" si="4"/>
        <v>191.84</v>
      </c>
      <c r="E22" s="38">
        <f t="shared" si="5"/>
        <v>191.84</v>
      </c>
      <c r="F22" s="26">
        <v>0</v>
      </c>
      <c r="G22" s="38">
        <v>191.84</v>
      </c>
      <c r="H22" s="35"/>
      <c r="I22" s="59" t="s">
        <v>110</v>
      </c>
      <c r="J22" s="26">
        <v>500</v>
      </c>
      <c r="K22" s="57">
        <f>J22/C22-1</f>
        <v>1.46305418719212</v>
      </c>
      <c r="L22" s="63" t="s">
        <v>111</v>
      </c>
      <c r="M22" s="26">
        <f>J22*0.945</f>
        <v>472.5</v>
      </c>
      <c r="N22" s="57">
        <f>M22/D22-1</f>
        <v>1.46298999165972</v>
      </c>
      <c r="O22" s="26">
        <v>0</v>
      </c>
      <c r="P22" s="26">
        <f>M22</f>
        <v>472.5</v>
      </c>
      <c r="Q22" s="82"/>
      <c r="R22" s="59" t="s">
        <v>112</v>
      </c>
    </row>
    <row r="23" ht="159.5" spans="1:18">
      <c r="A23" s="27"/>
      <c r="B23" s="24" t="s">
        <v>113</v>
      </c>
      <c r="C23" s="26">
        <v>665</v>
      </c>
      <c r="D23" s="38">
        <f>E23+283</f>
        <v>729</v>
      </c>
      <c r="E23" s="38">
        <f t="shared" si="5"/>
        <v>446</v>
      </c>
      <c r="F23" s="31">
        <v>446</v>
      </c>
      <c r="G23" s="31">
        <v>0</v>
      </c>
      <c r="H23" s="35"/>
      <c r="I23" s="59" t="s">
        <v>114</v>
      </c>
      <c r="J23" s="26">
        <v>745</v>
      </c>
      <c r="K23" s="57">
        <f>J23/C23-1</f>
        <v>0.120300751879699</v>
      </c>
      <c r="L23" s="63" t="s">
        <v>115</v>
      </c>
      <c r="M23" s="26">
        <v>575</v>
      </c>
      <c r="N23" s="57">
        <f>M23/D23-1</f>
        <v>-0.211248285322359</v>
      </c>
      <c r="O23" s="26">
        <v>0</v>
      </c>
      <c r="P23" s="26">
        <v>575</v>
      </c>
      <c r="Q23" s="82"/>
      <c r="R23" s="59" t="s">
        <v>116</v>
      </c>
    </row>
    <row r="24" ht="84.95" customHeight="1" spans="1:18">
      <c r="A24" s="32"/>
      <c r="B24" s="24" t="s">
        <v>117</v>
      </c>
      <c r="C24" s="26">
        <v>18</v>
      </c>
      <c r="D24" s="38">
        <f t="shared" si="4"/>
        <v>17</v>
      </c>
      <c r="E24" s="38">
        <f t="shared" si="5"/>
        <v>17</v>
      </c>
      <c r="F24" s="26">
        <v>0</v>
      </c>
      <c r="G24" s="26">
        <v>17</v>
      </c>
      <c r="H24" s="35"/>
      <c r="I24" s="59" t="s">
        <v>118</v>
      </c>
      <c r="J24" s="26">
        <v>500</v>
      </c>
      <c r="K24" s="57">
        <f>J24/C24-1</f>
        <v>26.7777777777778</v>
      </c>
      <c r="L24" s="63" t="s">
        <v>119</v>
      </c>
      <c r="M24" s="26">
        <f>J24*0.945</f>
        <v>472.5</v>
      </c>
      <c r="N24" s="57">
        <f>M24/D24-1</f>
        <v>26.7941176470588</v>
      </c>
      <c r="O24" s="26">
        <v>0</v>
      </c>
      <c r="P24" s="26">
        <f>M24</f>
        <v>472.5</v>
      </c>
      <c r="Q24" s="82"/>
      <c r="R24" s="76" t="s">
        <v>120</v>
      </c>
    </row>
    <row r="25" ht="32.1" customHeight="1" spans="1:18">
      <c r="A25" s="24" t="s">
        <v>27</v>
      </c>
      <c r="B25" s="24" t="s">
        <v>121</v>
      </c>
      <c r="C25" s="39">
        <v>2555</v>
      </c>
      <c r="D25" s="39">
        <f t="shared" si="4"/>
        <v>89.36</v>
      </c>
      <c r="E25" s="39">
        <v>89.36</v>
      </c>
      <c r="F25" s="38">
        <v>3.36</v>
      </c>
      <c r="G25" s="25">
        <v>86</v>
      </c>
      <c r="H25" s="35" t="s">
        <v>90</v>
      </c>
      <c r="I25" s="56" t="s">
        <v>122</v>
      </c>
      <c r="J25" s="39">
        <v>2800</v>
      </c>
      <c r="K25" s="67">
        <f>J25/C25-1</f>
        <v>0.095890410958904</v>
      </c>
      <c r="L25" s="68" t="s">
        <v>123</v>
      </c>
      <c r="M25" s="39">
        <v>333.29</v>
      </c>
      <c r="N25" s="67">
        <v>5.28122202327663</v>
      </c>
      <c r="O25" s="38">
        <v>47.79</v>
      </c>
      <c r="P25" s="25">
        <v>86</v>
      </c>
      <c r="Q25" s="82" t="s">
        <v>90</v>
      </c>
      <c r="R25" s="83" t="s">
        <v>124</v>
      </c>
    </row>
    <row r="26" ht="44.1" customHeight="1" spans="1:18">
      <c r="A26" s="24"/>
      <c r="B26" s="24"/>
      <c r="C26" s="41"/>
      <c r="D26" s="40"/>
      <c r="E26" s="41"/>
      <c r="F26" s="26">
        <v>0</v>
      </c>
      <c r="G26" s="28"/>
      <c r="H26" s="35" t="s">
        <v>53</v>
      </c>
      <c r="I26" s="64"/>
      <c r="J26" s="41"/>
      <c r="K26" s="69"/>
      <c r="L26" s="70"/>
      <c r="M26" s="41"/>
      <c r="N26" s="69"/>
      <c r="O26" s="26">
        <v>199.5</v>
      </c>
      <c r="P26" s="28"/>
      <c r="Q26" s="82" t="s">
        <v>53</v>
      </c>
      <c r="R26" s="64"/>
    </row>
    <row r="27" ht="43.5" hidden="1" spans="1:18">
      <c r="A27" s="23" t="s">
        <v>125</v>
      </c>
      <c r="B27" s="24" t="s">
        <v>126</v>
      </c>
      <c r="C27" s="42">
        <v>4275</v>
      </c>
      <c r="D27" s="38">
        <f t="shared" si="4"/>
        <v>4018.5</v>
      </c>
      <c r="E27" s="42">
        <f>F27+G27</f>
        <v>4018.5</v>
      </c>
      <c r="F27" s="26">
        <f>C27*0.94</f>
        <v>4018.5</v>
      </c>
      <c r="G27" s="43">
        <v>0</v>
      </c>
      <c r="H27" s="35" t="s">
        <v>53</v>
      </c>
      <c r="I27" s="59" t="s">
        <v>127</v>
      </c>
      <c r="J27" s="42">
        <v>7000</v>
      </c>
      <c r="K27" s="57">
        <f>J27/C27-1</f>
        <v>0.637426900584795</v>
      </c>
      <c r="L27" s="58" t="s">
        <v>128</v>
      </c>
      <c r="M27" s="42">
        <f>O27+P27</f>
        <v>6975</v>
      </c>
      <c r="N27" s="57">
        <f>M27/F27-1</f>
        <v>0.735722284434491</v>
      </c>
      <c r="O27" s="26">
        <f>7000*0.94+395</f>
        <v>6975</v>
      </c>
      <c r="P27" s="43"/>
      <c r="Q27" s="82" t="s">
        <v>53</v>
      </c>
      <c r="R27" s="59" t="s">
        <v>129</v>
      </c>
    </row>
    <row r="28" ht="116" hidden="1" spans="1:18">
      <c r="A28" s="27"/>
      <c r="B28" s="24" t="s">
        <v>130</v>
      </c>
      <c r="C28" s="26">
        <f>22348-C27</f>
        <v>18073</v>
      </c>
      <c r="D28" s="38">
        <f t="shared" si="4"/>
        <v>4084</v>
      </c>
      <c r="E28" s="26">
        <f>G28+F28</f>
        <v>4084</v>
      </c>
      <c r="F28" s="26">
        <v>3734</v>
      </c>
      <c r="G28" s="44">
        <v>350</v>
      </c>
      <c r="H28" s="24" t="s">
        <v>131</v>
      </c>
      <c r="I28" s="59" t="s">
        <v>132</v>
      </c>
      <c r="J28" s="26">
        <v>20000</v>
      </c>
      <c r="K28" s="57">
        <f>J28/C28-1</f>
        <v>0.106623139489847</v>
      </c>
      <c r="L28" s="63" t="s">
        <v>133</v>
      </c>
      <c r="M28" s="26">
        <f>O28+P28</f>
        <v>4706</v>
      </c>
      <c r="N28" s="57">
        <f>M28/E28-1</f>
        <v>0.15230166503428</v>
      </c>
      <c r="O28" s="26">
        <f>300+4056</f>
        <v>4356</v>
      </c>
      <c r="P28" s="43">
        <v>350</v>
      </c>
      <c r="Q28" s="73" t="s">
        <v>131</v>
      </c>
      <c r="R28" s="59" t="s">
        <v>134</v>
      </c>
    </row>
    <row r="29" ht="14.5" hidden="1" spans="1:18">
      <c r="A29" s="32"/>
      <c r="B29" s="24" t="s">
        <v>135</v>
      </c>
      <c r="C29" s="26">
        <v>2340.52</v>
      </c>
      <c r="D29" s="38">
        <f t="shared" si="4"/>
        <v>0</v>
      </c>
      <c r="E29" s="26"/>
      <c r="F29" s="26"/>
      <c r="G29" s="26"/>
      <c r="H29" s="24"/>
      <c r="I29" s="26"/>
      <c r="J29" s="26">
        <v>2200</v>
      </c>
      <c r="K29" s="57">
        <f>J29/C29-1</f>
        <v>-0.0600379402867739</v>
      </c>
      <c r="L29" s="57"/>
      <c r="M29" s="26"/>
      <c r="N29" s="57"/>
      <c r="O29" s="26"/>
      <c r="P29" s="26"/>
      <c r="Q29" s="73"/>
      <c r="R29" s="26"/>
    </row>
    <row r="30" ht="68.1" hidden="1" customHeight="1" spans="1:18">
      <c r="A30" s="24" t="s">
        <v>28</v>
      </c>
      <c r="B30" s="24" t="s">
        <v>28</v>
      </c>
      <c r="C30" s="25">
        <v>980</v>
      </c>
      <c r="D30" s="25">
        <f t="shared" si="4"/>
        <v>625</v>
      </c>
      <c r="E30" s="25">
        <f>F30+F31+F32+G30</f>
        <v>625</v>
      </c>
      <c r="F30" s="26">
        <v>342</v>
      </c>
      <c r="G30" s="25">
        <v>184</v>
      </c>
      <c r="H30" s="24" t="s">
        <v>53</v>
      </c>
      <c r="I30" s="56" t="s">
        <v>136</v>
      </c>
      <c r="J30" s="25">
        <v>1200</v>
      </c>
      <c r="K30" s="67">
        <f>J30/C30-1</f>
        <v>0.224489795918367</v>
      </c>
      <c r="L30" s="71" t="s">
        <v>137</v>
      </c>
      <c r="M30" s="25">
        <f>O30+O31+O32+P30</f>
        <v>758.95</v>
      </c>
      <c r="N30" s="67">
        <v>0.24</v>
      </c>
      <c r="O30" s="26">
        <v>475.2</v>
      </c>
      <c r="P30" s="25">
        <v>221.85</v>
      </c>
      <c r="Q30" s="73" t="s">
        <v>53</v>
      </c>
      <c r="R30" s="56" t="s">
        <v>138</v>
      </c>
    </row>
    <row r="31" ht="50.1" hidden="1" customHeight="1" spans="1:18">
      <c r="A31" s="24"/>
      <c r="B31" s="24"/>
      <c r="C31" s="28"/>
      <c r="D31" s="28"/>
      <c r="E31" s="28"/>
      <c r="F31" s="26">
        <v>10</v>
      </c>
      <c r="G31" s="28"/>
      <c r="H31" s="35" t="s">
        <v>139</v>
      </c>
      <c r="I31" s="60"/>
      <c r="J31" s="28"/>
      <c r="K31" s="69"/>
      <c r="L31" s="69"/>
      <c r="M31" s="28"/>
      <c r="N31" s="69"/>
      <c r="O31" s="26">
        <v>17.9</v>
      </c>
      <c r="P31" s="28"/>
      <c r="Q31" s="82" t="s">
        <v>139</v>
      </c>
      <c r="R31" s="60"/>
    </row>
    <row r="32" ht="65.1" hidden="1" customHeight="1" spans="1:18">
      <c r="A32" s="24"/>
      <c r="B32" s="24"/>
      <c r="C32" s="29"/>
      <c r="D32" s="29"/>
      <c r="E32" s="29"/>
      <c r="F32" s="26">
        <v>89</v>
      </c>
      <c r="G32" s="29"/>
      <c r="H32" s="35" t="s">
        <v>90</v>
      </c>
      <c r="I32" s="61"/>
      <c r="J32" s="29"/>
      <c r="K32" s="72"/>
      <c r="L32" s="72"/>
      <c r="M32" s="29"/>
      <c r="N32" s="72"/>
      <c r="O32" s="26">
        <v>44</v>
      </c>
      <c r="P32" s="29"/>
      <c r="Q32" s="82" t="s">
        <v>90</v>
      </c>
      <c r="R32" s="61"/>
    </row>
    <row r="33" ht="14.5" hidden="1" spans="1:18">
      <c r="A33" s="24" t="s">
        <v>26</v>
      </c>
      <c r="B33" s="24" t="s">
        <v>140</v>
      </c>
      <c r="C33" s="26">
        <v>7290</v>
      </c>
      <c r="D33" s="25">
        <f t="shared" ref="D33:D50" si="6">E33</f>
        <v>761</v>
      </c>
      <c r="E33" s="25">
        <f>F33+F34+F35+F36+G33</f>
        <v>761</v>
      </c>
      <c r="F33" s="26">
        <v>0</v>
      </c>
      <c r="G33" s="25">
        <v>350</v>
      </c>
      <c r="H33" s="24"/>
      <c r="I33" s="73"/>
      <c r="J33" s="26">
        <v>7500</v>
      </c>
      <c r="K33" s="57">
        <f t="shared" ref="K33:K38" si="7">J33/C33-1</f>
        <v>0.0288065843621399</v>
      </c>
      <c r="L33" s="74" t="s">
        <v>141</v>
      </c>
      <c r="M33" s="39">
        <f>O33+O34+O35+O36+P33</f>
        <v>1995.67391304348</v>
      </c>
      <c r="N33" s="57">
        <f>M33/E33-1</f>
        <v>1.62243615380221</v>
      </c>
      <c r="O33" s="26">
        <v>0</v>
      </c>
      <c r="P33" s="25">
        <v>400</v>
      </c>
      <c r="Q33" s="73" t="s">
        <v>142</v>
      </c>
      <c r="R33" s="56" t="s">
        <v>143</v>
      </c>
    </row>
    <row r="34" ht="43.5" hidden="1" spans="1:18">
      <c r="A34" s="24"/>
      <c r="B34" s="24" t="s">
        <v>144</v>
      </c>
      <c r="C34" s="26">
        <v>1827</v>
      </c>
      <c r="D34" s="28"/>
      <c r="E34" s="28"/>
      <c r="F34" s="26">
        <v>364</v>
      </c>
      <c r="G34" s="28"/>
      <c r="H34" s="24" t="s">
        <v>53</v>
      </c>
      <c r="I34" s="59" t="s">
        <v>145</v>
      </c>
      <c r="J34" s="46">
        <v>2700</v>
      </c>
      <c r="K34" s="57">
        <f t="shared" si="7"/>
        <v>0.477832512315271</v>
      </c>
      <c r="L34" s="74" t="s">
        <v>146</v>
      </c>
      <c r="M34" s="41"/>
      <c r="N34" s="57"/>
      <c r="O34" s="37">
        <f>7000*0.017*12/0.92</f>
        <v>1552.17391304348</v>
      </c>
      <c r="P34" s="28"/>
      <c r="Q34" s="73" t="s">
        <v>53</v>
      </c>
      <c r="R34" s="60"/>
    </row>
    <row r="35" ht="14.5" hidden="1" spans="1:18">
      <c r="A35" s="24"/>
      <c r="B35" s="24" t="s">
        <v>147</v>
      </c>
      <c r="C35" s="26">
        <f>2005-C36</f>
        <v>1407</v>
      </c>
      <c r="D35" s="28"/>
      <c r="E35" s="28"/>
      <c r="F35" s="26">
        <v>27</v>
      </c>
      <c r="G35" s="28"/>
      <c r="H35" s="45" t="s">
        <v>148</v>
      </c>
      <c r="I35" s="75" t="s">
        <v>149</v>
      </c>
      <c r="J35" s="26">
        <v>1500</v>
      </c>
      <c r="K35" s="57">
        <f t="shared" si="7"/>
        <v>0.0660980810234542</v>
      </c>
      <c r="L35" s="74" t="s">
        <v>150</v>
      </c>
      <c r="M35" s="41"/>
      <c r="N35" s="57"/>
      <c r="O35" s="26">
        <v>13.5</v>
      </c>
      <c r="P35" s="28"/>
      <c r="Q35" s="84" t="s">
        <v>148</v>
      </c>
      <c r="R35" s="60"/>
    </row>
    <row r="36" ht="14.5" hidden="1" spans="1:18">
      <c r="A36" s="24"/>
      <c r="B36" s="24" t="s">
        <v>151</v>
      </c>
      <c r="C36" s="26">
        <v>598</v>
      </c>
      <c r="D36" s="29"/>
      <c r="E36" s="29"/>
      <c r="F36" s="26">
        <v>20</v>
      </c>
      <c r="G36" s="29"/>
      <c r="H36" s="35" t="s">
        <v>53</v>
      </c>
      <c r="I36" s="76" t="s">
        <v>152</v>
      </c>
      <c r="J36" s="26">
        <v>800</v>
      </c>
      <c r="K36" s="57">
        <f t="shared" si="7"/>
        <v>0.337792642140468</v>
      </c>
      <c r="L36" s="74" t="s">
        <v>153</v>
      </c>
      <c r="M36" s="40"/>
      <c r="N36" s="57"/>
      <c r="O36" s="26">
        <v>30</v>
      </c>
      <c r="P36" s="29"/>
      <c r="Q36" s="82" t="s">
        <v>53</v>
      </c>
      <c r="R36" s="61"/>
    </row>
    <row r="37" ht="14.5" hidden="1" spans="1:18">
      <c r="A37" s="23" t="s">
        <v>154</v>
      </c>
      <c r="B37" s="24" t="s">
        <v>29</v>
      </c>
      <c r="C37" s="37">
        <v>5599.47</v>
      </c>
      <c r="D37" s="26">
        <f t="shared" si="6"/>
        <v>4920</v>
      </c>
      <c r="E37" s="26">
        <v>4920</v>
      </c>
      <c r="F37" s="26">
        <v>0</v>
      </c>
      <c r="G37" s="26">
        <v>4920</v>
      </c>
      <c r="H37" s="24"/>
      <c r="I37" s="26"/>
      <c r="J37" s="77">
        <v>5600</v>
      </c>
      <c r="K37" s="57">
        <f t="shared" si="7"/>
        <v>9.46518152611375e-5</v>
      </c>
      <c r="L37" s="57"/>
      <c r="M37" s="26">
        <v>4920</v>
      </c>
      <c r="N37" s="57">
        <v>0</v>
      </c>
      <c r="O37" s="26">
        <v>0</v>
      </c>
      <c r="P37" s="26">
        <f>M37</f>
        <v>4920</v>
      </c>
      <c r="Q37" s="73"/>
      <c r="R37" s="26"/>
    </row>
    <row r="38" ht="14.5" hidden="1" spans="1:18">
      <c r="A38" s="27"/>
      <c r="B38" s="24" t="s">
        <v>30</v>
      </c>
      <c r="C38" s="37">
        <v>1797.49377050498</v>
      </c>
      <c r="D38" s="26">
        <f t="shared" si="6"/>
        <v>140</v>
      </c>
      <c r="E38" s="26">
        <f t="shared" ref="E38:E44" si="8">F38+G38</f>
        <v>140</v>
      </c>
      <c r="F38" s="26">
        <v>0</v>
      </c>
      <c r="G38" s="26">
        <v>140</v>
      </c>
      <c r="H38" s="24"/>
      <c r="I38" s="26"/>
      <c r="J38" s="77">
        <v>1800</v>
      </c>
      <c r="K38" s="57">
        <f t="shared" si="7"/>
        <v>0.00139429106022204</v>
      </c>
      <c r="L38" s="57"/>
      <c r="M38" s="26">
        <f>O38+P38</f>
        <v>140</v>
      </c>
      <c r="N38" s="57">
        <v>0</v>
      </c>
      <c r="O38" s="26">
        <v>0</v>
      </c>
      <c r="P38" s="26">
        <v>140</v>
      </c>
      <c r="Q38" s="73"/>
      <c r="R38" s="26"/>
    </row>
    <row r="39" ht="45" hidden="1" customHeight="1" spans="1:18">
      <c r="A39" s="23" t="s">
        <v>155</v>
      </c>
      <c r="B39" s="24" t="s">
        <v>156</v>
      </c>
      <c r="C39" s="26">
        <v>29800</v>
      </c>
      <c r="D39" s="26">
        <f t="shared" si="6"/>
        <v>25735</v>
      </c>
      <c r="E39" s="26">
        <f t="shared" si="8"/>
        <v>25735</v>
      </c>
      <c r="F39" s="26">
        <v>25735</v>
      </c>
      <c r="G39" s="26">
        <v>0</v>
      </c>
      <c r="H39" s="24" t="s">
        <v>157</v>
      </c>
      <c r="I39" s="26"/>
      <c r="J39" s="46">
        <f>29100+3500</f>
        <v>32600</v>
      </c>
      <c r="K39" s="57">
        <f>(J39-C39)/C39</f>
        <v>0.0939597315436242</v>
      </c>
      <c r="L39" s="58" t="s">
        <v>158</v>
      </c>
      <c r="M39" s="37">
        <v>28909.4097344097</v>
      </c>
      <c r="N39" s="78">
        <f>M39/E39-1</f>
        <v>0.123349902250231</v>
      </c>
      <c r="O39" s="37">
        <f t="shared" ref="O39:O43" si="9">M39</f>
        <v>28909.4097344097</v>
      </c>
      <c r="P39" s="26">
        <v>0</v>
      </c>
      <c r="Q39" s="73" t="s">
        <v>157</v>
      </c>
      <c r="R39" s="85" t="s">
        <v>159</v>
      </c>
    </row>
    <row r="40" ht="54.95" hidden="1" customHeight="1" spans="1:18">
      <c r="A40" s="27"/>
      <c r="B40" s="24" t="s">
        <v>160</v>
      </c>
      <c r="C40" s="46">
        <v>9200</v>
      </c>
      <c r="D40" s="26">
        <f t="shared" si="6"/>
        <v>5812</v>
      </c>
      <c r="E40" s="26">
        <f t="shared" si="8"/>
        <v>5812</v>
      </c>
      <c r="F40" s="46">
        <v>5812</v>
      </c>
      <c r="G40" s="46">
        <v>0</v>
      </c>
      <c r="H40" s="24" t="s">
        <v>157</v>
      </c>
      <c r="I40" s="46"/>
      <c r="J40" s="46">
        <v>8900</v>
      </c>
      <c r="K40" s="57">
        <f>(J40-C40)/C40</f>
        <v>-0.0326086956521739</v>
      </c>
      <c r="L40" s="58"/>
      <c r="M40" s="26">
        <v>5825</v>
      </c>
      <c r="N40" s="78">
        <f>M40/E40-1</f>
        <v>0.00223675154852021</v>
      </c>
      <c r="O40" s="46">
        <f t="shared" si="9"/>
        <v>5825</v>
      </c>
      <c r="P40" s="46">
        <v>0</v>
      </c>
      <c r="Q40" s="73" t="s">
        <v>157</v>
      </c>
      <c r="R40" s="86"/>
    </row>
    <row r="41" ht="99.95" hidden="1" customHeight="1" spans="1:18">
      <c r="A41" s="27"/>
      <c r="B41" s="24" t="s">
        <v>161</v>
      </c>
      <c r="C41" s="46" t="s">
        <v>142</v>
      </c>
      <c r="D41" s="26">
        <f t="shared" si="6"/>
        <v>2265</v>
      </c>
      <c r="E41" s="26">
        <f t="shared" si="8"/>
        <v>2265</v>
      </c>
      <c r="F41" s="46">
        <v>2265</v>
      </c>
      <c r="G41" s="46">
        <v>0</v>
      </c>
      <c r="H41" s="24" t="s">
        <v>157</v>
      </c>
      <c r="I41" s="59" t="s">
        <v>162</v>
      </c>
      <c r="J41" s="46" t="s">
        <v>142</v>
      </c>
      <c r="K41" s="46" t="s">
        <v>142</v>
      </c>
      <c r="L41" s="58"/>
      <c r="M41" s="26">
        <f>ROUND(E41-E41*5%,0)</f>
        <v>2152</v>
      </c>
      <c r="N41" s="57">
        <f>(M41-E41)/E41</f>
        <v>-0.0498896247240618</v>
      </c>
      <c r="O41" s="46">
        <f t="shared" si="9"/>
        <v>2152</v>
      </c>
      <c r="P41" s="46">
        <v>0</v>
      </c>
      <c r="Q41" s="73" t="s">
        <v>157</v>
      </c>
      <c r="R41" s="87"/>
    </row>
    <row r="42" ht="43.5" hidden="1" spans="1:18">
      <c r="A42" s="27"/>
      <c r="B42" s="24" t="s">
        <v>163</v>
      </c>
      <c r="C42" s="46" t="s">
        <v>142</v>
      </c>
      <c r="D42" s="26">
        <f t="shared" si="6"/>
        <v>409</v>
      </c>
      <c r="E42" s="26">
        <f t="shared" si="8"/>
        <v>409</v>
      </c>
      <c r="F42" s="46">
        <v>409</v>
      </c>
      <c r="G42" s="46">
        <v>0</v>
      </c>
      <c r="H42" s="35" t="s">
        <v>164</v>
      </c>
      <c r="I42" s="46"/>
      <c r="J42" s="46" t="s">
        <v>142</v>
      </c>
      <c r="K42" s="46" t="s">
        <v>142</v>
      </c>
      <c r="L42" s="46" t="s">
        <v>142</v>
      </c>
      <c r="M42" s="46">
        <v>270</v>
      </c>
      <c r="N42" s="57">
        <f>M42/E42-1</f>
        <v>-0.339853300733496</v>
      </c>
      <c r="O42" s="46">
        <f t="shared" si="9"/>
        <v>270</v>
      </c>
      <c r="P42" s="46">
        <v>0</v>
      </c>
      <c r="Q42" s="82" t="s">
        <v>53</v>
      </c>
      <c r="R42" s="46" t="s">
        <v>165</v>
      </c>
    </row>
    <row r="43" ht="29" hidden="1" spans="1:18">
      <c r="A43" s="27"/>
      <c r="B43" s="24" t="s">
        <v>166</v>
      </c>
      <c r="C43" s="46" t="s">
        <v>142</v>
      </c>
      <c r="D43" s="26">
        <f t="shared" si="6"/>
        <v>1320</v>
      </c>
      <c r="E43" s="26">
        <f t="shared" si="8"/>
        <v>1320</v>
      </c>
      <c r="F43" s="46">
        <v>1320</v>
      </c>
      <c r="G43" s="46">
        <v>0</v>
      </c>
      <c r="H43" s="35" t="s">
        <v>164</v>
      </c>
      <c r="I43" s="46"/>
      <c r="J43" s="46" t="s">
        <v>142</v>
      </c>
      <c r="K43" s="46" t="s">
        <v>142</v>
      </c>
      <c r="L43" s="46" t="s">
        <v>142</v>
      </c>
      <c r="M43" s="46">
        <v>1500</v>
      </c>
      <c r="N43" s="57">
        <f>M43/E43-1</f>
        <v>0.136363636363636</v>
      </c>
      <c r="O43" s="46">
        <f t="shared" si="9"/>
        <v>1500</v>
      </c>
      <c r="P43" s="46">
        <v>0</v>
      </c>
      <c r="Q43" s="82" t="s">
        <v>53</v>
      </c>
      <c r="R43" s="46" t="s">
        <v>167</v>
      </c>
    </row>
    <row r="44" ht="29" hidden="1" spans="1:18">
      <c r="A44" s="32"/>
      <c r="B44" s="24" t="s">
        <v>168</v>
      </c>
      <c r="C44" s="46" t="s">
        <v>142</v>
      </c>
      <c r="D44" s="26">
        <f t="shared" si="6"/>
        <v>449.9</v>
      </c>
      <c r="E44" s="26">
        <f t="shared" si="8"/>
        <v>449.9</v>
      </c>
      <c r="F44" s="26">
        <v>49.9</v>
      </c>
      <c r="G44" s="47">
        <v>400</v>
      </c>
      <c r="H44" s="35" t="s">
        <v>164</v>
      </c>
      <c r="I44" s="79" t="s">
        <v>169</v>
      </c>
      <c r="J44" s="46" t="s">
        <v>142</v>
      </c>
      <c r="K44" s="46" t="s">
        <v>142</v>
      </c>
      <c r="L44" s="46" t="s">
        <v>142</v>
      </c>
      <c r="M44" s="46">
        <f>O44+P44</f>
        <v>400</v>
      </c>
      <c r="N44" s="57">
        <f>M44/E44-1</f>
        <v>-0.110913536341409</v>
      </c>
      <c r="O44" s="26">
        <v>0</v>
      </c>
      <c r="P44" s="31">
        <v>400</v>
      </c>
      <c r="Q44" s="82" t="s">
        <v>53</v>
      </c>
      <c r="R44" s="46" t="s">
        <v>170</v>
      </c>
    </row>
    <row r="45" ht="14.5" hidden="1" spans="1:18">
      <c r="A45" s="23" t="s">
        <v>31</v>
      </c>
      <c r="B45" s="24" t="s">
        <v>171</v>
      </c>
      <c r="C45" s="26"/>
      <c r="D45" s="26">
        <f t="shared" si="6"/>
        <v>54</v>
      </c>
      <c r="E45" s="26">
        <v>54</v>
      </c>
      <c r="F45" s="26">
        <v>54</v>
      </c>
      <c r="G45" s="26"/>
      <c r="H45" s="24" t="s">
        <v>53</v>
      </c>
      <c r="I45" s="26" t="s">
        <v>172</v>
      </c>
      <c r="J45" s="26"/>
      <c r="K45" s="57"/>
      <c r="L45" s="57"/>
      <c r="M45" s="26">
        <v>54</v>
      </c>
      <c r="N45" s="57"/>
      <c r="O45" s="26">
        <v>54</v>
      </c>
      <c r="P45" s="26"/>
      <c r="Q45" s="73" t="s">
        <v>53</v>
      </c>
      <c r="R45" s="26" t="s">
        <v>172</v>
      </c>
    </row>
    <row r="46" ht="58" hidden="1" spans="1:18">
      <c r="A46" s="27"/>
      <c r="B46" s="24" t="s">
        <v>32</v>
      </c>
      <c r="C46" s="26" t="s">
        <v>142</v>
      </c>
      <c r="D46" s="26">
        <f t="shared" si="6"/>
        <v>1664.4</v>
      </c>
      <c r="E46" s="26">
        <v>1664.4</v>
      </c>
      <c r="F46" s="26">
        <v>1664.4</v>
      </c>
      <c r="G46" s="26">
        <v>0</v>
      </c>
      <c r="H46" s="35" t="s">
        <v>173</v>
      </c>
      <c r="I46" s="46" t="s">
        <v>174</v>
      </c>
      <c r="J46" s="26" t="s">
        <v>142</v>
      </c>
      <c r="K46" s="57" t="s">
        <v>142</v>
      </c>
      <c r="L46" s="57" t="s">
        <v>142</v>
      </c>
      <c r="M46" s="26">
        <v>1320</v>
      </c>
      <c r="N46" s="57">
        <f>M46/E46-1</f>
        <v>-0.206921413121846</v>
      </c>
      <c r="O46" s="26">
        <v>1320</v>
      </c>
      <c r="P46" s="26">
        <v>0</v>
      </c>
      <c r="Q46" s="82" t="s">
        <v>173</v>
      </c>
      <c r="R46" s="46" t="s">
        <v>175</v>
      </c>
    </row>
    <row r="47" ht="58" hidden="1" spans="1:18">
      <c r="A47" s="27"/>
      <c r="B47" s="24" t="s">
        <v>33</v>
      </c>
      <c r="C47" s="26" t="s">
        <v>142</v>
      </c>
      <c r="D47" s="26">
        <f t="shared" si="6"/>
        <v>2048.9</v>
      </c>
      <c r="E47" s="26">
        <v>2048.9</v>
      </c>
      <c r="F47" s="26">
        <v>2048.9</v>
      </c>
      <c r="G47" s="26">
        <v>0</v>
      </c>
      <c r="H47" s="35" t="s">
        <v>176</v>
      </c>
      <c r="I47" s="46" t="s">
        <v>177</v>
      </c>
      <c r="J47" s="26" t="s">
        <v>142</v>
      </c>
      <c r="K47" s="57" t="s">
        <v>142</v>
      </c>
      <c r="L47" s="57" t="s">
        <v>142</v>
      </c>
      <c r="M47" s="26">
        <v>2350</v>
      </c>
      <c r="N47" s="57">
        <f>M47/E47-1</f>
        <v>0.146956903704427</v>
      </c>
      <c r="O47" s="26">
        <v>2350</v>
      </c>
      <c r="P47" s="26">
        <v>0</v>
      </c>
      <c r="Q47" s="82" t="s">
        <v>176</v>
      </c>
      <c r="R47" s="46" t="s">
        <v>178</v>
      </c>
    </row>
    <row r="48" ht="29" hidden="1" spans="1:18">
      <c r="A48" s="27"/>
      <c r="B48" s="24" t="s">
        <v>179</v>
      </c>
      <c r="C48" s="26"/>
      <c r="D48" s="26">
        <f t="shared" si="6"/>
        <v>93.3</v>
      </c>
      <c r="E48" s="26">
        <v>93.3</v>
      </c>
      <c r="F48" s="26">
        <v>0</v>
      </c>
      <c r="G48" s="26">
        <v>93.3</v>
      </c>
      <c r="H48" s="35"/>
      <c r="I48" s="46"/>
      <c r="J48" s="26"/>
      <c r="K48" s="57"/>
      <c r="L48" s="57"/>
      <c r="M48" s="26">
        <v>93.3</v>
      </c>
      <c r="N48" s="57"/>
      <c r="O48" s="26"/>
      <c r="P48" s="26">
        <v>93.3</v>
      </c>
      <c r="Q48" s="82"/>
      <c r="R48" s="46"/>
    </row>
    <row r="49" ht="29" hidden="1" spans="1:18">
      <c r="A49" s="27"/>
      <c r="B49" s="35" t="s">
        <v>35</v>
      </c>
      <c r="C49" s="26" t="s">
        <v>142</v>
      </c>
      <c r="D49" s="26">
        <f t="shared" si="6"/>
        <v>456.31</v>
      </c>
      <c r="E49" s="37">
        <v>456.31</v>
      </c>
      <c r="F49" s="37">
        <f>D49-G49</f>
        <v>376.31</v>
      </c>
      <c r="G49" s="26">
        <v>80</v>
      </c>
      <c r="H49" s="35" t="s">
        <v>35</v>
      </c>
      <c r="I49" s="46" t="s">
        <v>180</v>
      </c>
      <c r="J49" s="26" t="s">
        <v>142</v>
      </c>
      <c r="K49" s="26" t="s">
        <v>142</v>
      </c>
      <c r="L49" s="26" t="s">
        <v>142</v>
      </c>
      <c r="M49" s="80">
        <v>600</v>
      </c>
      <c r="N49" s="57">
        <f>M49/E49-1</f>
        <v>0.314895575376389</v>
      </c>
      <c r="O49" s="80">
        <v>500</v>
      </c>
      <c r="P49" s="26">
        <v>100</v>
      </c>
      <c r="Q49" s="82" t="s">
        <v>35</v>
      </c>
      <c r="R49" s="80" t="s">
        <v>181</v>
      </c>
    </row>
    <row r="50" ht="132" hidden="1" spans="1:18">
      <c r="A50" s="32"/>
      <c r="B50" s="35" t="s">
        <v>34</v>
      </c>
      <c r="C50" s="26" t="s">
        <v>142</v>
      </c>
      <c r="D50" s="26">
        <f t="shared" si="6"/>
        <v>267.12</v>
      </c>
      <c r="E50" s="37">
        <v>267.12</v>
      </c>
      <c r="F50" s="37">
        <v>267.12</v>
      </c>
      <c r="G50" s="26"/>
      <c r="H50" s="24" t="s">
        <v>182</v>
      </c>
      <c r="I50" s="26"/>
      <c r="J50" s="26" t="s">
        <v>142</v>
      </c>
      <c r="K50" s="26" t="s">
        <v>142</v>
      </c>
      <c r="L50" s="26" t="s">
        <v>142</v>
      </c>
      <c r="M50" s="80">
        <v>310</v>
      </c>
      <c r="N50" s="57">
        <f>M50/E50-1</f>
        <v>0.16052710392333</v>
      </c>
      <c r="O50" s="80">
        <v>310</v>
      </c>
      <c r="P50" s="26"/>
      <c r="Q50" s="73" t="s">
        <v>182</v>
      </c>
      <c r="R50" s="88" t="s">
        <v>183</v>
      </c>
    </row>
    <row r="51" hidden="1"/>
    <row r="52" hidden="1"/>
  </sheetData>
  <autoFilter ref="A3:J50">
    <extLst/>
  </autoFilter>
  <mergeCells count="85">
    <mergeCell ref="C2:I2"/>
    <mergeCell ref="J2:R2"/>
    <mergeCell ref="A2:A3"/>
    <mergeCell ref="A4:A12"/>
    <mergeCell ref="A13:A14"/>
    <mergeCell ref="A15:A19"/>
    <mergeCell ref="A20:A24"/>
    <mergeCell ref="A25:A26"/>
    <mergeCell ref="A27:A29"/>
    <mergeCell ref="A30:A32"/>
    <mergeCell ref="A33:A36"/>
    <mergeCell ref="A37:A38"/>
    <mergeCell ref="A39:A44"/>
    <mergeCell ref="A45:A50"/>
    <mergeCell ref="B2:B3"/>
    <mergeCell ref="B7:B8"/>
    <mergeCell ref="B15:B17"/>
    <mergeCell ref="B20:B21"/>
    <mergeCell ref="B25:B26"/>
    <mergeCell ref="B30:B32"/>
    <mergeCell ref="C7:C8"/>
    <mergeCell ref="C15:C17"/>
    <mergeCell ref="C20:C21"/>
    <mergeCell ref="C25:C26"/>
    <mergeCell ref="C30:C32"/>
    <mergeCell ref="D6:D8"/>
    <mergeCell ref="D15:D17"/>
    <mergeCell ref="D20:D21"/>
    <mergeCell ref="D25:D26"/>
    <mergeCell ref="D30:D32"/>
    <mergeCell ref="D33:D36"/>
    <mergeCell ref="E6:E8"/>
    <mergeCell ref="E15:E17"/>
    <mergeCell ref="E20:E21"/>
    <mergeCell ref="E25:E26"/>
    <mergeCell ref="E30:E32"/>
    <mergeCell ref="E33:E36"/>
    <mergeCell ref="F20:F21"/>
    <mergeCell ref="G6:G8"/>
    <mergeCell ref="G15:G17"/>
    <mergeCell ref="G20:G21"/>
    <mergeCell ref="G25:G26"/>
    <mergeCell ref="G30:G32"/>
    <mergeCell ref="G33:G36"/>
    <mergeCell ref="I6:I8"/>
    <mergeCell ref="I15:I17"/>
    <mergeCell ref="I25:I26"/>
    <mergeCell ref="I30:I32"/>
    <mergeCell ref="J7:J8"/>
    <mergeCell ref="J15:J17"/>
    <mergeCell ref="J20:J21"/>
    <mergeCell ref="J25:J26"/>
    <mergeCell ref="J30:J32"/>
    <mergeCell ref="K7:K8"/>
    <mergeCell ref="K15:K17"/>
    <mergeCell ref="K20:K21"/>
    <mergeCell ref="K25:K26"/>
    <mergeCell ref="K30:K32"/>
    <mergeCell ref="L7:L8"/>
    <mergeCell ref="L15:L17"/>
    <mergeCell ref="L20:L21"/>
    <mergeCell ref="L25:L26"/>
    <mergeCell ref="L30:L32"/>
    <mergeCell ref="L39:L41"/>
    <mergeCell ref="M6:M8"/>
    <mergeCell ref="M15:M17"/>
    <mergeCell ref="M25:M26"/>
    <mergeCell ref="M30:M32"/>
    <mergeCell ref="M33:M36"/>
    <mergeCell ref="N6:N8"/>
    <mergeCell ref="N15:N17"/>
    <mergeCell ref="N25:N26"/>
    <mergeCell ref="N30:N32"/>
    <mergeCell ref="N33:N36"/>
    <mergeCell ref="P6:P8"/>
    <mergeCell ref="P15:P17"/>
    <mergeCell ref="P25:P26"/>
    <mergeCell ref="P30:P32"/>
    <mergeCell ref="P33:P36"/>
    <mergeCell ref="R6:R8"/>
    <mergeCell ref="R15:R17"/>
    <mergeCell ref="R25:R26"/>
    <mergeCell ref="R30:R32"/>
    <mergeCell ref="R33:R36"/>
    <mergeCell ref="R39:R41"/>
  </mergeCells>
  <pageMargins left="0.7" right="0.7" top="0.75" bottom="0.75" header="0.3" footer="0.3"/>
  <pageSetup paperSize="9" scale="42" fitToHeight="0" orientation="landscape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E17"/>
  <sheetViews>
    <sheetView topLeftCell="A8" workbookViewId="0">
      <selection activeCell="B14" sqref="B14"/>
    </sheetView>
  </sheetViews>
  <sheetFormatPr defaultColWidth="9" defaultRowHeight="14" outlineLevelCol="4"/>
  <cols>
    <col min="1" max="1" width="20.8636363636364" customWidth="1"/>
    <col min="2" max="2" width="34.4636363636364" customWidth="1"/>
    <col min="3" max="4" width="15" style="1" customWidth="1"/>
    <col min="5" max="5" width="11.4636363636364" style="1"/>
  </cols>
  <sheetData>
    <row r="1" ht="16.5" spans="1:5">
      <c r="A1" s="2" t="s">
        <v>184</v>
      </c>
      <c r="B1" s="2"/>
      <c r="C1" s="3" t="s">
        <v>185</v>
      </c>
      <c r="D1" s="3" t="s">
        <v>186</v>
      </c>
      <c r="E1" s="3" t="s">
        <v>187</v>
      </c>
    </row>
    <row r="2" ht="16.5" spans="1:5">
      <c r="A2" s="2"/>
      <c r="B2" s="2"/>
      <c r="C2" s="4">
        <f>SUM(C3:C17)</f>
        <v>116000</v>
      </c>
      <c r="D2" s="4">
        <v>129920.002320942</v>
      </c>
      <c r="E2" s="5">
        <f>D2/C2-1</f>
        <v>0.120000020008121</v>
      </c>
    </row>
    <row r="3" ht="16.5" spans="1:5">
      <c r="A3" s="2" t="s">
        <v>188</v>
      </c>
      <c r="B3" s="6" t="s">
        <v>189</v>
      </c>
      <c r="C3" s="4">
        <f>37626.48+1277.676229495</f>
        <v>38904.156229495</v>
      </c>
      <c r="D3" s="7">
        <v>41500</v>
      </c>
      <c r="E3" s="5">
        <f t="shared" ref="E3:E17" si="0">D3/C3-1</f>
        <v>0.0667240732633334</v>
      </c>
    </row>
    <row r="4" ht="16.5" spans="1:5">
      <c r="A4" s="2"/>
      <c r="B4" s="8" t="s">
        <v>190</v>
      </c>
      <c r="C4" s="4">
        <v>10848.98</v>
      </c>
      <c r="D4" s="7">
        <v>13000</v>
      </c>
      <c r="E4" s="5">
        <f t="shared" si="0"/>
        <v>0.198269330388663</v>
      </c>
    </row>
    <row r="5" ht="16.5" spans="1:5">
      <c r="A5" s="2"/>
      <c r="B5" s="6" t="s">
        <v>191</v>
      </c>
      <c r="C5" s="4">
        <v>2688.69</v>
      </c>
      <c r="D5" s="7">
        <v>3000</v>
      </c>
      <c r="E5" s="5">
        <f t="shared" si="0"/>
        <v>0.115785010544168</v>
      </c>
    </row>
    <row r="6" ht="16.5" spans="1:5">
      <c r="A6" s="2"/>
      <c r="B6" s="6" t="s">
        <v>192</v>
      </c>
      <c r="C6" s="4">
        <v>7837.65</v>
      </c>
      <c r="D6" s="7">
        <v>6500</v>
      </c>
      <c r="E6" s="5">
        <f t="shared" si="0"/>
        <v>-0.170669779844724</v>
      </c>
    </row>
    <row r="7" ht="16.5" spans="1:5">
      <c r="A7" s="2"/>
      <c r="B7" s="6" t="s">
        <v>22</v>
      </c>
      <c r="C7" s="4">
        <v>22348.42</v>
      </c>
      <c r="D7" s="7">
        <v>27000</v>
      </c>
      <c r="E7" s="5">
        <f t="shared" si="0"/>
        <v>0.208139098871419</v>
      </c>
    </row>
    <row r="8" ht="33" spans="1:5">
      <c r="A8" s="2"/>
      <c r="B8" s="6" t="s">
        <v>193</v>
      </c>
      <c r="C8" s="4">
        <v>7720.65</v>
      </c>
      <c r="D8" s="7">
        <v>9500</v>
      </c>
      <c r="E8" s="5">
        <f t="shared" si="0"/>
        <v>0.230466346745417</v>
      </c>
    </row>
    <row r="9" ht="16.5" spans="1:5">
      <c r="A9" s="2"/>
      <c r="B9" s="6" t="s">
        <v>194</v>
      </c>
      <c r="C9" s="4">
        <v>1206</v>
      </c>
      <c r="D9" s="7">
        <v>3000</v>
      </c>
      <c r="E9" s="5">
        <f t="shared" si="0"/>
        <v>1.48756218905473</v>
      </c>
    </row>
    <row r="10" ht="33" spans="1:5">
      <c r="A10" s="2"/>
      <c r="B10" s="6" t="s">
        <v>195</v>
      </c>
      <c r="C10" s="4">
        <v>11122.28</v>
      </c>
      <c r="D10" s="7">
        <v>12500</v>
      </c>
      <c r="E10" s="5">
        <f t="shared" si="0"/>
        <v>0.123870285588926</v>
      </c>
    </row>
    <row r="11" ht="16.5" spans="1:5">
      <c r="A11" s="2"/>
      <c r="B11" s="6" t="s">
        <v>196</v>
      </c>
      <c r="C11" s="4">
        <v>2529.64</v>
      </c>
      <c r="D11" s="7">
        <v>3000</v>
      </c>
      <c r="E11" s="5">
        <f t="shared" si="0"/>
        <v>0.185939501272908</v>
      </c>
    </row>
    <row r="12" ht="16.5" spans="1:5">
      <c r="A12" s="2"/>
      <c r="B12" s="6" t="s">
        <v>197</v>
      </c>
      <c r="C12" s="4">
        <v>965.46</v>
      </c>
      <c r="D12" s="7">
        <v>1200</v>
      </c>
      <c r="E12" s="5">
        <f t="shared" si="0"/>
        <v>0.24293083089926</v>
      </c>
    </row>
    <row r="13" ht="33" spans="1:5">
      <c r="A13" s="2"/>
      <c r="B13" s="6" t="s">
        <v>198</v>
      </c>
      <c r="C13" s="4">
        <v>2340.52</v>
      </c>
      <c r="D13" s="7">
        <v>2200</v>
      </c>
      <c r="E13" s="5">
        <f t="shared" si="0"/>
        <v>-0.0600379402867739</v>
      </c>
    </row>
    <row r="14" ht="33" spans="1:5">
      <c r="A14" s="2"/>
      <c r="B14" s="6" t="s">
        <v>199</v>
      </c>
      <c r="C14" s="4">
        <v>41.75</v>
      </c>
      <c r="D14" s="7">
        <v>60</v>
      </c>
      <c r="E14" s="5">
        <f t="shared" si="0"/>
        <v>0.437125748502994</v>
      </c>
    </row>
    <row r="15" ht="16.5" spans="1:5">
      <c r="A15" s="2"/>
      <c r="B15" s="6" t="s">
        <v>200</v>
      </c>
      <c r="C15" s="4">
        <v>48.84</v>
      </c>
      <c r="D15" s="7">
        <v>60</v>
      </c>
      <c r="E15" s="5">
        <f t="shared" si="0"/>
        <v>0.228501228501228</v>
      </c>
    </row>
    <row r="16" ht="16.5" spans="1:5">
      <c r="A16" s="2"/>
      <c r="B16" s="6" t="s">
        <v>201</v>
      </c>
      <c r="C16" s="4">
        <v>5599.47</v>
      </c>
      <c r="D16" s="7">
        <v>5600</v>
      </c>
      <c r="E16" s="5">
        <f t="shared" si="0"/>
        <v>9.46518152611375e-5</v>
      </c>
    </row>
    <row r="17" ht="16.5" spans="1:5">
      <c r="A17" s="2"/>
      <c r="B17" s="6" t="s">
        <v>202</v>
      </c>
      <c r="C17" s="4">
        <v>1797.49377050498</v>
      </c>
      <c r="D17" s="7">
        <v>1800</v>
      </c>
      <c r="E17" s="5">
        <f t="shared" si="0"/>
        <v>0.00139429106022204</v>
      </c>
    </row>
  </sheetData>
  <mergeCells count="2">
    <mergeCell ref="A3:A17"/>
    <mergeCell ref="A1:B2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汇总表</vt:lpstr>
      <vt:lpstr>细化表</vt:lpstr>
      <vt:lpstr>25年收入要求（以此总收入盘细化收入和成本）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何江</dc:creator>
  <cp:lastModifiedBy>nijiaming</cp:lastModifiedBy>
  <dcterms:created xsi:type="dcterms:W3CDTF">2024-12-03T07:30:00Z</dcterms:created>
  <dcterms:modified xsi:type="dcterms:W3CDTF">2024-12-18T06:10:48Z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9B9C5FC3CEDD438DA1C58A78A42854B7</vt:lpwstr>
  </property>
  <property fmtid="{D5CDD505-2E9C-101B-9397-08002B2CF9AE}" pid="3" name="KSOProductBuildVer">
    <vt:lpwstr>2052-11.8.2.12309</vt:lpwstr>
  </property>
  <property fmtid="{D5CDD505-2E9C-101B-9397-08002B2CF9AE}" pid="4" name="KSOReadingLayout">
    <vt:bool>true</vt:bool>
  </property>
</Properties>
</file>